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K:\WH014\Departments\DR014-SDR\02_Dokumente\SDR\01 - Encadrants\03 - RFR\02 - Julien Lavigne\"/>
    </mc:Choice>
  </mc:AlternateContent>
  <bookViews>
    <workbookView xWindow="0" yWindow="0" windowWidth="28800" windowHeight="12480" activeTab="2"/>
  </bookViews>
  <sheets>
    <sheet name="Formulaire litige" sheetId="1" r:id="rId1"/>
    <sheet name="Historique litiges" sheetId="2" r:id="rId2"/>
    <sheet name="Base de donnée EFIS" sheetId="3" r:id="rId3"/>
    <sheet name="VALO" sheetId="5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6" i="1" l="1"/>
  <c r="F26" i="1"/>
  <c r="D26" i="1"/>
  <c r="E26" i="1" s="1"/>
  <c r="C26" i="1"/>
  <c r="A26" i="1"/>
  <c r="I25" i="1"/>
  <c r="F25" i="1"/>
  <c r="E25" i="1"/>
  <c r="D25" i="1"/>
  <c r="C25" i="1"/>
  <c r="A25" i="1"/>
  <c r="I24" i="1"/>
  <c r="F24" i="1"/>
  <c r="D24" i="1"/>
  <c r="E24" i="1" s="1"/>
  <c r="C24" i="1"/>
  <c r="A24" i="1"/>
  <c r="I23" i="1"/>
  <c r="F23" i="1"/>
  <c r="E23" i="1"/>
  <c r="D23" i="1"/>
  <c r="C23" i="1"/>
  <c r="A23" i="1"/>
  <c r="I22" i="1"/>
  <c r="F22" i="1"/>
  <c r="D22" i="1"/>
  <c r="E22" i="1" s="1"/>
  <c r="C22" i="1"/>
  <c r="A22" i="1"/>
  <c r="I21" i="1"/>
  <c r="F21" i="1"/>
  <c r="E21" i="1"/>
  <c r="D21" i="1"/>
  <c r="C21" i="1"/>
  <c r="A21" i="1"/>
  <c r="I20" i="1"/>
  <c r="F20" i="1"/>
  <c r="D20" i="1"/>
  <c r="E20" i="1" s="1"/>
  <c r="C20" i="1"/>
  <c r="A20" i="1"/>
  <c r="I19" i="1"/>
  <c r="F19" i="1"/>
  <c r="E19" i="1"/>
  <c r="D19" i="1"/>
  <c r="C19" i="1"/>
  <c r="A19" i="1"/>
  <c r="I18" i="1"/>
  <c r="F18" i="1"/>
  <c r="D18" i="1"/>
  <c r="E18" i="1" s="1"/>
  <c r="C18" i="1"/>
  <c r="A18" i="1"/>
  <c r="I17" i="1"/>
  <c r="F17" i="1"/>
  <c r="E17" i="1"/>
  <c r="D17" i="1"/>
  <c r="C17" i="1"/>
  <c r="A17" i="1"/>
  <c r="I16" i="1"/>
  <c r="F16" i="1"/>
  <c r="D16" i="1"/>
  <c r="E16" i="1" s="1"/>
  <c r="C16" i="1"/>
  <c r="A16" i="1"/>
  <c r="I15" i="1"/>
  <c r="F15" i="1"/>
  <c r="E15" i="1"/>
  <c r="D15" i="1"/>
  <c r="C15" i="1"/>
  <c r="A15" i="1"/>
  <c r="I14" i="1"/>
  <c r="F14" i="1"/>
  <c r="D14" i="1"/>
  <c r="E14" i="1" s="1"/>
  <c r="C14" i="1"/>
  <c r="A14" i="1"/>
  <c r="I13" i="1"/>
  <c r="F13" i="1"/>
  <c r="E13" i="1"/>
  <c r="D13" i="1"/>
  <c r="C13" i="1"/>
  <c r="A13" i="1"/>
  <c r="I12" i="1"/>
  <c r="F12" i="1"/>
  <c r="D12" i="1"/>
  <c r="E12" i="1" s="1"/>
  <c r="C12" i="1"/>
  <c r="A12" i="1"/>
  <c r="I11" i="1"/>
  <c r="F11" i="1"/>
  <c r="D11" i="1"/>
  <c r="E11" i="1" s="1"/>
  <c r="C11" i="1"/>
  <c r="I10" i="1"/>
  <c r="F10" i="1"/>
  <c r="D10" i="1"/>
  <c r="E10" i="1" s="1"/>
  <c r="C10" i="1"/>
  <c r="I9" i="1"/>
  <c r="F9" i="1"/>
  <c r="E9" i="1"/>
  <c r="D9" i="1"/>
  <c r="C9" i="1"/>
  <c r="I8" i="1"/>
  <c r="F8" i="1"/>
  <c r="D8" i="1"/>
  <c r="E8" i="1" s="1"/>
  <c r="C8" i="1"/>
  <c r="I6" i="1"/>
  <c r="A2" i="1" l="1"/>
  <c r="A10" i="1" l="1"/>
  <c r="A11" i="1"/>
  <c r="A8" i="1"/>
  <c r="A9" i="1"/>
  <c r="F6" i="1"/>
  <c r="D6" i="1"/>
  <c r="E6" i="1" s="1"/>
  <c r="C6" i="1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66" i="3"/>
  <c r="A367" i="3"/>
  <c r="A368" i="3"/>
  <c r="A369" i="3"/>
  <c r="A370" i="3"/>
  <c r="A371" i="3"/>
  <c r="A372" i="3"/>
  <c r="A373" i="3"/>
  <c r="A374" i="3"/>
  <c r="A375" i="3"/>
  <c r="A376" i="3"/>
  <c r="A377" i="3"/>
  <c r="A378" i="3"/>
  <c r="A379" i="3"/>
  <c r="A380" i="3"/>
  <c r="A381" i="3"/>
  <c r="A382" i="3"/>
  <c r="A383" i="3"/>
  <c r="A384" i="3"/>
  <c r="A385" i="3"/>
  <c r="A386" i="3"/>
  <c r="A387" i="3"/>
  <c r="A388" i="3"/>
  <c r="A389" i="3"/>
  <c r="A390" i="3"/>
  <c r="A391" i="3"/>
  <c r="A392" i="3"/>
  <c r="A393" i="3"/>
  <c r="A394" i="3"/>
  <c r="A395" i="3"/>
  <c r="A396" i="3"/>
  <c r="A397" i="3"/>
  <c r="A398" i="3"/>
  <c r="A399" i="3"/>
  <c r="A400" i="3"/>
  <c r="A401" i="3"/>
  <c r="A402" i="3"/>
  <c r="A403" i="3"/>
  <c r="A404" i="3"/>
  <c r="A405" i="3"/>
  <c r="A406" i="3"/>
  <c r="A407" i="3"/>
  <c r="A408" i="3"/>
  <c r="A409" i="3"/>
  <c r="A410" i="3"/>
  <c r="A411" i="3"/>
  <c r="A412" i="3"/>
  <c r="A413" i="3"/>
  <c r="A414" i="3"/>
  <c r="A415" i="3"/>
  <c r="A416" i="3"/>
  <c r="A417" i="3"/>
  <c r="A418" i="3"/>
  <c r="A419" i="3"/>
  <c r="A420" i="3"/>
  <c r="A421" i="3"/>
  <c r="A422" i="3"/>
  <c r="A423" i="3"/>
  <c r="A424" i="3"/>
  <c r="A425" i="3"/>
  <c r="A426" i="3"/>
  <c r="A427" i="3"/>
  <c r="A428" i="3"/>
  <c r="A429" i="3"/>
  <c r="A430" i="3"/>
  <c r="A431" i="3"/>
  <c r="A432" i="3"/>
  <c r="A433" i="3"/>
  <c r="A434" i="3"/>
  <c r="A435" i="3"/>
  <c r="A436" i="3"/>
  <c r="A437" i="3"/>
  <c r="A438" i="3"/>
  <c r="A439" i="3"/>
  <c r="A440" i="3"/>
  <c r="A441" i="3"/>
  <c r="A442" i="3"/>
  <c r="A443" i="3"/>
  <c r="A444" i="3"/>
  <c r="A445" i="3"/>
  <c r="A446" i="3"/>
  <c r="A447" i="3"/>
  <c r="A448" i="3"/>
  <c r="A449" i="3"/>
  <c r="A450" i="3"/>
  <c r="A451" i="3"/>
  <c r="A452" i="3"/>
  <c r="A453" i="3"/>
  <c r="A454" i="3"/>
  <c r="A455" i="3"/>
  <c r="A456" i="3"/>
  <c r="A457" i="3"/>
  <c r="A458" i="3"/>
  <c r="A459" i="3"/>
  <c r="A460" i="3"/>
  <c r="A461" i="3"/>
  <c r="A462" i="3"/>
  <c r="A463" i="3"/>
  <c r="A464" i="3"/>
  <c r="A465" i="3"/>
  <c r="A466" i="3"/>
  <c r="A467" i="3"/>
  <c r="A468" i="3"/>
  <c r="A469" i="3"/>
  <c r="A470" i="3"/>
  <c r="A471" i="3"/>
  <c r="A472" i="3"/>
  <c r="A473" i="3"/>
  <c r="A474" i="3"/>
  <c r="A475" i="3"/>
  <c r="A476" i="3"/>
  <c r="A477" i="3"/>
  <c r="A478" i="3"/>
  <c r="A479" i="3"/>
  <c r="A480" i="3"/>
  <c r="A481" i="3"/>
  <c r="A482" i="3"/>
  <c r="A483" i="3"/>
  <c r="A484" i="3"/>
  <c r="A485" i="3"/>
  <c r="A486" i="3"/>
  <c r="A487" i="3"/>
  <c r="A488" i="3"/>
  <c r="A489" i="3"/>
  <c r="A490" i="3"/>
  <c r="A491" i="3"/>
  <c r="A492" i="3"/>
  <c r="A493" i="3"/>
  <c r="A494" i="3"/>
  <c r="A495" i="3"/>
  <c r="A496" i="3"/>
  <c r="A497" i="3"/>
  <c r="A498" i="3"/>
  <c r="A499" i="3"/>
  <c r="A500" i="3"/>
  <c r="A501" i="3"/>
  <c r="A502" i="3"/>
  <c r="A503" i="3"/>
  <c r="A504" i="3"/>
  <c r="A505" i="3"/>
  <c r="A506" i="3"/>
  <c r="A507" i="3"/>
  <c r="A508" i="3"/>
  <c r="A509" i="3"/>
  <c r="A510" i="3"/>
  <c r="A511" i="3"/>
  <c r="A512" i="3"/>
  <c r="A513" i="3"/>
  <c r="A514" i="3"/>
  <c r="A515" i="3"/>
  <c r="A516" i="3"/>
  <c r="A517" i="3"/>
  <c r="A518" i="3"/>
  <c r="A519" i="3"/>
  <c r="A520" i="3"/>
  <c r="A521" i="3"/>
  <c r="A522" i="3"/>
  <c r="A523" i="3"/>
  <c r="A524" i="3"/>
  <c r="A525" i="3"/>
  <c r="A526" i="3"/>
  <c r="A527" i="3"/>
  <c r="A528" i="3"/>
  <c r="A529" i="3"/>
  <c r="A530" i="3"/>
  <c r="A531" i="3"/>
  <c r="A532" i="3"/>
  <c r="A533" i="3"/>
  <c r="A534" i="3"/>
  <c r="A535" i="3"/>
  <c r="A536" i="3"/>
  <c r="A537" i="3"/>
  <c r="A538" i="3"/>
  <c r="A539" i="3"/>
  <c r="A540" i="3"/>
  <c r="A541" i="3"/>
  <c r="A542" i="3"/>
  <c r="A543" i="3"/>
  <c r="A544" i="3"/>
  <c r="A545" i="3"/>
  <c r="A546" i="3"/>
  <c r="A547" i="3"/>
  <c r="A548" i="3"/>
  <c r="A549" i="3"/>
  <c r="A550" i="3"/>
  <c r="A551" i="3"/>
  <c r="A552" i="3"/>
  <c r="A553" i="3"/>
  <c r="A554" i="3"/>
  <c r="A555" i="3"/>
  <c r="A556" i="3"/>
  <c r="A557" i="3"/>
  <c r="A558" i="3"/>
  <c r="A559" i="3"/>
  <c r="A560" i="3"/>
  <c r="A561" i="3"/>
  <c r="A562" i="3"/>
  <c r="A563" i="3"/>
  <c r="A564" i="3"/>
  <c r="A565" i="3"/>
  <c r="A566" i="3"/>
  <c r="A567" i="3"/>
  <c r="A568" i="3"/>
  <c r="A569" i="3"/>
  <c r="A570" i="3"/>
  <c r="A571" i="3"/>
  <c r="A572" i="3"/>
  <c r="A573" i="3"/>
  <c r="A574" i="3"/>
  <c r="A575" i="3"/>
  <c r="A576" i="3"/>
  <c r="A577" i="3"/>
  <c r="A578" i="3"/>
  <c r="A579" i="3"/>
  <c r="A580" i="3"/>
  <c r="A581" i="3"/>
  <c r="A582" i="3"/>
  <c r="A583" i="3"/>
  <c r="A584" i="3"/>
  <c r="A585" i="3"/>
  <c r="A586" i="3"/>
  <c r="A587" i="3"/>
  <c r="A588" i="3"/>
  <c r="A589" i="3"/>
  <c r="A590" i="3"/>
  <c r="A591" i="3"/>
  <c r="A592" i="3"/>
  <c r="A593" i="3"/>
  <c r="A594" i="3"/>
  <c r="A595" i="3"/>
  <c r="A596" i="3"/>
  <c r="A597" i="3"/>
  <c r="A598" i="3"/>
  <c r="A599" i="3"/>
  <c r="A600" i="3"/>
  <c r="A601" i="3"/>
  <c r="A602" i="3"/>
  <c r="A603" i="3"/>
  <c r="A604" i="3"/>
  <c r="A605" i="3"/>
  <c r="A606" i="3"/>
  <c r="A607" i="3"/>
  <c r="A608" i="3"/>
  <c r="A609" i="3"/>
  <c r="A610" i="3"/>
  <c r="A611" i="3"/>
  <c r="A612" i="3"/>
  <c r="A613" i="3"/>
  <c r="A614" i="3"/>
  <c r="A615" i="3"/>
  <c r="A616" i="3"/>
  <c r="A617" i="3"/>
  <c r="A618" i="3"/>
  <c r="A619" i="3"/>
  <c r="A620" i="3"/>
  <c r="A621" i="3"/>
  <c r="A622" i="3"/>
  <c r="A623" i="3"/>
  <c r="A624" i="3"/>
  <c r="A625" i="3"/>
  <c r="A626" i="3"/>
  <c r="A627" i="3"/>
  <c r="A628" i="3"/>
  <c r="A629" i="3"/>
  <c r="A630" i="3"/>
  <c r="A631" i="3"/>
  <c r="A632" i="3"/>
  <c r="A633" i="3"/>
  <c r="A634" i="3"/>
  <c r="A635" i="3"/>
  <c r="A636" i="3"/>
  <c r="A637" i="3"/>
  <c r="A638" i="3"/>
  <c r="A639" i="3"/>
  <c r="A640" i="3"/>
  <c r="A641" i="3"/>
  <c r="A642" i="3"/>
  <c r="A643" i="3"/>
  <c r="A644" i="3"/>
  <c r="A645" i="3"/>
  <c r="A646" i="3"/>
  <c r="A647" i="3"/>
  <c r="A648" i="3"/>
  <c r="A649" i="3"/>
  <c r="A650" i="3"/>
  <c r="A651" i="3"/>
  <c r="A652" i="3"/>
  <c r="A653" i="3"/>
  <c r="A654" i="3"/>
  <c r="A655" i="3"/>
  <c r="A656" i="3"/>
  <c r="A657" i="3"/>
  <c r="A658" i="3"/>
  <c r="A659" i="3"/>
  <c r="A660" i="3"/>
  <c r="A661" i="3"/>
  <c r="A662" i="3"/>
  <c r="A663" i="3"/>
  <c r="A664" i="3"/>
  <c r="A665" i="3"/>
  <c r="A666" i="3"/>
  <c r="A667" i="3"/>
  <c r="A668" i="3"/>
  <c r="A669" i="3"/>
  <c r="A670" i="3"/>
  <c r="A671" i="3"/>
  <c r="A672" i="3"/>
  <c r="A673" i="3"/>
  <c r="A674" i="3"/>
  <c r="A675" i="3"/>
  <c r="A676" i="3"/>
  <c r="A677" i="3"/>
  <c r="A678" i="3"/>
  <c r="A679" i="3"/>
  <c r="A680" i="3"/>
  <c r="A681" i="3"/>
  <c r="A682" i="3"/>
  <c r="A683" i="3"/>
  <c r="A684" i="3"/>
  <c r="A685" i="3"/>
  <c r="A686" i="3"/>
  <c r="A687" i="3"/>
  <c r="A688" i="3"/>
  <c r="A689" i="3"/>
  <c r="A690" i="3"/>
  <c r="A691" i="3"/>
  <c r="A692" i="3"/>
  <c r="A693" i="3"/>
  <c r="A694" i="3"/>
  <c r="A695" i="3"/>
  <c r="A696" i="3"/>
  <c r="A697" i="3"/>
  <c r="A698" i="3"/>
  <c r="A699" i="3"/>
  <c r="A700" i="3"/>
  <c r="A701" i="3"/>
  <c r="A702" i="3"/>
  <c r="A703" i="3"/>
  <c r="A704" i="3"/>
  <c r="A705" i="3"/>
  <c r="A706" i="3"/>
  <c r="A707" i="3"/>
  <c r="A708" i="3"/>
  <c r="A709" i="3"/>
  <c r="A710" i="3"/>
  <c r="A711" i="3"/>
  <c r="A712" i="3"/>
  <c r="A713" i="3"/>
  <c r="A714" i="3"/>
  <c r="A715" i="3"/>
  <c r="A716" i="3"/>
  <c r="A717" i="3"/>
  <c r="A718" i="3"/>
  <c r="A719" i="3"/>
  <c r="A720" i="3"/>
  <c r="A721" i="3"/>
  <c r="A722" i="3"/>
  <c r="A723" i="3"/>
  <c r="A724" i="3"/>
  <c r="A725" i="3"/>
  <c r="A726" i="3"/>
  <c r="A727" i="3"/>
  <c r="A728" i="3"/>
  <c r="A729" i="3"/>
  <c r="A730" i="3"/>
  <c r="A731" i="3"/>
  <c r="A732" i="3"/>
  <c r="A733" i="3"/>
  <c r="A734" i="3"/>
  <c r="A735" i="3"/>
  <c r="A736" i="3"/>
  <c r="A737" i="3"/>
  <c r="A738" i="3"/>
  <c r="A739" i="3"/>
  <c r="A740" i="3"/>
  <c r="A741" i="3"/>
  <c r="A742" i="3"/>
  <c r="A743" i="3"/>
  <c r="A744" i="3"/>
  <c r="A745" i="3"/>
  <c r="A746" i="3"/>
  <c r="A747" i="3"/>
  <c r="A748" i="3"/>
  <c r="A749" i="3"/>
  <c r="A750" i="3"/>
  <c r="A751" i="3"/>
  <c r="A752" i="3"/>
  <c r="A753" i="3"/>
  <c r="A754" i="3"/>
  <c r="A755" i="3"/>
  <c r="A756" i="3"/>
  <c r="A757" i="3"/>
  <c r="A758" i="3"/>
  <c r="A759" i="3"/>
  <c r="A760" i="3"/>
  <c r="A761" i="3"/>
  <c r="A762" i="3"/>
  <c r="A763" i="3"/>
  <c r="A764" i="3"/>
  <c r="A765" i="3"/>
  <c r="A766" i="3"/>
  <c r="A767" i="3"/>
  <c r="A768" i="3"/>
  <c r="A769" i="3"/>
  <c r="A770" i="3"/>
  <c r="A771" i="3"/>
  <c r="A772" i="3"/>
  <c r="A773" i="3"/>
  <c r="A774" i="3"/>
  <c r="A775" i="3"/>
  <c r="A776" i="3"/>
  <c r="A777" i="3"/>
  <c r="A778" i="3"/>
  <c r="A779" i="3"/>
  <c r="A780" i="3"/>
  <c r="A781" i="3"/>
  <c r="A782" i="3"/>
  <c r="A783" i="3"/>
  <c r="A784" i="3"/>
  <c r="A785" i="3"/>
  <c r="A786" i="3"/>
  <c r="A787" i="3"/>
  <c r="A788" i="3"/>
  <c r="A789" i="3"/>
  <c r="A790" i="3"/>
  <c r="A791" i="3"/>
  <c r="A792" i="3"/>
  <c r="A793" i="3"/>
  <c r="A794" i="3"/>
  <c r="A795" i="3"/>
  <c r="A796" i="3"/>
  <c r="A797" i="3"/>
  <c r="A798" i="3"/>
  <c r="A799" i="3"/>
  <c r="A800" i="3"/>
  <c r="A801" i="3"/>
  <c r="A802" i="3"/>
  <c r="A803" i="3"/>
  <c r="A804" i="3"/>
  <c r="A805" i="3"/>
  <c r="A806" i="3"/>
  <c r="A807" i="3"/>
  <c r="A808" i="3"/>
  <c r="A809" i="3"/>
  <c r="A810" i="3"/>
  <c r="A811" i="3"/>
  <c r="A812" i="3"/>
  <c r="A813" i="3"/>
  <c r="A814" i="3"/>
  <c r="A815" i="3"/>
  <c r="A816" i="3"/>
  <c r="A817" i="3"/>
  <c r="A818" i="3"/>
  <c r="A819" i="3"/>
  <c r="A820" i="3"/>
  <c r="A821" i="3"/>
  <c r="A822" i="3"/>
  <c r="A823" i="3"/>
  <c r="A824" i="3"/>
  <c r="A825" i="3"/>
  <c r="A826" i="3"/>
  <c r="A827" i="3"/>
  <c r="A828" i="3"/>
  <c r="A829" i="3"/>
  <c r="A830" i="3"/>
  <c r="A831" i="3"/>
  <c r="A832" i="3"/>
  <c r="A833" i="3"/>
  <c r="A834" i="3"/>
  <c r="A835" i="3"/>
  <c r="A836" i="3"/>
  <c r="A837" i="3"/>
  <c r="A838" i="3"/>
  <c r="A839" i="3"/>
  <c r="A840" i="3"/>
  <c r="A841" i="3"/>
  <c r="A842" i="3"/>
  <c r="A843" i="3"/>
  <c r="A844" i="3"/>
  <c r="A845" i="3"/>
  <c r="A846" i="3"/>
  <c r="A847" i="3"/>
  <c r="A848" i="3"/>
  <c r="A849" i="3"/>
  <c r="A850" i="3"/>
  <c r="A851" i="3"/>
  <c r="A852" i="3"/>
  <c r="A853" i="3"/>
  <c r="A854" i="3"/>
  <c r="A855" i="3"/>
  <c r="A856" i="3"/>
  <c r="A857" i="3"/>
  <c r="A858" i="3"/>
  <c r="A859" i="3"/>
  <c r="A860" i="3"/>
  <c r="A861" i="3"/>
  <c r="A862" i="3"/>
  <c r="A863" i="3"/>
  <c r="A864" i="3"/>
  <c r="A865" i="3"/>
  <c r="A866" i="3"/>
  <c r="A867" i="3"/>
  <c r="A868" i="3"/>
  <c r="A869" i="3"/>
  <c r="A870" i="3"/>
  <c r="A871" i="3"/>
  <c r="A872" i="3"/>
  <c r="A873" i="3"/>
  <c r="A874" i="3"/>
  <c r="A875" i="3"/>
  <c r="A876" i="3"/>
  <c r="A877" i="3"/>
  <c r="A878" i="3"/>
  <c r="A879" i="3"/>
  <c r="A880" i="3"/>
  <c r="A881" i="3"/>
  <c r="A882" i="3"/>
  <c r="A883" i="3"/>
  <c r="A884" i="3"/>
  <c r="A885" i="3"/>
  <c r="A886" i="3"/>
  <c r="A887" i="3"/>
  <c r="A888" i="3"/>
  <c r="A889" i="3"/>
  <c r="A890" i="3"/>
  <c r="A891" i="3"/>
  <c r="A892" i="3"/>
  <c r="A893" i="3"/>
  <c r="A894" i="3"/>
  <c r="A895" i="3"/>
  <c r="A896" i="3"/>
  <c r="A897" i="3"/>
  <c r="A898" i="3"/>
  <c r="A899" i="3"/>
  <c r="A900" i="3"/>
  <c r="A901" i="3"/>
  <c r="A902" i="3"/>
  <c r="A903" i="3"/>
  <c r="A904" i="3"/>
  <c r="A905" i="3"/>
  <c r="A906" i="3"/>
  <c r="A907" i="3"/>
  <c r="A908" i="3"/>
  <c r="A909" i="3"/>
  <c r="A910" i="3"/>
  <c r="A911" i="3"/>
  <c r="A912" i="3"/>
  <c r="A913" i="3"/>
  <c r="A914" i="3"/>
  <c r="A915" i="3"/>
  <c r="A916" i="3"/>
  <c r="A917" i="3"/>
  <c r="A918" i="3"/>
  <c r="A919" i="3"/>
  <c r="A920" i="3"/>
  <c r="A921" i="3"/>
  <c r="A922" i="3"/>
  <c r="A923" i="3"/>
  <c r="A924" i="3"/>
  <c r="A925" i="3"/>
  <c r="A926" i="3"/>
  <c r="A927" i="3"/>
  <c r="A928" i="3"/>
  <c r="A929" i="3"/>
  <c r="A930" i="3"/>
  <c r="A931" i="3"/>
  <c r="A932" i="3"/>
  <c r="A933" i="3"/>
  <c r="A934" i="3"/>
  <c r="A935" i="3"/>
  <c r="A936" i="3"/>
  <c r="A937" i="3"/>
  <c r="A938" i="3"/>
  <c r="A939" i="3"/>
  <c r="A940" i="3"/>
  <c r="A941" i="3"/>
  <c r="A942" i="3"/>
  <c r="A943" i="3"/>
  <c r="A944" i="3"/>
  <c r="A945" i="3"/>
  <c r="A946" i="3"/>
  <c r="A947" i="3"/>
  <c r="A948" i="3"/>
  <c r="A949" i="3"/>
  <c r="A950" i="3"/>
  <c r="A951" i="3"/>
  <c r="A952" i="3"/>
  <c r="A953" i="3"/>
  <c r="A954" i="3"/>
  <c r="A955" i="3"/>
  <c r="A956" i="3"/>
  <c r="A957" i="3"/>
  <c r="A958" i="3"/>
  <c r="A959" i="3"/>
  <c r="A960" i="3"/>
  <c r="A961" i="3"/>
  <c r="A962" i="3"/>
  <c r="A963" i="3"/>
  <c r="A964" i="3"/>
  <c r="A965" i="3"/>
  <c r="A966" i="3"/>
  <c r="A967" i="3"/>
  <c r="A968" i="3"/>
  <c r="A969" i="3"/>
  <c r="A970" i="3"/>
  <c r="A971" i="3"/>
  <c r="A972" i="3"/>
  <c r="A973" i="3"/>
  <c r="A974" i="3"/>
  <c r="A975" i="3"/>
  <c r="A976" i="3"/>
  <c r="A977" i="3"/>
  <c r="A978" i="3"/>
  <c r="A979" i="3"/>
  <c r="A980" i="3"/>
  <c r="A981" i="3"/>
  <c r="A982" i="3"/>
  <c r="A983" i="3"/>
  <c r="A984" i="3"/>
  <c r="A985" i="3"/>
  <c r="A986" i="3"/>
  <c r="A987" i="3"/>
  <c r="A988" i="3"/>
  <c r="A989" i="3"/>
  <c r="A990" i="3"/>
  <c r="A991" i="3"/>
  <c r="A992" i="3"/>
  <c r="A993" i="3"/>
  <c r="A994" i="3"/>
  <c r="A995" i="3"/>
  <c r="A996" i="3"/>
  <c r="A997" i="3"/>
  <c r="A998" i="3"/>
  <c r="A999" i="3"/>
  <c r="A1000" i="3"/>
  <c r="A1001" i="3"/>
  <c r="A1002" i="3"/>
  <c r="A1003" i="3"/>
  <c r="A1004" i="3"/>
  <c r="A1005" i="3"/>
  <c r="A1006" i="3"/>
  <c r="A1007" i="3"/>
  <c r="A1008" i="3"/>
  <c r="A1009" i="3"/>
  <c r="A1010" i="3"/>
  <c r="A1011" i="3"/>
  <c r="A1012" i="3"/>
  <c r="A1013" i="3"/>
  <c r="A1014" i="3"/>
  <c r="A1015" i="3"/>
  <c r="A1016" i="3"/>
  <c r="A1017" i="3"/>
  <c r="A1018" i="3"/>
  <c r="A1019" i="3"/>
  <c r="A1020" i="3"/>
  <c r="A1021" i="3"/>
  <c r="A1022" i="3"/>
  <c r="A1023" i="3"/>
  <c r="A1024" i="3"/>
  <c r="A1025" i="3"/>
  <c r="A1026" i="3"/>
  <c r="A1027" i="3"/>
  <c r="A1028" i="3"/>
  <c r="A1029" i="3"/>
  <c r="A1030" i="3"/>
  <c r="A1031" i="3"/>
  <c r="A1032" i="3"/>
  <c r="A1033" i="3"/>
  <c r="A1034" i="3"/>
  <c r="A1035" i="3"/>
  <c r="A1036" i="3"/>
  <c r="A1037" i="3"/>
  <c r="A1038" i="3"/>
  <c r="A1039" i="3"/>
  <c r="A1040" i="3"/>
  <c r="A1041" i="3"/>
  <c r="A1042" i="3"/>
  <c r="A1043" i="3"/>
  <c r="A1044" i="3"/>
  <c r="A1045" i="3"/>
  <c r="A1046" i="3"/>
  <c r="A1047" i="3"/>
  <c r="A1048" i="3"/>
  <c r="A1049" i="3"/>
  <c r="A1050" i="3"/>
  <c r="A1051" i="3"/>
  <c r="A1052" i="3"/>
  <c r="A1053" i="3"/>
  <c r="A1054" i="3"/>
  <c r="A1055" i="3"/>
  <c r="A1056" i="3"/>
  <c r="A1057" i="3"/>
  <c r="A1058" i="3"/>
  <c r="A1059" i="3"/>
  <c r="A1060" i="3"/>
  <c r="A1061" i="3"/>
  <c r="A1062" i="3"/>
  <c r="A1063" i="3"/>
  <c r="A1064" i="3"/>
  <c r="A1065" i="3"/>
  <c r="A1066" i="3"/>
  <c r="A1067" i="3"/>
  <c r="A1068" i="3"/>
  <c r="A1069" i="3"/>
  <c r="A1070" i="3"/>
  <c r="A1071" i="3"/>
  <c r="A1072" i="3"/>
  <c r="A1073" i="3"/>
  <c r="A1074" i="3"/>
  <c r="A1075" i="3"/>
  <c r="A1076" i="3"/>
  <c r="A1077" i="3"/>
  <c r="A1078" i="3"/>
  <c r="A1079" i="3"/>
  <c r="A1080" i="3"/>
  <c r="A1081" i="3"/>
  <c r="A1082" i="3"/>
  <c r="A1083" i="3"/>
  <c r="A1084" i="3"/>
  <c r="A1085" i="3"/>
  <c r="A1086" i="3"/>
  <c r="A1087" i="3"/>
  <c r="A1088" i="3"/>
  <c r="A1089" i="3"/>
  <c r="A1090" i="3"/>
  <c r="A1091" i="3"/>
  <c r="A1092" i="3"/>
  <c r="A1093" i="3"/>
  <c r="A1094" i="3"/>
  <c r="A1095" i="3"/>
  <c r="A1096" i="3"/>
  <c r="A1097" i="3"/>
  <c r="A1098" i="3"/>
  <c r="A1099" i="3"/>
  <c r="A1100" i="3"/>
  <c r="A1101" i="3"/>
  <c r="A1102" i="3"/>
  <c r="A1103" i="3"/>
  <c r="A1104" i="3"/>
  <c r="A1105" i="3"/>
  <c r="A1106" i="3"/>
  <c r="A1107" i="3"/>
  <c r="A1108" i="3"/>
  <c r="A1109" i="3"/>
  <c r="A1110" i="3"/>
  <c r="A1111" i="3"/>
  <c r="A1112" i="3"/>
  <c r="A1113" i="3"/>
  <c r="A1114" i="3"/>
  <c r="A1115" i="3"/>
  <c r="A1116" i="3"/>
  <c r="A1117" i="3"/>
  <c r="A1118" i="3"/>
  <c r="A1119" i="3"/>
  <c r="A1120" i="3"/>
  <c r="A1121" i="3"/>
  <c r="A1122" i="3"/>
  <c r="A1123" i="3"/>
  <c r="A1124" i="3"/>
  <c r="A1125" i="3"/>
  <c r="A1126" i="3"/>
  <c r="A1127" i="3"/>
  <c r="A1128" i="3"/>
  <c r="A1129" i="3"/>
  <c r="A1130" i="3"/>
  <c r="A1131" i="3"/>
  <c r="A1132" i="3"/>
  <c r="A1133" i="3"/>
  <c r="A1134" i="3"/>
  <c r="A1135" i="3"/>
  <c r="A1136" i="3"/>
  <c r="A1137" i="3"/>
  <c r="A1138" i="3"/>
  <c r="A1139" i="3"/>
  <c r="A1140" i="3"/>
  <c r="A1141" i="3"/>
  <c r="A1142" i="3"/>
  <c r="A1143" i="3"/>
  <c r="A1144" i="3"/>
  <c r="A1145" i="3"/>
  <c r="A1146" i="3"/>
  <c r="A1147" i="3"/>
  <c r="A1148" i="3"/>
  <c r="A1149" i="3"/>
  <c r="A1150" i="3"/>
  <c r="A1151" i="3"/>
  <c r="A1152" i="3"/>
  <c r="A1153" i="3"/>
  <c r="A1154" i="3"/>
  <c r="A1155" i="3"/>
  <c r="A1156" i="3"/>
  <c r="A1157" i="3"/>
  <c r="A1158" i="3"/>
  <c r="A1159" i="3"/>
  <c r="A1160" i="3"/>
  <c r="A1161" i="3"/>
  <c r="A1162" i="3"/>
  <c r="A1163" i="3"/>
  <c r="A1164" i="3"/>
  <c r="A1165" i="3"/>
  <c r="A1166" i="3"/>
  <c r="A1167" i="3"/>
  <c r="A1168" i="3"/>
  <c r="A1169" i="3"/>
  <c r="A1170" i="3"/>
  <c r="A1171" i="3"/>
  <c r="A1172" i="3"/>
  <c r="A1173" i="3"/>
  <c r="A1174" i="3"/>
  <c r="A1175" i="3"/>
  <c r="A1176" i="3"/>
  <c r="A1177" i="3"/>
  <c r="A1178" i="3"/>
  <c r="A1179" i="3"/>
  <c r="A1180" i="3"/>
  <c r="A1181" i="3"/>
  <c r="A1182" i="3"/>
  <c r="A1183" i="3"/>
  <c r="A1184" i="3"/>
  <c r="A1185" i="3"/>
  <c r="A1186" i="3"/>
  <c r="A1187" i="3"/>
  <c r="A1188" i="3"/>
  <c r="A1189" i="3"/>
  <c r="A1190" i="3"/>
  <c r="A1191" i="3"/>
  <c r="A1192" i="3"/>
  <c r="A1193" i="3"/>
  <c r="A1194" i="3"/>
  <c r="A1195" i="3"/>
  <c r="A1196" i="3"/>
  <c r="A1197" i="3"/>
  <c r="A1198" i="3"/>
  <c r="A1199" i="3"/>
  <c r="A1200" i="3"/>
  <c r="A1201" i="3"/>
  <c r="A1202" i="3"/>
  <c r="A1203" i="3"/>
  <c r="A1204" i="3"/>
  <c r="A1205" i="3"/>
  <c r="A1206" i="3"/>
  <c r="A1207" i="3"/>
  <c r="A1208" i="3"/>
  <c r="A1209" i="3"/>
  <c r="A1210" i="3"/>
  <c r="A1211" i="3"/>
  <c r="A1212" i="3"/>
  <c r="A1213" i="3"/>
  <c r="A1214" i="3"/>
  <c r="A1215" i="3"/>
  <c r="A1216" i="3"/>
  <c r="A1217" i="3"/>
  <c r="A1218" i="3"/>
  <c r="A1219" i="3"/>
  <c r="A1220" i="3"/>
  <c r="A1221" i="3"/>
  <c r="A1222" i="3"/>
  <c r="A1223" i="3"/>
  <c r="A1224" i="3"/>
  <c r="A1225" i="3"/>
  <c r="A1226" i="3"/>
  <c r="A1227" i="3"/>
  <c r="A1228" i="3"/>
  <c r="A1229" i="3"/>
  <c r="A1230" i="3"/>
  <c r="A1231" i="3"/>
  <c r="A1232" i="3"/>
  <c r="A1233" i="3"/>
  <c r="A1234" i="3"/>
  <c r="A1235" i="3"/>
  <c r="A1236" i="3"/>
  <c r="A1237" i="3"/>
  <c r="A1238" i="3"/>
  <c r="A1239" i="3"/>
  <c r="A1240" i="3"/>
  <c r="A1241" i="3"/>
  <c r="A1242" i="3"/>
  <c r="A1243" i="3"/>
  <c r="A1244" i="3"/>
  <c r="A1245" i="3"/>
  <c r="A1246" i="3"/>
  <c r="A1247" i="3"/>
  <c r="A1248" i="3"/>
  <c r="A1249" i="3"/>
  <c r="A1250" i="3"/>
  <c r="A1251" i="3"/>
  <c r="A1252" i="3"/>
  <c r="A1253" i="3"/>
  <c r="A1254" i="3"/>
  <c r="A1255" i="3"/>
  <c r="A1256" i="3"/>
  <c r="A1257" i="3"/>
  <c r="A1258" i="3"/>
  <c r="A1259" i="3"/>
  <c r="A1260" i="3"/>
  <c r="A1261" i="3"/>
  <c r="A1262" i="3"/>
  <c r="A1263" i="3"/>
  <c r="A1264" i="3"/>
  <c r="A1265" i="3"/>
  <c r="A1266" i="3"/>
  <c r="A1267" i="3"/>
  <c r="A1268" i="3"/>
  <c r="A1269" i="3"/>
  <c r="A1270" i="3"/>
  <c r="A1271" i="3"/>
  <c r="A1272" i="3"/>
  <c r="A1273" i="3"/>
  <c r="A1274" i="3"/>
  <c r="A1275" i="3"/>
  <c r="A1276" i="3"/>
  <c r="A1277" i="3"/>
  <c r="A1278" i="3"/>
  <c r="A1279" i="3"/>
  <c r="A1280" i="3"/>
  <c r="A1281" i="3"/>
  <c r="A1282" i="3"/>
  <c r="A1283" i="3"/>
  <c r="A1284" i="3"/>
  <c r="A1285" i="3"/>
  <c r="A1286" i="3"/>
  <c r="A1287" i="3"/>
  <c r="A1288" i="3"/>
  <c r="A1289" i="3"/>
  <c r="A1290" i="3"/>
  <c r="A1291" i="3"/>
  <c r="A1292" i="3"/>
  <c r="A1293" i="3"/>
  <c r="A1294" i="3"/>
  <c r="A1295" i="3"/>
  <c r="A1296" i="3"/>
  <c r="A1297" i="3"/>
  <c r="A1298" i="3"/>
  <c r="A1299" i="3"/>
  <c r="A1300" i="3"/>
  <c r="A1301" i="3"/>
  <c r="A1302" i="3"/>
  <c r="A1303" i="3"/>
  <c r="A1304" i="3"/>
  <c r="A1305" i="3"/>
  <c r="A1306" i="3"/>
  <c r="A1307" i="3"/>
  <c r="A1308" i="3"/>
  <c r="A1309" i="3"/>
  <c r="A1310" i="3"/>
  <c r="A1311" i="3"/>
  <c r="A1312" i="3"/>
  <c r="A1313" i="3"/>
  <c r="A1314" i="3"/>
  <c r="A1315" i="3"/>
  <c r="A1316" i="3"/>
  <c r="A1317" i="3"/>
  <c r="A1318" i="3"/>
  <c r="A1319" i="3"/>
  <c r="A1320" i="3"/>
  <c r="A1321" i="3"/>
  <c r="A1322" i="3"/>
  <c r="A1323" i="3"/>
  <c r="A1324" i="3"/>
  <c r="A1325" i="3"/>
  <c r="A1326" i="3"/>
  <c r="A1327" i="3"/>
  <c r="A1328" i="3"/>
  <c r="A1329" i="3"/>
  <c r="A1330" i="3"/>
  <c r="A1331" i="3"/>
  <c r="A1332" i="3"/>
  <c r="A1333" i="3"/>
  <c r="A1334" i="3"/>
  <c r="A1335" i="3"/>
  <c r="A1336" i="3"/>
  <c r="A1337" i="3"/>
  <c r="A1338" i="3"/>
  <c r="A1339" i="3"/>
  <c r="A1340" i="3"/>
  <c r="A1341" i="3"/>
  <c r="A1342" i="3"/>
  <c r="A1343" i="3"/>
  <c r="A1344" i="3"/>
  <c r="A1345" i="3"/>
  <c r="A1346" i="3"/>
  <c r="A1347" i="3"/>
  <c r="A1348" i="3"/>
  <c r="A1349" i="3"/>
  <c r="A1350" i="3"/>
  <c r="A1351" i="3"/>
  <c r="A1352" i="3"/>
  <c r="A1353" i="3"/>
  <c r="A1354" i="3"/>
  <c r="A1355" i="3"/>
  <c r="A1356" i="3"/>
  <c r="A1357" i="3"/>
  <c r="A1358" i="3"/>
  <c r="A1359" i="3"/>
  <c r="A1360" i="3"/>
  <c r="A1361" i="3"/>
  <c r="A1362" i="3"/>
  <c r="A1363" i="3"/>
  <c r="A1364" i="3"/>
  <c r="A1365" i="3"/>
  <c r="A1366" i="3"/>
  <c r="A1367" i="3"/>
  <c r="A1368" i="3"/>
  <c r="A1369" i="3"/>
  <c r="A1370" i="3"/>
  <c r="A1371" i="3"/>
  <c r="A1372" i="3"/>
  <c r="A1373" i="3"/>
  <c r="A1374" i="3"/>
  <c r="A1375" i="3"/>
  <c r="A1376" i="3"/>
  <c r="A1377" i="3"/>
  <c r="A1378" i="3"/>
  <c r="A1379" i="3"/>
  <c r="A1380" i="3"/>
  <c r="A1381" i="3"/>
  <c r="A1382" i="3"/>
  <c r="A1383" i="3"/>
  <c r="A1384" i="3"/>
  <c r="A1385" i="3"/>
  <c r="A1386" i="3"/>
  <c r="A1387" i="3"/>
  <c r="A1388" i="3"/>
  <c r="A1389" i="3"/>
  <c r="A1390" i="3"/>
  <c r="A1391" i="3"/>
  <c r="A1392" i="3"/>
  <c r="A1393" i="3"/>
  <c r="A1394" i="3"/>
  <c r="A1395" i="3"/>
  <c r="A1396" i="3"/>
  <c r="A1397" i="3"/>
  <c r="A1398" i="3"/>
  <c r="A1399" i="3"/>
  <c r="A1400" i="3"/>
  <c r="A1401" i="3"/>
  <c r="A1402" i="3"/>
  <c r="A1403" i="3"/>
  <c r="A1404" i="3"/>
  <c r="A1405" i="3"/>
  <c r="A1406" i="3"/>
  <c r="A1407" i="3"/>
  <c r="A1408" i="3"/>
  <c r="A1409" i="3"/>
  <c r="A1410" i="3"/>
  <c r="A1411" i="3"/>
  <c r="A1412" i="3"/>
  <c r="A1413" i="3"/>
  <c r="A1414" i="3"/>
  <c r="A1415" i="3"/>
  <c r="A1416" i="3"/>
  <c r="A1417" i="3"/>
  <c r="A1418" i="3"/>
  <c r="A1419" i="3"/>
  <c r="A1420" i="3"/>
  <c r="A1421" i="3"/>
  <c r="A1422" i="3"/>
  <c r="A1423" i="3"/>
  <c r="A1424" i="3"/>
  <c r="A1425" i="3"/>
  <c r="A1426" i="3"/>
  <c r="A1427" i="3"/>
  <c r="A1428" i="3"/>
  <c r="A1429" i="3"/>
  <c r="A1430" i="3"/>
  <c r="A1431" i="3"/>
  <c r="A1432" i="3"/>
  <c r="A1433" i="3"/>
  <c r="A1434" i="3"/>
  <c r="A1435" i="3"/>
  <c r="A1436" i="3"/>
  <c r="A1437" i="3"/>
  <c r="A1438" i="3"/>
  <c r="A1439" i="3"/>
  <c r="A1440" i="3"/>
  <c r="A1441" i="3"/>
  <c r="A1442" i="3"/>
  <c r="A1443" i="3"/>
  <c r="A1444" i="3"/>
  <c r="A1445" i="3"/>
  <c r="A1446" i="3"/>
  <c r="A1447" i="3"/>
  <c r="A1448" i="3"/>
  <c r="A1449" i="3"/>
  <c r="A1450" i="3"/>
  <c r="A1451" i="3"/>
  <c r="A1452" i="3"/>
  <c r="A1453" i="3"/>
  <c r="A1454" i="3"/>
  <c r="A1455" i="3"/>
  <c r="A1456" i="3"/>
  <c r="A1457" i="3"/>
  <c r="A1458" i="3"/>
  <c r="A1459" i="3"/>
  <c r="A1460" i="3"/>
  <c r="A1461" i="3"/>
  <c r="A1462" i="3"/>
  <c r="A1463" i="3"/>
  <c r="A1464" i="3"/>
  <c r="A1465" i="3"/>
  <c r="A1466" i="3"/>
  <c r="A1467" i="3"/>
  <c r="A1468" i="3"/>
  <c r="A1469" i="3"/>
  <c r="A1470" i="3"/>
  <c r="A1471" i="3"/>
  <c r="A1472" i="3"/>
  <c r="A1473" i="3"/>
  <c r="A1474" i="3"/>
  <c r="A1475" i="3"/>
  <c r="A1476" i="3"/>
  <c r="A1477" i="3"/>
  <c r="A1478" i="3"/>
  <c r="A1479" i="3"/>
  <c r="A1480" i="3"/>
  <c r="A1481" i="3"/>
  <c r="A1482" i="3"/>
  <c r="A1483" i="3"/>
  <c r="A1484" i="3"/>
  <c r="A1485" i="3"/>
  <c r="A1486" i="3"/>
  <c r="A1487" i="3"/>
  <c r="A1488" i="3"/>
  <c r="A1489" i="3"/>
  <c r="A1490" i="3"/>
  <c r="A1491" i="3"/>
  <c r="A1492" i="3"/>
  <c r="A1493" i="3"/>
  <c r="A1494" i="3"/>
  <c r="A1495" i="3"/>
  <c r="A1496" i="3"/>
  <c r="A1497" i="3"/>
  <c r="A1498" i="3"/>
  <c r="A1499" i="3"/>
  <c r="A1500" i="3"/>
  <c r="A1501" i="3"/>
  <c r="A1502" i="3"/>
  <c r="A1503" i="3"/>
  <c r="A1504" i="3"/>
  <c r="A1505" i="3"/>
  <c r="A1506" i="3"/>
  <c r="A1507" i="3"/>
  <c r="A1508" i="3"/>
  <c r="A1509" i="3"/>
  <c r="A1510" i="3"/>
  <c r="A1511" i="3"/>
  <c r="A1512" i="3"/>
  <c r="A1513" i="3"/>
  <c r="A1514" i="3"/>
  <c r="A1515" i="3"/>
  <c r="A1516" i="3"/>
  <c r="A1517" i="3"/>
  <c r="A1518" i="3"/>
  <c r="A1519" i="3"/>
  <c r="A1520" i="3"/>
  <c r="A1521" i="3"/>
  <c r="A1522" i="3"/>
  <c r="A1523" i="3"/>
  <c r="A1524" i="3"/>
  <c r="A1525" i="3"/>
  <c r="A1526" i="3"/>
  <c r="A1527" i="3"/>
  <c r="A1528" i="3"/>
  <c r="A1529" i="3"/>
  <c r="A1530" i="3"/>
  <c r="A1531" i="3"/>
  <c r="A1532" i="3"/>
  <c r="A1533" i="3"/>
  <c r="A1534" i="3"/>
  <c r="A1535" i="3"/>
  <c r="A1536" i="3"/>
  <c r="A1537" i="3"/>
  <c r="A1538" i="3"/>
  <c r="A1539" i="3"/>
  <c r="A1540" i="3"/>
  <c r="A1541" i="3"/>
  <c r="A1542" i="3"/>
  <c r="A1543" i="3"/>
  <c r="A1544" i="3"/>
  <c r="A1545" i="3"/>
  <c r="A1546" i="3"/>
  <c r="A1547" i="3"/>
  <c r="A1548" i="3"/>
  <c r="A1549" i="3"/>
  <c r="A1550" i="3"/>
  <c r="A1551" i="3"/>
  <c r="A1552" i="3"/>
  <c r="A1553" i="3"/>
  <c r="A1554" i="3"/>
  <c r="A1555" i="3"/>
  <c r="A1556" i="3"/>
  <c r="A1557" i="3"/>
  <c r="A1558" i="3"/>
  <c r="A1559" i="3"/>
  <c r="A1560" i="3"/>
  <c r="A1561" i="3"/>
  <c r="A1562" i="3"/>
  <c r="A1563" i="3"/>
  <c r="A1564" i="3"/>
  <c r="A1565" i="3"/>
  <c r="A1566" i="3"/>
  <c r="A1567" i="3"/>
  <c r="A1568" i="3"/>
  <c r="A1569" i="3"/>
  <c r="A1570" i="3"/>
  <c r="A1571" i="3"/>
  <c r="A1572" i="3"/>
  <c r="A1573" i="3"/>
  <c r="A1574" i="3"/>
  <c r="A1575" i="3"/>
  <c r="A1576" i="3"/>
  <c r="A1577" i="3"/>
  <c r="A1578" i="3"/>
  <c r="A1579" i="3"/>
  <c r="A1580" i="3"/>
  <c r="A1581" i="3"/>
  <c r="A1582" i="3"/>
  <c r="A1583" i="3"/>
  <c r="A1584" i="3"/>
  <c r="A1585" i="3"/>
  <c r="A1586" i="3"/>
  <c r="A1587" i="3"/>
  <c r="A1588" i="3"/>
  <c r="A1589" i="3"/>
  <c r="A1590" i="3"/>
  <c r="A1591" i="3"/>
  <c r="A1592" i="3"/>
  <c r="A1593" i="3"/>
  <c r="A1594" i="3"/>
  <c r="A1595" i="3"/>
  <c r="A1596" i="3"/>
  <c r="A1597" i="3"/>
  <c r="A1598" i="3"/>
  <c r="A1599" i="3"/>
  <c r="A1600" i="3"/>
  <c r="A1601" i="3"/>
  <c r="A1602" i="3"/>
  <c r="A1603" i="3"/>
  <c r="A1604" i="3"/>
  <c r="A1605" i="3"/>
  <c r="A1606" i="3"/>
  <c r="A1607" i="3"/>
  <c r="A1608" i="3"/>
  <c r="A1609" i="3"/>
  <c r="A1610" i="3"/>
  <c r="A1611" i="3"/>
  <c r="A1612" i="3"/>
  <c r="A1613" i="3"/>
  <c r="A1614" i="3"/>
  <c r="A1615" i="3"/>
  <c r="A1616" i="3"/>
  <c r="A1617" i="3"/>
  <c r="A1618" i="3"/>
  <c r="A1619" i="3"/>
  <c r="A1620" i="3"/>
  <c r="A1621" i="3"/>
  <c r="A1622" i="3"/>
  <c r="A1623" i="3"/>
  <c r="A1624" i="3"/>
  <c r="A1625" i="3"/>
  <c r="A1626" i="3"/>
  <c r="A1627" i="3"/>
  <c r="A1628" i="3"/>
  <c r="A1629" i="3"/>
  <c r="A1630" i="3"/>
  <c r="A1631" i="3"/>
  <c r="A1632" i="3"/>
  <c r="A1633" i="3"/>
  <c r="A1634" i="3"/>
  <c r="A1635" i="3"/>
  <c r="A1636" i="3"/>
  <c r="A1637" i="3"/>
  <c r="A1638" i="3"/>
  <c r="A1639" i="3"/>
  <c r="A1640" i="3"/>
  <c r="A1641" i="3"/>
  <c r="A1642" i="3"/>
  <c r="A1643" i="3"/>
  <c r="A1644" i="3"/>
  <c r="A1645" i="3"/>
  <c r="A1646" i="3"/>
  <c r="A1647" i="3"/>
  <c r="A1648" i="3"/>
  <c r="A1649" i="3"/>
  <c r="A1650" i="3"/>
  <c r="A1651" i="3"/>
  <c r="A1652" i="3"/>
  <c r="A1653" i="3"/>
  <c r="A1654" i="3"/>
  <c r="A1655" i="3"/>
  <c r="A1656" i="3"/>
  <c r="A1657" i="3"/>
  <c r="A1658" i="3"/>
  <c r="A1659" i="3"/>
  <c r="A1660" i="3"/>
  <c r="A1661" i="3"/>
  <c r="A1662" i="3"/>
  <c r="A1663" i="3"/>
  <c r="A1664" i="3"/>
  <c r="A1665" i="3"/>
  <c r="A1666" i="3"/>
  <c r="A1667" i="3"/>
  <c r="A1668" i="3"/>
  <c r="A1669" i="3"/>
  <c r="A1670" i="3"/>
  <c r="A1671" i="3"/>
  <c r="A1672" i="3"/>
  <c r="A1673" i="3"/>
  <c r="A1674" i="3"/>
  <c r="A1675" i="3"/>
  <c r="A1676" i="3"/>
  <c r="A1677" i="3"/>
  <c r="A1678" i="3"/>
  <c r="A1679" i="3"/>
  <c r="A1680" i="3"/>
  <c r="A1681" i="3"/>
  <c r="A1682" i="3"/>
  <c r="A1683" i="3"/>
  <c r="A1684" i="3"/>
  <c r="A1685" i="3"/>
  <c r="A1686" i="3"/>
  <c r="A1687" i="3"/>
  <c r="A1688" i="3"/>
  <c r="A1689" i="3"/>
  <c r="A1690" i="3"/>
  <c r="A1691" i="3"/>
  <c r="A1692" i="3"/>
  <c r="A1693" i="3"/>
  <c r="A1694" i="3"/>
  <c r="A1695" i="3"/>
  <c r="A1696" i="3"/>
  <c r="A1697" i="3"/>
  <c r="A1698" i="3"/>
  <c r="A1699" i="3"/>
  <c r="A1700" i="3"/>
  <c r="A1701" i="3"/>
  <c r="A1702" i="3"/>
  <c r="A1703" i="3"/>
  <c r="A1704" i="3"/>
  <c r="A1705" i="3"/>
  <c r="A1706" i="3"/>
  <c r="A1707" i="3"/>
  <c r="A1708" i="3"/>
  <c r="A1709" i="3"/>
  <c r="A1710" i="3"/>
  <c r="A1711" i="3"/>
  <c r="A1712" i="3"/>
  <c r="A1713" i="3"/>
  <c r="A1714" i="3"/>
  <c r="A1715" i="3"/>
  <c r="A1716" i="3"/>
  <c r="A1717" i="3"/>
  <c r="A1718" i="3"/>
  <c r="A1719" i="3"/>
  <c r="A1720" i="3"/>
  <c r="A1721" i="3"/>
  <c r="A1722" i="3"/>
  <c r="A1723" i="3"/>
  <c r="A1724" i="3"/>
  <c r="A1725" i="3"/>
  <c r="A1726" i="3"/>
  <c r="A1727" i="3"/>
  <c r="A1728" i="3"/>
  <c r="A1729" i="3"/>
  <c r="A1730" i="3"/>
  <c r="A1731" i="3"/>
  <c r="A1732" i="3"/>
  <c r="A1733" i="3"/>
  <c r="A1734" i="3"/>
  <c r="A1735" i="3"/>
  <c r="A1736" i="3"/>
  <c r="A1737" i="3"/>
  <c r="A1738" i="3"/>
  <c r="A1739" i="3"/>
  <c r="A1740" i="3"/>
  <c r="A1741" i="3"/>
  <c r="A1742" i="3"/>
  <c r="A1743" i="3"/>
  <c r="A1744" i="3"/>
  <c r="A1745" i="3"/>
  <c r="A1746" i="3"/>
  <c r="A1747" i="3"/>
  <c r="A1748" i="3"/>
  <c r="A1749" i="3"/>
  <c r="A1750" i="3"/>
  <c r="A1751" i="3"/>
  <c r="A1752" i="3"/>
  <c r="A1753" i="3"/>
  <c r="A1754" i="3"/>
  <c r="A1755" i="3"/>
  <c r="A1756" i="3"/>
  <c r="A1757" i="3"/>
  <c r="A1758" i="3"/>
  <c r="A1759" i="3"/>
  <c r="A1760" i="3"/>
  <c r="A1761" i="3"/>
  <c r="A1762" i="3"/>
  <c r="A1763" i="3"/>
  <c r="A1764" i="3"/>
  <c r="A1765" i="3"/>
  <c r="A1766" i="3"/>
  <c r="A1767" i="3"/>
  <c r="A1768" i="3"/>
  <c r="A1769" i="3"/>
  <c r="A1770" i="3"/>
  <c r="A1771" i="3"/>
  <c r="A1772" i="3"/>
  <c r="A1773" i="3"/>
  <c r="A1774" i="3"/>
  <c r="A1775" i="3"/>
  <c r="A1776" i="3"/>
  <c r="A1777" i="3"/>
  <c r="A1778" i="3"/>
  <c r="A1779" i="3"/>
  <c r="A1780" i="3"/>
  <c r="A1781" i="3"/>
  <c r="A1782" i="3"/>
  <c r="A1783" i="3"/>
  <c r="A1784" i="3"/>
  <c r="A1785" i="3"/>
  <c r="A1786" i="3"/>
  <c r="A1787" i="3"/>
  <c r="A1788" i="3"/>
  <c r="A1789" i="3"/>
  <c r="A1790" i="3"/>
  <c r="A1791" i="3"/>
  <c r="A1792" i="3"/>
  <c r="A1793" i="3"/>
  <c r="A1794" i="3"/>
  <c r="A1795" i="3"/>
  <c r="A1796" i="3"/>
  <c r="A1797" i="3"/>
  <c r="A1798" i="3"/>
  <c r="A1799" i="3"/>
  <c r="A1800" i="3"/>
  <c r="A1801" i="3"/>
  <c r="A1802" i="3"/>
  <c r="A1803" i="3"/>
  <c r="A1804" i="3"/>
  <c r="A1805" i="3"/>
  <c r="A1806" i="3"/>
  <c r="A1807" i="3"/>
  <c r="A1808" i="3"/>
  <c r="A1809" i="3"/>
  <c r="A1810" i="3"/>
  <c r="A1811" i="3"/>
  <c r="A1812" i="3"/>
  <c r="A1813" i="3"/>
  <c r="A1814" i="3"/>
  <c r="A1815" i="3"/>
  <c r="A1816" i="3"/>
  <c r="A1817" i="3"/>
  <c r="A1818" i="3"/>
  <c r="A1819" i="3"/>
  <c r="A1820" i="3"/>
  <c r="A1821" i="3"/>
  <c r="A1822" i="3"/>
  <c r="A1823" i="3"/>
  <c r="A1824" i="3"/>
  <c r="A1825" i="3"/>
  <c r="A1826" i="3"/>
  <c r="A1827" i="3"/>
  <c r="A1828" i="3"/>
  <c r="A1829" i="3"/>
  <c r="A1830" i="3"/>
  <c r="A1831" i="3"/>
  <c r="A1832" i="3"/>
  <c r="A1833" i="3"/>
  <c r="A1834" i="3"/>
  <c r="A1835" i="3"/>
  <c r="A1836" i="3"/>
  <c r="A1837" i="3"/>
  <c r="A1838" i="3"/>
  <c r="A1839" i="3"/>
  <c r="A1840" i="3"/>
  <c r="A1841" i="3"/>
  <c r="A1842" i="3"/>
  <c r="A1843" i="3"/>
  <c r="A1844" i="3"/>
  <c r="A1845" i="3"/>
  <c r="A1846" i="3"/>
  <c r="A1847" i="3"/>
  <c r="A1848" i="3"/>
  <c r="A1849" i="3"/>
  <c r="A1850" i="3"/>
  <c r="A1851" i="3"/>
  <c r="A1852" i="3"/>
  <c r="A1853" i="3"/>
  <c r="A1854" i="3"/>
  <c r="A1855" i="3"/>
  <c r="A1856" i="3"/>
  <c r="A1857" i="3"/>
  <c r="A1858" i="3"/>
  <c r="A1859" i="3"/>
  <c r="A1860" i="3"/>
  <c r="A1861" i="3"/>
  <c r="A1862" i="3"/>
  <c r="A1863" i="3"/>
  <c r="A1864" i="3"/>
  <c r="A1865" i="3"/>
  <c r="A1866" i="3"/>
  <c r="A1867" i="3"/>
  <c r="A1868" i="3"/>
  <c r="A1869" i="3"/>
  <c r="A1870" i="3"/>
  <c r="A1871" i="3"/>
  <c r="A1872" i="3"/>
  <c r="A1873" i="3"/>
  <c r="A1874" i="3"/>
  <c r="A1875" i="3"/>
  <c r="A1876" i="3"/>
  <c r="A1877" i="3"/>
  <c r="A1878" i="3"/>
  <c r="A1879" i="3"/>
  <c r="A1880" i="3"/>
  <c r="A1881" i="3"/>
  <c r="A1882" i="3"/>
  <c r="A1883" i="3"/>
  <c r="A1884" i="3"/>
  <c r="A1885" i="3"/>
  <c r="A1886" i="3"/>
  <c r="A1887" i="3"/>
  <c r="A1888" i="3"/>
  <c r="A1889" i="3"/>
  <c r="A1890" i="3"/>
  <c r="A1891" i="3"/>
  <c r="A1892" i="3"/>
  <c r="A1893" i="3"/>
  <c r="A1894" i="3"/>
  <c r="A1895" i="3"/>
  <c r="A1896" i="3"/>
  <c r="A1897" i="3"/>
  <c r="A1898" i="3"/>
  <c r="A1899" i="3"/>
  <c r="A1900" i="3"/>
  <c r="A1901" i="3"/>
  <c r="A1902" i="3"/>
  <c r="A1903" i="3"/>
  <c r="A1904" i="3"/>
  <c r="A1905" i="3"/>
  <c r="A1906" i="3"/>
  <c r="A1907" i="3"/>
  <c r="A1908" i="3"/>
  <c r="A1909" i="3"/>
  <c r="A1910" i="3"/>
  <c r="A1911" i="3"/>
  <c r="A1912" i="3"/>
  <c r="A1913" i="3"/>
  <c r="A1914" i="3"/>
  <c r="A1915" i="3"/>
  <c r="A1916" i="3"/>
  <c r="A1917" i="3"/>
  <c r="A1918" i="3"/>
  <c r="A1919" i="3"/>
  <c r="A1920" i="3"/>
  <c r="A1921" i="3"/>
  <c r="A1922" i="3"/>
  <c r="A1923" i="3"/>
  <c r="A1924" i="3"/>
  <c r="A1925" i="3"/>
  <c r="A1926" i="3"/>
  <c r="A1927" i="3"/>
  <c r="A1928" i="3"/>
  <c r="A1929" i="3"/>
  <c r="A1930" i="3"/>
  <c r="A1931" i="3"/>
  <c r="A1932" i="3"/>
  <c r="A1933" i="3"/>
  <c r="A1934" i="3"/>
  <c r="A1935" i="3"/>
  <c r="A1936" i="3"/>
  <c r="A1937" i="3"/>
  <c r="A1938" i="3"/>
  <c r="A1939" i="3"/>
  <c r="A1940" i="3"/>
  <c r="A1941" i="3"/>
  <c r="A1942" i="3"/>
  <c r="A1943" i="3"/>
  <c r="A1944" i="3"/>
  <c r="A1945" i="3"/>
  <c r="A1946" i="3"/>
  <c r="A1947" i="3"/>
  <c r="A1948" i="3"/>
  <c r="A1949" i="3"/>
  <c r="A1950" i="3"/>
  <c r="A1951" i="3"/>
  <c r="A1952" i="3"/>
  <c r="A1953" i="3"/>
  <c r="A1954" i="3"/>
  <c r="A1955" i="3"/>
  <c r="A1956" i="3"/>
  <c r="A1957" i="3"/>
  <c r="A1958" i="3"/>
  <c r="A1959" i="3"/>
  <c r="A1960" i="3"/>
  <c r="A1961" i="3"/>
  <c r="A1962" i="3"/>
  <c r="A1963" i="3"/>
  <c r="A1964" i="3"/>
  <c r="A1965" i="3"/>
  <c r="A1966" i="3"/>
  <c r="A1967" i="3"/>
  <c r="A1968" i="3"/>
  <c r="A1969" i="3"/>
  <c r="A1970" i="3"/>
  <c r="A1971" i="3"/>
  <c r="A1972" i="3"/>
  <c r="A1973" i="3"/>
  <c r="A1974" i="3"/>
  <c r="A1975" i="3"/>
  <c r="A1976" i="3"/>
  <c r="A1977" i="3"/>
  <c r="A1978" i="3"/>
  <c r="A1979" i="3"/>
  <c r="A1980" i="3"/>
  <c r="A1981" i="3"/>
  <c r="A1982" i="3"/>
  <c r="A1983" i="3"/>
  <c r="A1984" i="3"/>
  <c r="A1985" i="3"/>
  <c r="A1986" i="3"/>
  <c r="A1987" i="3"/>
  <c r="A1988" i="3"/>
  <c r="A1989" i="3"/>
  <c r="A1990" i="3"/>
  <c r="A1991" i="3"/>
  <c r="A1992" i="3"/>
  <c r="A1993" i="3"/>
  <c r="A1994" i="3"/>
  <c r="A1995" i="3"/>
  <c r="A1996" i="3"/>
  <c r="A1997" i="3"/>
  <c r="A1998" i="3"/>
  <c r="A1999" i="3"/>
  <c r="A2000" i="3"/>
  <c r="A2001" i="3"/>
  <c r="A2002" i="3"/>
  <c r="A2003" i="3"/>
  <c r="A2004" i="3"/>
  <c r="A2005" i="3"/>
  <c r="A2006" i="3"/>
  <c r="A2007" i="3"/>
  <c r="A2008" i="3"/>
  <c r="A2009" i="3"/>
  <c r="A2010" i="3"/>
  <c r="A2011" i="3"/>
  <c r="A2012" i="3"/>
  <c r="A2013" i="3"/>
  <c r="A2014" i="3"/>
  <c r="A2015" i="3"/>
  <c r="A2016" i="3"/>
  <c r="A2017" i="3"/>
  <c r="A2018" i="3"/>
  <c r="A2019" i="3"/>
  <c r="A2020" i="3"/>
  <c r="A2021" i="3"/>
  <c r="A2022" i="3"/>
  <c r="A2023" i="3"/>
  <c r="A2024" i="3"/>
  <c r="A2025" i="3"/>
  <c r="A2026" i="3"/>
  <c r="A2027" i="3"/>
  <c r="A2028" i="3"/>
  <c r="A2029" i="3"/>
  <c r="A2030" i="3"/>
  <c r="A2031" i="3"/>
  <c r="A2032" i="3"/>
  <c r="A2033" i="3"/>
  <c r="A2034" i="3"/>
  <c r="A2035" i="3"/>
  <c r="A2036" i="3"/>
  <c r="A2037" i="3"/>
  <c r="A2038" i="3"/>
  <c r="A2039" i="3"/>
  <c r="A2040" i="3"/>
  <c r="A2041" i="3"/>
  <c r="A2042" i="3"/>
  <c r="A2043" i="3"/>
  <c r="A2044" i="3"/>
  <c r="A2045" i="3"/>
  <c r="A2046" i="3"/>
  <c r="A2047" i="3"/>
  <c r="A2048" i="3"/>
  <c r="A2049" i="3"/>
  <c r="A2050" i="3"/>
  <c r="A2051" i="3"/>
  <c r="A2052" i="3"/>
  <c r="A2053" i="3"/>
  <c r="A2054" i="3"/>
  <c r="A2055" i="3"/>
  <c r="A2056" i="3"/>
  <c r="A2057" i="3"/>
  <c r="A2058" i="3"/>
  <c r="A2059" i="3"/>
  <c r="A2060" i="3"/>
  <c r="A2061" i="3"/>
  <c r="A2062" i="3"/>
  <c r="A2063" i="3"/>
  <c r="A2064" i="3"/>
  <c r="A2065" i="3"/>
  <c r="A2066" i="3"/>
  <c r="A2067" i="3"/>
  <c r="A2068" i="3"/>
  <c r="A2069" i="3"/>
  <c r="A2070" i="3"/>
  <c r="A2071" i="3"/>
  <c r="A2072" i="3"/>
  <c r="A2073" i="3"/>
  <c r="A2074" i="3"/>
  <c r="A2075" i="3"/>
  <c r="A2076" i="3"/>
  <c r="A2077" i="3"/>
  <c r="A2078" i="3"/>
  <c r="A2079" i="3"/>
  <c r="A2080" i="3"/>
  <c r="A2081" i="3"/>
  <c r="A2082" i="3"/>
  <c r="A2083" i="3"/>
  <c r="A2084" i="3"/>
  <c r="A2085" i="3"/>
  <c r="A2086" i="3"/>
  <c r="A2087" i="3"/>
  <c r="A2088" i="3"/>
  <c r="A2089" i="3"/>
  <c r="A2090" i="3"/>
  <c r="A2091" i="3"/>
  <c r="A2092" i="3"/>
  <c r="A2093" i="3"/>
  <c r="A2094" i="3"/>
  <c r="A2095" i="3"/>
  <c r="A2096" i="3"/>
  <c r="A2097" i="3"/>
  <c r="A2098" i="3"/>
  <c r="A2099" i="3"/>
  <c r="A2100" i="3"/>
  <c r="A2101" i="3"/>
  <c r="A2102" i="3"/>
  <c r="A2103" i="3"/>
  <c r="A2104" i="3"/>
  <c r="A2105" i="3"/>
  <c r="A2106" i="3"/>
  <c r="A2107" i="3"/>
  <c r="A2108" i="3"/>
  <c r="A2109" i="3"/>
  <c r="A2110" i="3"/>
  <c r="A2111" i="3"/>
  <c r="A2112" i="3"/>
  <c r="A2113" i="3"/>
  <c r="A2114" i="3"/>
  <c r="A2115" i="3"/>
  <c r="A2116" i="3"/>
  <c r="A2117" i="3"/>
  <c r="A2118" i="3"/>
  <c r="A2119" i="3"/>
  <c r="A2120" i="3"/>
  <c r="A2121" i="3"/>
  <c r="A2122" i="3"/>
  <c r="A2123" i="3"/>
  <c r="A2124" i="3"/>
  <c r="A2125" i="3"/>
  <c r="A2126" i="3"/>
  <c r="A2127" i="3"/>
  <c r="A2128" i="3"/>
  <c r="A2129" i="3"/>
  <c r="A2130" i="3"/>
  <c r="A2131" i="3"/>
  <c r="A2132" i="3"/>
  <c r="A2133" i="3"/>
  <c r="A2134" i="3"/>
  <c r="A2135" i="3"/>
  <c r="A2136" i="3"/>
  <c r="A2137" i="3"/>
  <c r="A2138" i="3"/>
  <c r="A2139" i="3"/>
  <c r="A2140" i="3"/>
  <c r="A2141" i="3"/>
  <c r="A2142" i="3"/>
  <c r="A2143" i="3"/>
  <c r="A2144" i="3"/>
  <c r="A2145" i="3"/>
  <c r="A2146" i="3"/>
  <c r="A2147" i="3"/>
  <c r="A2148" i="3"/>
  <c r="A2149" i="3"/>
  <c r="A2150" i="3"/>
  <c r="A2151" i="3"/>
  <c r="A2152" i="3"/>
  <c r="A2153" i="3"/>
  <c r="A2154" i="3"/>
  <c r="A2155" i="3"/>
  <c r="A2156" i="3"/>
  <c r="A2157" i="3"/>
  <c r="A2158" i="3"/>
  <c r="A2159" i="3"/>
  <c r="A2160" i="3"/>
  <c r="A2161" i="3"/>
  <c r="A2162" i="3"/>
  <c r="A2163" i="3"/>
  <c r="A2164" i="3"/>
  <c r="A2165" i="3"/>
  <c r="A2166" i="3"/>
  <c r="A2167" i="3"/>
  <c r="A2168" i="3"/>
  <c r="A2169" i="3"/>
  <c r="A2170" i="3"/>
  <c r="A2171" i="3"/>
  <c r="A2172" i="3"/>
  <c r="A2173" i="3"/>
  <c r="A2174" i="3"/>
  <c r="A2175" i="3"/>
  <c r="A2176" i="3"/>
  <c r="A2177" i="3"/>
  <c r="A2178" i="3"/>
  <c r="A2179" i="3"/>
  <c r="A2180" i="3"/>
  <c r="A2181" i="3"/>
  <c r="A2182" i="3"/>
  <c r="A2183" i="3"/>
  <c r="A2184" i="3"/>
  <c r="A2185" i="3"/>
  <c r="A2186" i="3"/>
  <c r="A2187" i="3"/>
  <c r="A2188" i="3"/>
  <c r="A2189" i="3"/>
  <c r="A2190" i="3"/>
  <c r="A2191" i="3"/>
  <c r="A2192" i="3"/>
  <c r="A2193" i="3"/>
  <c r="A2194" i="3"/>
  <c r="A2195" i="3"/>
  <c r="A2196" i="3"/>
  <c r="A2197" i="3"/>
  <c r="A2198" i="3"/>
  <c r="A2199" i="3"/>
  <c r="A2200" i="3"/>
  <c r="A2201" i="3"/>
  <c r="A2202" i="3"/>
  <c r="A2203" i="3"/>
  <c r="A2204" i="3"/>
  <c r="A2205" i="3"/>
  <c r="A2206" i="3"/>
  <c r="A2207" i="3"/>
  <c r="A2208" i="3"/>
  <c r="A2209" i="3"/>
  <c r="A2210" i="3"/>
  <c r="A2211" i="3"/>
  <c r="A2212" i="3"/>
  <c r="A2213" i="3"/>
  <c r="A2214" i="3"/>
  <c r="A2215" i="3"/>
  <c r="A2216" i="3"/>
  <c r="A2217" i="3"/>
  <c r="A2218" i="3"/>
  <c r="A2219" i="3"/>
  <c r="A2220" i="3"/>
  <c r="A2221" i="3"/>
  <c r="A2222" i="3"/>
  <c r="A2223" i="3"/>
  <c r="A2224" i="3"/>
  <c r="A2225" i="3"/>
  <c r="A2226" i="3"/>
  <c r="A2227" i="3"/>
  <c r="A2228" i="3"/>
  <c r="A2229" i="3"/>
  <c r="A2230" i="3"/>
  <c r="A2231" i="3"/>
  <c r="A2232" i="3"/>
  <c r="A2233" i="3"/>
  <c r="A2234" i="3"/>
  <c r="A2235" i="3"/>
  <c r="A2236" i="3"/>
  <c r="A2237" i="3"/>
  <c r="A2238" i="3"/>
  <c r="A2239" i="3"/>
  <c r="A2240" i="3"/>
  <c r="A2241" i="3"/>
  <c r="A2242" i="3"/>
  <c r="A2243" i="3"/>
  <c r="A2244" i="3"/>
  <c r="A2245" i="3"/>
  <c r="A2246" i="3"/>
  <c r="A2247" i="3"/>
  <c r="A2248" i="3"/>
  <c r="A2249" i="3"/>
  <c r="A2250" i="3"/>
  <c r="A2251" i="3"/>
  <c r="A2252" i="3"/>
  <c r="A2253" i="3"/>
  <c r="A2254" i="3"/>
  <c r="A2255" i="3"/>
  <c r="A2256" i="3"/>
  <c r="A2257" i="3"/>
  <c r="A2258" i="3"/>
  <c r="A2259" i="3"/>
  <c r="A2260" i="3"/>
  <c r="A2261" i="3"/>
  <c r="A2262" i="3"/>
  <c r="A2263" i="3"/>
  <c r="A2264" i="3"/>
  <c r="A2265" i="3"/>
  <c r="A2266" i="3"/>
  <c r="A2267" i="3"/>
  <c r="A2268" i="3"/>
  <c r="A2269" i="3"/>
  <c r="A2270" i="3"/>
  <c r="A2271" i="3"/>
  <c r="A2272" i="3"/>
  <c r="A2273" i="3"/>
  <c r="A2274" i="3"/>
  <c r="A2275" i="3"/>
  <c r="A2276" i="3"/>
  <c r="A2277" i="3"/>
  <c r="A2278" i="3"/>
  <c r="A2279" i="3"/>
  <c r="A2280" i="3"/>
  <c r="A2281" i="3"/>
  <c r="A2282" i="3"/>
  <c r="A2283" i="3"/>
  <c r="A2284" i="3"/>
  <c r="A2285" i="3"/>
  <c r="A2286" i="3"/>
  <c r="A2287" i="3"/>
  <c r="A2288" i="3"/>
  <c r="A2289" i="3"/>
  <c r="A2290" i="3"/>
  <c r="A2291" i="3"/>
  <c r="A2292" i="3"/>
  <c r="A2293" i="3"/>
  <c r="A2294" i="3"/>
  <c r="A2295" i="3"/>
  <c r="A2296" i="3"/>
  <c r="A2297" i="3"/>
  <c r="A2298" i="3"/>
  <c r="A2299" i="3"/>
  <c r="A2300" i="3"/>
  <c r="A2301" i="3"/>
  <c r="A2302" i="3"/>
  <c r="A2303" i="3"/>
  <c r="A2304" i="3"/>
  <c r="A2305" i="3"/>
  <c r="A2306" i="3"/>
  <c r="A2307" i="3"/>
  <c r="A2308" i="3"/>
  <c r="A2309" i="3"/>
  <c r="A2310" i="3"/>
  <c r="A2311" i="3"/>
  <c r="A2312" i="3"/>
  <c r="A2313" i="3"/>
  <c r="A2314" i="3"/>
  <c r="A2315" i="3"/>
  <c r="A2316" i="3"/>
  <c r="A2317" i="3"/>
  <c r="A2318" i="3"/>
  <c r="A2319" i="3"/>
  <c r="A2320" i="3"/>
  <c r="A2321" i="3"/>
  <c r="A2322" i="3"/>
  <c r="A2323" i="3"/>
  <c r="A2324" i="3"/>
  <c r="A2325" i="3"/>
  <c r="A2326" i="3"/>
  <c r="A2327" i="3"/>
  <c r="A2328" i="3"/>
  <c r="A2329" i="3"/>
  <c r="A2330" i="3"/>
  <c r="A2331" i="3"/>
  <c r="A2332" i="3"/>
  <c r="A2333" i="3"/>
  <c r="A2334" i="3"/>
  <c r="A2335" i="3"/>
  <c r="A2336" i="3"/>
  <c r="A2337" i="3"/>
  <c r="A2338" i="3"/>
  <c r="A2339" i="3"/>
  <c r="A2340" i="3"/>
  <c r="A2341" i="3"/>
  <c r="A2342" i="3"/>
  <c r="A2343" i="3"/>
  <c r="A2344" i="3"/>
  <c r="A2345" i="3"/>
  <c r="A2346" i="3"/>
  <c r="A2347" i="3"/>
  <c r="A2348" i="3"/>
  <c r="A2349" i="3"/>
  <c r="A2350" i="3"/>
  <c r="A2351" i="3"/>
  <c r="A2352" i="3"/>
  <c r="A2353" i="3"/>
  <c r="A2354" i="3"/>
  <c r="A2355" i="3"/>
  <c r="A2356" i="3"/>
  <c r="A2357" i="3"/>
  <c r="A2358" i="3"/>
  <c r="A2359" i="3"/>
  <c r="A2360" i="3"/>
  <c r="A2361" i="3"/>
  <c r="A2362" i="3"/>
  <c r="A2363" i="3"/>
  <c r="A2364" i="3"/>
  <c r="A2365" i="3"/>
  <c r="A2366" i="3"/>
  <c r="A2367" i="3"/>
  <c r="A2368" i="3"/>
  <c r="A2369" i="3"/>
  <c r="A2370" i="3"/>
  <c r="A2371" i="3"/>
  <c r="A2372" i="3"/>
  <c r="A2373" i="3"/>
  <c r="A2374" i="3"/>
  <c r="A2375" i="3"/>
  <c r="A2376" i="3"/>
  <c r="A2377" i="3"/>
  <c r="A2378" i="3"/>
  <c r="A2379" i="3"/>
  <c r="A2380" i="3"/>
  <c r="A2381" i="3"/>
  <c r="A2382" i="3"/>
  <c r="A2383" i="3"/>
  <c r="A2384" i="3"/>
  <c r="A2385" i="3"/>
  <c r="A2386" i="3"/>
  <c r="A2387" i="3"/>
  <c r="A2388" i="3"/>
  <c r="A2389" i="3"/>
  <c r="A2390" i="3"/>
  <c r="A2391" i="3"/>
  <c r="A2392" i="3"/>
  <c r="A2393" i="3"/>
  <c r="A2394" i="3"/>
  <c r="A2395" i="3"/>
  <c r="A2396" i="3"/>
  <c r="A2397" i="3"/>
  <c r="A2398" i="3"/>
  <c r="A2399" i="3"/>
  <c r="A2400" i="3"/>
  <c r="A2401" i="3"/>
  <c r="A2402" i="3"/>
  <c r="A2403" i="3"/>
  <c r="A2404" i="3"/>
  <c r="A2405" i="3"/>
  <c r="A2406" i="3"/>
  <c r="A2407" i="3"/>
  <c r="A2408" i="3"/>
  <c r="A2409" i="3"/>
  <c r="A2410" i="3"/>
  <c r="A2411" i="3"/>
  <c r="A2412" i="3"/>
  <c r="A2413" i="3"/>
  <c r="A2414" i="3"/>
  <c r="A2415" i="3"/>
  <c r="A2416" i="3"/>
  <c r="A2417" i="3"/>
  <c r="A2418" i="3"/>
  <c r="A2419" i="3"/>
  <c r="A2420" i="3"/>
  <c r="A2421" i="3"/>
  <c r="A2422" i="3"/>
  <c r="A2423" i="3"/>
  <c r="A2424" i="3"/>
  <c r="A2425" i="3"/>
  <c r="A2426" i="3"/>
  <c r="A2427" i="3"/>
  <c r="A2428" i="3"/>
  <c r="A2429" i="3"/>
  <c r="A2430" i="3"/>
  <c r="A2431" i="3"/>
  <c r="A2432" i="3"/>
  <c r="A2433" i="3"/>
  <c r="A2434" i="3"/>
  <c r="A2435" i="3"/>
  <c r="A2436" i="3"/>
  <c r="A2437" i="3"/>
  <c r="A2438" i="3"/>
  <c r="A2439" i="3"/>
  <c r="A2440" i="3"/>
  <c r="A2441" i="3"/>
  <c r="A2442" i="3"/>
  <c r="A2443" i="3"/>
  <c r="A2444" i="3"/>
  <c r="A2445" i="3"/>
  <c r="A2446" i="3"/>
  <c r="A2447" i="3"/>
  <c r="A2448" i="3"/>
  <c r="A2449" i="3"/>
  <c r="A2450" i="3"/>
  <c r="A2451" i="3"/>
  <c r="A2452" i="3"/>
  <c r="A2453" i="3"/>
  <c r="A2454" i="3"/>
  <c r="A2455" i="3"/>
  <c r="A2456" i="3"/>
  <c r="A2457" i="3"/>
  <c r="A2458" i="3"/>
  <c r="A2459" i="3"/>
  <c r="A2460" i="3"/>
  <c r="A2461" i="3"/>
  <c r="A2462" i="3"/>
  <c r="A2463" i="3"/>
  <c r="A2464" i="3"/>
  <c r="A2465" i="3"/>
  <c r="A2466" i="3"/>
  <c r="A2467" i="3"/>
  <c r="A2468" i="3"/>
  <c r="A2469" i="3"/>
  <c r="A2470" i="3"/>
  <c r="A2471" i="3"/>
  <c r="A2472" i="3"/>
  <c r="A2473" i="3"/>
  <c r="A2474" i="3"/>
  <c r="A2475" i="3"/>
  <c r="A2476" i="3"/>
  <c r="A2477" i="3"/>
  <c r="A2478" i="3"/>
  <c r="A2479" i="3"/>
  <c r="A2480" i="3"/>
  <c r="A2481" i="3"/>
  <c r="A2482" i="3"/>
  <c r="A2483" i="3"/>
  <c r="A2484" i="3"/>
  <c r="A2485" i="3"/>
  <c r="A2486" i="3"/>
  <c r="A2487" i="3"/>
  <c r="A2488" i="3"/>
  <c r="A2489" i="3"/>
  <c r="A2490" i="3"/>
  <c r="A2491" i="3"/>
  <c r="A2492" i="3"/>
  <c r="A2493" i="3"/>
  <c r="A2494" i="3"/>
  <c r="A2495" i="3"/>
  <c r="A2496" i="3"/>
  <c r="A2497" i="3"/>
  <c r="A2498" i="3"/>
  <c r="A2499" i="3"/>
  <c r="A2500" i="3"/>
  <c r="A2501" i="3"/>
  <c r="A2502" i="3"/>
  <c r="A2503" i="3"/>
  <c r="A2504" i="3"/>
  <c r="A2505" i="3"/>
  <c r="A2506" i="3"/>
  <c r="A2507" i="3"/>
  <c r="A2508" i="3"/>
  <c r="A2509" i="3"/>
  <c r="A2510" i="3"/>
  <c r="A2511" i="3"/>
  <c r="A2512" i="3"/>
  <c r="A2513" i="3"/>
  <c r="A2514" i="3"/>
  <c r="A2515" i="3"/>
  <c r="A2516" i="3"/>
  <c r="A2517" i="3"/>
  <c r="A2518" i="3"/>
  <c r="A2519" i="3"/>
  <c r="A2520" i="3"/>
  <c r="A2521" i="3"/>
  <c r="A2522" i="3"/>
  <c r="A2523" i="3"/>
  <c r="A2524" i="3"/>
  <c r="A2525" i="3"/>
  <c r="A2526" i="3"/>
  <c r="A2527" i="3"/>
  <c r="A2528" i="3"/>
  <c r="A2529" i="3"/>
  <c r="A2530" i="3"/>
  <c r="A2531" i="3"/>
  <c r="A2532" i="3"/>
  <c r="A2533" i="3"/>
  <c r="A2534" i="3"/>
  <c r="A2535" i="3"/>
  <c r="A2536" i="3"/>
  <c r="A2537" i="3"/>
  <c r="A2538" i="3"/>
  <c r="A2539" i="3"/>
  <c r="A2540" i="3"/>
  <c r="A2541" i="3"/>
  <c r="A2542" i="3"/>
  <c r="A2543" i="3"/>
  <c r="A2544" i="3"/>
  <c r="A2545" i="3"/>
  <c r="A2546" i="3"/>
  <c r="A2547" i="3"/>
  <c r="A2548" i="3"/>
  <c r="A2549" i="3"/>
  <c r="A2550" i="3"/>
  <c r="A2551" i="3"/>
  <c r="A2552" i="3"/>
  <c r="A2553" i="3"/>
  <c r="A2554" i="3"/>
  <c r="A2555" i="3"/>
  <c r="A2556" i="3"/>
  <c r="A2557" i="3"/>
  <c r="A2558" i="3"/>
  <c r="A2559" i="3"/>
  <c r="A2560" i="3"/>
  <c r="A2561" i="3"/>
  <c r="A2562" i="3"/>
  <c r="A2563" i="3"/>
  <c r="A2564" i="3"/>
  <c r="A2565" i="3"/>
  <c r="A2566" i="3"/>
  <c r="A2567" i="3"/>
  <c r="A2568" i="3"/>
  <c r="A2569" i="3"/>
  <c r="A2570" i="3"/>
  <c r="A2571" i="3"/>
  <c r="A2572" i="3"/>
  <c r="A2573" i="3"/>
  <c r="A2574" i="3"/>
  <c r="A2575" i="3"/>
  <c r="A2576" i="3"/>
  <c r="A2577" i="3"/>
  <c r="A2578" i="3"/>
  <c r="A2579" i="3"/>
  <c r="A2580" i="3"/>
  <c r="A2581" i="3"/>
  <c r="A2582" i="3"/>
  <c r="A2583" i="3"/>
  <c r="A2584" i="3"/>
  <c r="A2585" i="3"/>
  <c r="A2586" i="3"/>
  <c r="A2587" i="3"/>
  <c r="A2588" i="3"/>
  <c r="A2589" i="3"/>
  <c r="A2590" i="3"/>
  <c r="A2591" i="3"/>
  <c r="A2592" i="3"/>
  <c r="A2593" i="3"/>
  <c r="A2594" i="3"/>
  <c r="A2595" i="3"/>
  <c r="A2596" i="3"/>
  <c r="A2597" i="3"/>
  <c r="A2598" i="3"/>
  <c r="A2599" i="3"/>
  <c r="A2600" i="3"/>
  <c r="A2601" i="3"/>
  <c r="A2602" i="3"/>
  <c r="A2603" i="3"/>
  <c r="A2604" i="3"/>
  <c r="A2605" i="3"/>
  <c r="A2606" i="3"/>
  <c r="A2607" i="3"/>
  <c r="A2608" i="3"/>
  <c r="A2609" i="3"/>
  <c r="A2610" i="3"/>
  <c r="A2611" i="3"/>
  <c r="A2612" i="3"/>
  <c r="A2613" i="3"/>
  <c r="A2614" i="3"/>
  <c r="A2615" i="3"/>
  <c r="A2616" i="3"/>
  <c r="A2617" i="3"/>
  <c r="A2618" i="3"/>
  <c r="A2619" i="3"/>
  <c r="A2620" i="3"/>
  <c r="A2621" i="3"/>
  <c r="A2622" i="3"/>
  <c r="A2623" i="3"/>
  <c r="A2624" i="3"/>
  <c r="A2625" i="3"/>
  <c r="A2626" i="3"/>
  <c r="A2627" i="3"/>
  <c r="A2628" i="3"/>
  <c r="A2629" i="3"/>
  <c r="A2630" i="3"/>
  <c r="A2631" i="3"/>
  <c r="A2632" i="3"/>
  <c r="A2633" i="3"/>
  <c r="A2634" i="3"/>
  <c r="A2635" i="3"/>
  <c r="A2636" i="3"/>
  <c r="A2637" i="3"/>
  <c r="A2638" i="3"/>
  <c r="A2639" i="3"/>
  <c r="A2640" i="3"/>
  <c r="A2641" i="3"/>
  <c r="A2642" i="3"/>
  <c r="A2643" i="3"/>
  <c r="A2644" i="3"/>
  <c r="A2645" i="3"/>
  <c r="A2646" i="3"/>
  <c r="A2647" i="3"/>
  <c r="A2648" i="3"/>
  <c r="A2649" i="3"/>
  <c r="A2650" i="3"/>
  <c r="A2651" i="3"/>
  <c r="A2652" i="3"/>
  <c r="A2653" i="3"/>
  <c r="A2654" i="3"/>
  <c r="A2655" i="3"/>
  <c r="A2656" i="3"/>
  <c r="A2657" i="3"/>
  <c r="A2658" i="3"/>
  <c r="A2659" i="3"/>
  <c r="A2660" i="3"/>
  <c r="A2661" i="3"/>
  <c r="A2662" i="3"/>
  <c r="A2663" i="3"/>
  <c r="A2664" i="3"/>
  <c r="A2665" i="3"/>
  <c r="A2666" i="3"/>
  <c r="A2667" i="3"/>
  <c r="A2668" i="3"/>
  <c r="A2669" i="3"/>
  <c r="A2670" i="3"/>
  <c r="A2671" i="3"/>
  <c r="A2672" i="3"/>
  <c r="A2673" i="3"/>
  <c r="A2674" i="3"/>
  <c r="A2675" i="3"/>
  <c r="A2676" i="3"/>
  <c r="A2677" i="3"/>
  <c r="A2678" i="3"/>
  <c r="A2679" i="3"/>
  <c r="A2680" i="3"/>
  <c r="A2681" i="3"/>
  <c r="A2682" i="3"/>
  <c r="A2683" i="3"/>
  <c r="A2684" i="3"/>
  <c r="A2685" i="3"/>
  <c r="A2686" i="3"/>
  <c r="A2687" i="3"/>
  <c r="A2688" i="3"/>
  <c r="A2689" i="3"/>
  <c r="A2690" i="3"/>
  <c r="A2691" i="3"/>
  <c r="A2692" i="3"/>
  <c r="A2693" i="3"/>
  <c r="A2694" i="3"/>
  <c r="A2695" i="3"/>
  <c r="A2696" i="3"/>
  <c r="A2697" i="3"/>
  <c r="A2698" i="3"/>
  <c r="A2699" i="3"/>
  <c r="A2700" i="3"/>
  <c r="A2701" i="3"/>
  <c r="A2702" i="3"/>
  <c r="A2703" i="3"/>
  <c r="A2704" i="3"/>
  <c r="A2705" i="3"/>
  <c r="A2706" i="3"/>
  <c r="A2707" i="3"/>
  <c r="A2708" i="3"/>
  <c r="A2709" i="3"/>
  <c r="A2710" i="3"/>
  <c r="A2711" i="3"/>
  <c r="A2712" i="3"/>
  <c r="A2713" i="3"/>
  <c r="A2714" i="3"/>
  <c r="A2715" i="3"/>
  <c r="A2716" i="3"/>
  <c r="A2717" i="3"/>
  <c r="A2718" i="3"/>
  <c r="A2719" i="3"/>
  <c r="A2720" i="3"/>
  <c r="A2721" i="3"/>
  <c r="A2722" i="3"/>
  <c r="A2723" i="3"/>
  <c r="A2724" i="3"/>
  <c r="A2725" i="3"/>
  <c r="A2726" i="3"/>
  <c r="A2727" i="3"/>
  <c r="A2728" i="3"/>
  <c r="A2729" i="3"/>
  <c r="A2730" i="3"/>
  <c r="A2731" i="3"/>
  <c r="A2732" i="3"/>
  <c r="A2733" i="3"/>
  <c r="A2734" i="3"/>
  <c r="A2735" i="3"/>
  <c r="A2736" i="3"/>
  <c r="A2737" i="3"/>
  <c r="A2738" i="3"/>
  <c r="A2739" i="3"/>
  <c r="A2740" i="3"/>
  <c r="A2741" i="3"/>
  <c r="A2742" i="3"/>
  <c r="A2743" i="3"/>
  <c r="A2744" i="3"/>
  <c r="A2745" i="3"/>
  <c r="A2746" i="3"/>
  <c r="A2747" i="3"/>
  <c r="A2748" i="3"/>
  <c r="A2749" i="3"/>
  <c r="A2750" i="3"/>
  <c r="A2751" i="3"/>
  <c r="A2752" i="3"/>
  <c r="A2753" i="3"/>
  <c r="A2754" i="3"/>
  <c r="A2755" i="3"/>
  <c r="A2756" i="3"/>
  <c r="A2757" i="3"/>
  <c r="A2758" i="3"/>
  <c r="A2759" i="3"/>
  <c r="A2760" i="3"/>
  <c r="A2761" i="3"/>
  <c r="A2762" i="3"/>
  <c r="A2763" i="3"/>
  <c r="A2764" i="3"/>
  <c r="A2765" i="3"/>
  <c r="A2766" i="3"/>
  <c r="A2767" i="3"/>
  <c r="A2768" i="3"/>
  <c r="A2769" i="3"/>
  <c r="A2770" i="3"/>
  <c r="A2771" i="3"/>
  <c r="A2772" i="3"/>
  <c r="A2773" i="3"/>
  <c r="A2774" i="3"/>
  <c r="A2775" i="3"/>
  <c r="A2776" i="3"/>
  <c r="A2777" i="3"/>
  <c r="A2778" i="3"/>
  <c r="A2779" i="3"/>
  <c r="A2780" i="3"/>
  <c r="A2781" i="3"/>
  <c r="A2782" i="3"/>
  <c r="A2783" i="3"/>
  <c r="A2784" i="3"/>
  <c r="A2785" i="3"/>
  <c r="A2786" i="3"/>
  <c r="A2787" i="3"/>
  <c r="A2788" i="3"/>
  <c r="A2789" i="3"/>
  <c r="A2790" i="3"/>
  <c r="A2791" i="3"/>
  <c r="A2792" i="3"/>
  <c r="A2793" i="3"/>
  <c r="A2794" i="3"/>
  <c r="A2795" i="3"/>
  <c r="A2796" i="3"/>
  <c r="A2797" i="3"/>
  <c r="A2798" i="3"/>
  <c r="A2799" i="3"/>
  <c r="A2800" i="3"/>
  <c r="A2801" i="3"/>
  <c r="A2802" i="3"/>
  <c r="A2803" i="3"/>
  <c r="A2804" i="3"/>
  <c r="A2805" i="3"/>
  <c r="A2806" i="3"/>
  <c r="A2807" i="3"/>
  <c r="A2808" i="3"/>
  <c r="A2809" i="3"/>
  <c r="A2810" i="3"/>
  <c r="A2811" i="3"/>
  <c r="A2812" i="3"/>
  <c r="A2813" i="3"/>
  <c r="A2814" i="3"/>
  <c r="A2815" i="3"/>
  <c r="A2816" i="3"/>
  <c r="A2817" i="3"/>
  <c r="A2818" i="3"/>
  <c r="A2819" i="3"/>
  <c r="A2820" i="3"/>
  <c r="A2821" i="3"/>
  <c r="A2822" i="3"/>
  <c r="A2823" i="3"/>
  <c r="A2824" i="3"/>
  <c r="A2825" i="3"/>
  <c r="A2826" i="3"/>
  <c r="A2827" i="3"/>
  <c r="A2828" i="3"/>
  <c r="A2829" i="3"/>
  <c r="A2830" i="3"/>
  <c r="A2831" i="3"/>
  <c r="A2832" i="3"/>
  <c r="A2833" i="3"/>
  <c r="A2834" i="3"/>
  <c r="A2835" i="3"/>
  <c r="A2836" i="3"/>
  <c r="A2837" i="3"/>
  <c r="A2838" i="3"/>
  <c r="A2839" i="3"/>
  <c r="A2840" i="3"/>
  <c r="A2841" i="3"/>
  <c r="A2842" i="3"/>
  <c r="A2843" i="3"/>
  <c r="A2844" i="3"/>
  <c r="A2845" i="3"/>
  <c r="A2846" i="3"/>
  <c r="A2847" i="3"/>
  <c r="A2848" i="3"/>
  <c r="A2849" i="3"/>
  <c r="A2850" i="3"/>
  <c r="A2851" i="3"/>
  <c r="A2852" i="3"/>
  <c r="A2853" i="3"/>
  <c r="A2854" i="3"/>
  <c r="A2855" i="3"/>
  <c r="A2856" i="3"/>
  <c r="A2857" i="3"/>
  <c r="A2858" i="3"/>
  <c r="A2859" i="3"/>
  <c r="A2860" i="3"/>
  <c r="A2861" i="3"/>
  <c r="A2862" i="3"/>
  <c r="A2863" i="3"/>
  <c r="A2864" i="3"/>
  <c r="A2865" i="3"/>
  <c r="A2866" i="3"/>
  <c r="A2867" i="3"/>
  <c r="A2868" i="3"/>
  <c r="A2869" i="3"/>
  <c r="A2870" i="3"/>
  <c r="A2871" i="3"/>
  <c r="A2872" i="3"/>
  <c r="A2873" i="3"/>
  <c r="A2874" i="3"/>
  <c r="A2875" i="3"/>
  <c r="A2876" i="3"/>
  <c r="A2877" i="3"/>
  <c r="A2878" i="3"/>
  <c r="A2879" i="3"/>
  <c r="A2880" i="3"/>
  <c r="A2881" i="3"/>
  <c r="A2882" i="3"/>
  <c r="A2883" i="3"/>
  <c r="A2884" i="3"/>
  <c r="A2885" i="3"/>
  <c r="A2886" i="3"/>
  <c r="A2887" i="3"/>
  <c r="A2888" i="3"/>
  <c r="A2889" i="3"/>
  <c r="A2890" i="3"/>
  <c r="A2891" i="3"/>
  <c r="A2892" i="3"/>
  <c r="A2893" i="3"/>
  <c r="A2894" i="3"/>
  <c r="A2895" i="3"/>
  <c r="A2896" i="3"/>
  <c r="A2897" i="3"/>
  <c r="A2898" i="3"/>
  <c r="A2899" i="3"/>
  <c r="A2900" i="3"/>
  <c r="A2901" i="3"/>
  <c r="A2902" i="3"/>
  <c r="A2903" i="3"/>
  <c r="A2904" i="3"/>
  <c r="A2905" i="3"/>
  <c r="A2906" i="3"/>
  <c r="A2907" i="3"/>
  <c r="A2908" i="3"/>
  <c r="A2909" i="3"/>
  <c r="A2910" i="3"/>
  <c r="A2911" i="3"/>
  <c r="A2912" i="3"/>
  <c r="A2913" i="3"/>
  <c r="A2914" i="3"/>
  <c r="A2915" i="3"/>
  <c r="A2916" i="3"/>
  <c r="A2917" i="3"/>
  <c r="A2918" i="3"/>
  <c r="A2919" i="3"/>
  <c r="A2920" i="3"/>
  <c r="A2921" i="3"/>
  <c r="A2922" i="3"/>
  <c r="A2923" i="3"/>
  <c r="A2924" i="3"/>
  <c r="A2925" i="3"/>
  <c r="A2926" i="3"/>
  <c r="A2927" i="3"/>
  <c r="A2928" i="3"/>
  <c r="A2929" i="3"/>
  <c r="A2930" i="3"/>
  <c r="A2931" i="3"/>
  <c r="A2932" i="3"/>
  <c r="A2933" i="3"/>
  <c r="A2934" i="3"/>
  <c r="A2935" i="3"/>
  <c r="A2936" i="3"/>
  <c r="A2937" i="3"/>
  <c r="A2938" i="3"/>
  <c r="A2939" i="3"/>
  <c r="A2940" i="3"/>
  <c r="A2941" i="3"/>
  <c r="A2942" i="3"/>
  <c r="A2943" i="3"/>
  <c r="A2944" i="3"/>
  <c r="A2945" i="3"/>
  <c r="A2946" i="3"/>
  <c r="A2947" i="3"/>
  <c r="A2948" i="3"/>
  <c r="A2949" i="3"/>
  <c r="A2950" i="3"/>
  <c r="A2951" i="3"/>
  <c r="A2952" i="3"/>
  <c r="A2953" i="3"/>
  <c r="A2954" i="3"/>
  <c r="A2955" i="3"/>
  <c r="A2956" i="3"/>
  <c r="A2957" i="3"/>
  <c r="A2958" i="3"/>
  <c r="A2959" i="3"/>
  <c r="A2960" i="3"/>
  <c r="A2961" i="3"/>
  <c r="A2962" i="3"/>
  <c r="A2963" i="3"/>
  <c r="A2964" i="3"/>
  <c r="A2965" i="3"/>
  <c r="A2966" i="3"/>
  <c r="A2967" i="3"/>
  <c r="A2968" i="3"/>
  <c r="A2969" i="3"/>
  <c r="A2970" i="3"/>
  <c r="A2971" i="3"/>
  <c r="A2972" i="3"/>
  <c r="A2973" i="3"/>
  <c r="A2974" i="3"/>
  <c r="A2975" i="3"/>
  <c r="A2976" i="3"/>
  <c r="A2977" i="3"/>
  <c r="A2978" i="3"/>
  <c r="A2979" i="3"/>
  <c r="A2980" i="3"/>
  <c r="A2981" i="3"/>
  <c r="A2982" i="3"/>
  <c r="A2983" i="3"/>
  <c r="A2984" i="3"/>
  <c r="A2985" i="3"/>
  <c r="A2986" i="3"/>
  <c r="A2987" i="3"/>
  <c r="A2988" i="3"/>
  <c r="A2989" i="3"/>
  <c r="A2990" i="3"/>
  <c r="A2991" i="3"/>
  <c r="A2992" i="3"/>
  <c r="A2993" i="3"/>
  <c r="A2994" i="3"/>
  <c r="A2995" i="3"/>
  <c r="A2996" i="3"/>
  <c r="A2997" i="3"/>
  <c r="A2998" i="3"/>
  <c r="A2999" i="3"/>
  <c r="A3000" i="3"/>
  <c r="A3001" i="3"/>
  <c r="A3002" i="3"/>
  <c r="A3003" i="3"/>
  <c r="A3004" i="3"/>
  <c r="A3005" i="3"/>
  <c r="A3006" i="3"/>
  <c r="A3007" i="3"/>
  <c r="A3008" i="3"/>
  <c r="A3009" i="3"/>
  <c r="A3010" i="3"/>
  <c r="A3011" i="3"/>
  <c r="A3012" i="3"/>
  <c r="A3013" i="3"/>
  <c r="A3014" i="3"/>
  <c r="A3015" i="3"/>
  <c r="A3016" i="3"/>
  <c r="A3017" i="3"/>
  <c r="A3018" i="3"/>
  <c r="A3019" i="3"/>
  <c r="A3020" i="3"/>
  <c r="A3021" i="3"/>
  <c r="A3022" i="3"/>
  <c r="A3023" i="3"/>
  <c r="A3024" i="3"/>
  <c r="A3025" i="3"/>
  <c r="A3026" i="3"/>
  <c r="A3027" i="3"/>
  <c r="A3028" i="3"/>
  <c r="A3029" i="3"/>
  <c r="A3030" i="3"/>
  <c r="A3031" i="3"/>
  <c r="A3032" i="3"/>
  <c r="A3033" i="3"/>
  <c r="A3034" i="3"/>
  <c r="A3035" i="3"/>
  <c r="A3036" i="3"/>
  <c r="A3037" i="3"/>
  <c r="A3038" i="3"/>
  <c r="A3039" i="3"/>
  <c r="A3040" i="3"/>
  <c r="A3041" i="3"/>
  <c r="A3042" i="3"/>
  <c r="A3043" i="3"/>
  <c r="A3044" i="3"/>
  <c r="A3045" i="3"/>
  <c r="A3046" i="3"/>
  <c r="A3047" i="3"/>
  <c r="A3048" i="3"/>
  <c r="A3049" i="3"/>
  <c r="A3050" i="3"/>
  <c r="A3051" i="3"/>
  <c r="A3052" i="3"/>
  <c r="A3053" i="3"/>
  <c r="A3054" i="3"/>
  <c r="A3055" i="3"/>
  <c r="A3056" i="3"/>
  <c r="A3057" i="3"/>
  <c r="A3058" i="3"/>
  <c r="A3059" i="3"/>
  <c r="A3060" i="3"/>
  <c r="A3061" i="3"/>
  <c r="A3062" i="3"/>
  <c r="A3063" i="3"/>
  <c r="A3064" i="3"/>
  <c r="A3065" i="3"/>
  <c r="A3066" i="3"/>
  <c r="A3067" i="3"/>
  <c r="A3068" i="3"/>
  <c r="A3069" i="3"/>
  <c r="A3070" i="3"/>
  <c r="A3071" i="3"/>
  <c r="A3072" i="3"/>
  <c r="A3073" i="3"/>
  <c r="A3074" i="3"/>
  <c r="A3075" i="3"/>
  <c r="A3076" i="3"/>
  <c r="A3077" i="3"/>
  <c r="A3078" i="3"/>
  <c r="A3079" i="3"/>
  <c r="A3080" i="3"/>
  <c r="A3081" i="3"/>
  <c r="A3082" i="3"/>
  <c r="A3083" i="3"/>
  <c r="A3084" i="3"/>
  <c r="A3085" i="3"/>
  <c r="A3086" i="3"/>
  <c r="A3087" i="3"/>
  <c r="A3088" i="3"/>
  <c r="A3089" i="3"/>
  <c r="A3090" i="3"/>
  <c r="A3091" i="3"/>
  <c r="A3092" i="3"/>
  <c r="A3093" i="3"/>
  <c r="A3094" i="3"/>
  <c r="A3095" i="3"/>
  <c r="A3096" i="3"/>
  <c r="A3097" i="3"/>
  <c r="A3098" i="3"/>
  <c r="A3099" i="3"/>
  <c r="A3100" i="3"/>
  <c r="A3101" i="3"/>
  <c r="A3102" i="3"/>
  <c r="A3103" i="3"/>
  <c r="A3104" i="3"/>
  <c r="A3105" i="3"/>
  <c r="A3106" i="3"/>
  <c r="A3107" i="3"/>
  <c r="A3108" i="3"/>
  <c r="A3109" i="3"/>
  <c r="A3110" i="3"/>
  <c r="A3111" i="3"/>
  <c r="A3112" i="3"/>
  <c r="A3113" i="3"/>
  <c r="A3114" i="3"/>
  <c r="A3115" i="3"/>
  <c r="A3116" i="3"/>
  <c r="A3117" i="3"/>
  <c r="A3118" i="3"/>
  <c r="A3119" i="3"/>
  <c r="A3120" i="3"/>
  <c r="A3121" i="3"/>
  <c r="A3122" i="3"/>
  <c r="A3123" i="3"/>
  <c r="A3124" i="3"/>
  <c r="A3125" i="3"/>
  <c r="A3126" i="3"/>
  <c r="A3127" i="3"/>
  <c r="A3128" i="3"/>
  <c r="A3129" i="3"/>
  <c r="A3130" i="3"/>
  <c r="A3131" i="3"/>
  <c r="A3132" i="3"/>
  <c r="A3133" i="3"/>
  <c r="A3134" i="3"/>
  <c r="A3135" i="3"/>
  <c r="A3136" i="3"/>
  <c r="A3137" i="3"/>
  <c r="A3138" i="3"/>
  <c r="A3139" i="3"/>
  <c r="A3140" i="3"/>
  <c r="A3141" i="3"/>
  <c r="A3142" i="3"/>
  <c r="A3143" i="3"/>
  <c r="A3144" i="3"/>
  <c r="A3145" i="3"/>
  <c r="A3146" i="3"/>
  <c r="A3147" i="3"/>
  <c r="A3148" i="3"/>
  <c r="A3149" i="3"/>
  <c r="A3150" i="3"/>
  <c r="A3151" i="3"/>
  <c r="A3152" i="3"/>
  <c r="A3153" i="3"/>
  <c r="A3154" i="3"/>
  <c r="A3155" i="3"/>
  <c r="A3156" i="3"/>
  <c r="A3157" i="3"/>
  <c r="A3158" i="3"/>
  <c r="A3159" i="3"/>
  <c r="A3160" i="3"/>
  <c r="A3161" i="3"/>
  <c r="A3162" i="3"/>
  <c r="A3163" i="3"/>
  <c r="A3164" i="3"/>
  <c r="A3165" i="3"/>
  <c r="A3166" i="3"/>
  <c r="A3167" i="3"/>
  <c r="A3168" i="3"/>
  <c r="A3169" i="3"/>
  <c r="A3170" i="3"/>
  <c r="A3171" i="3"/>
  <c r="A3172" i="3"/>
  <c r="A3173" i="3"/>
  <c r="A3174" i="3"/>
  <c r="A3175" i="3"/>
  <c r="A3176" i="3"/>
  <c r="A3177" i="3"/>
  <c r="A3178" i="3"/>
  <c r="A3179" i="3"/>
  <c r="A3180" i="3"/>
  <c r="A3181" i="3"/>
  <c r="A3182" i="3"/>
  <c r="A3" i="3"/>
  <c r="B3182" i="3" l="1"/>
  <c r="B3181" i="3"/>
  <c r="B3180" i="3"/>
  <c r="B3179" i="3"/>
  <c r="B3178" i="3"/>
  <c r="B3177" i="3"/>
  <c r="B3176" i="3"/>
  <c r="B3175" i="3"/>
  <c r="B3174" i="3"/>
  <c r="B3173" i="3"/>
  <c r="B3172" i="3"/>
  <c r="B3171" i="3"/>
  <c r="B3170" i="3"/>
  <c r="B3169" i="3"/>
  <c r="B3168" i="3"/>
  <c r="B3167" i="3"/>
  <c r="B3166" i="3"/>
  <c r="B3165" i="3"/>
  <c r="B3164" i="3"/>
  <c r="B3163" i="3"/>
  <c r="B3162" i="3"/>
  <c r="B3161" i="3"/>
  <c r="B3160" i="3"/>
  <c r="B3159" i="3"/>
  <c r="B3158" i="3"/>
  <c r="B3157" i="3"/>
  <c r="B3156" i="3"/>
  <c r="B3155" i="3"/>
  <c r="B3154" i="3"/>
  <c r="B3153" i="3"/>
  <c r="B3152" i="3"/>
  <c r="B3151" i="3"/>
  <c r="B3150" i="3"/>
  <c r="B3149" i="3"/>
  <c r="B3148" i="3"/>
  <c r="B3147" i="3"/>
  <c r="B3146" i="3"/>
  <c r="B3145" i="3"/>
  <c r="B3144" i="3"/>
  <c r="B3143" i="3"/>
  <c r="B3142" i="3"/>
  <c r="B3141" i="3"/>
  <c r="B3140" i="3"/>
  <c r="B3139" i="3"/>
  <c r="B3138" i="3"/>
  <c r="B3137" i="3"/>
  <c r="B3136" i="3"/>
  <c r="B3135" i="3"/>
  <c r="B3134" i="3"/>
  <c r="B3133" i="3"/>
  <c r="B3132" i="3"/>
  <c r="B3131" i="3"/>
  <c r="B3130" i="3"/>
  <c r="B3129" i="3"/>
  <c r="B3128" i="3"/>
  <c r="B3127" i="3"/>
  <c r="B3126" i="3"/>
  <c r="B3125" i="3"/>
  <c r="B3124" i="3"/>
  <c r="B3123" i="3"/>
  <c r="B3122" i="3"/>
  <c r="B3121" i="3"/>
  <c r="B3120" i="3"/>
  <c r="B3119" i="3"/>
  <c r="B3118" i="3"/>
  <c r="B3117" i="3"/>
  <c r="B3116" i="3"/>
  <c r="B3115" i="3"/>
  <c r="B3114" i="3"/>
  <c r="B3113" i="3"/>
  <c r="B3112" i="3"/>
  <c r="B3111" i="3"/>
  <c r="B3110" i="3"/>
  <c r="B3109" i="3"/>
  <c r="B3108" i="3"/>
  <c r="B3107" i="3"/>
  <c r="B3106" i="3"/>
  <c r="B3105" i="3"/>
  <c r="B3104" i="3"/>
  <c r="B3103" i="3"/>
  <c r="B3102" i="3"/>
  <c r="B3101" i="3"/>
  <c r="B3100" i="3"/>
  <c r="B3099" i="3"/>
  <c r="B3098" i="3"/>
  <c r="B3097" i="3"/>
  <c r="B3096" i="3"/>
  <c r="B3095" i="3"/>
  <c r="B3094" i="3"/>
  <c r="B3093" i="3"/>
  <c r="B3092" i="3"/>
  <c r="B3091" i="3"/>
  <c r="B3090" i="3"/>
  <c r="B3089" i="3"/>
  <c r="B3088" i="3"/>
  <c r="B3087" i="3"/>
  <c r="B3086" i="3"/>
  <c r="B3085" i="3"/>
  <c r="B3084" i="3"/>
  <c r="B3083" i="3"/>
  <c r="B3082" i="3"/>
  <c r="B3081" i="3"/>
  <c r="B3080" i="3"/>
  <c r="B3079" i="3"/>
  <c r="B3078" i="3"/>
  <c r="B3077" i="3"/>
  <c r="B3076" i="3"/>
  <c r="B3075" i="3"/>
  <c r="B3074" i="3"/>
  <c r="B3073" i="3"/>
  <c r="B3072" i="3"/>
  <c r="B3071" i="3"/>
  <c r="B3070" i="3"/>
  <c r="B3069" i="3"/>
  <c r="B3068" i="3"/>
  <c r="B3067" i="3"/>
  <c r="B3066" i="3"/>
  <c r="B3065" i="3"/>
  <c r="B3064" i="3"/>
  <c r="B3063" i="3"/>
  <c r="B3062" i="3"/>
  <c r="B3061" i="3"/>
  <c r="B3060" i="3"/>
  <c r="B3059" i="3"/>
  <c r="B3058" i="3"/>
  <c r="B3057" i="3"/>
  <c r="B3056" i="3"/>
  <c r="B3055" i="3"/>
  <c r="B3054" i="3"/>
  <c r="B3053" i="3"/>
  <c r="B3052" i="3"/>
  <c r="B3051" i="3"/>
  <c r="B3050" i="3"/>
  <c r="B3049" i="3"/>
  <c r="B3048" i="3"/>
  <c r="B3047" i="3"/>
  <c r="B3046" i="3"/>
  <c r="B3045" i="3"/>
  <c r="B3044" i="3"/>
  <c r="B3043" i="3"/>
  <c r="B3042" i="3"/>
  <c r="B3041" i="3"/>
  <c r="B3040" i="3"/>
  <c r="B3039" i="3"/>
  <c r="B3038" i="3"/>
  <c r="B3037" i="3"/>
  <c r="B3036" i="3"/>
  <c r="B3035" i="3"/>
  <c r="B3034" i="3"/>
  <c r="B3033" i="3"/>
  <c r="B3032" i="3"/>
  <c r="B3031" i="3"/>
  <c r="B3030" i="3"/>
  <c r="B3029" i="3"/>
  <c r="B3028" i="3"/>
  <c r="B3027" i="3"/>
  <c r="B3026" i="3"/>
  <c r="B3025" i="3"/>
  <c r="B3024" i="3"/>
  <c r="B3023" i="3"/>
  <c r="B3022" i="3"/>
  <c r="B3021" i="3"/>
  <c r="B3020" i="3"/>
  <c r="B3019" i="3"/>
  <c r="B3018" i="3"/>
  <c r="B3017" i="3"/>
  <c r="B3016" i="3"/>
  <c r="B3015" i="3"/>
  <c r="B3014" i="3"/>
  <c r="B3013" i="3"/>
  <c r="B3012" i="3"/>
  <c r="B3011" i="3"/>
  <c r="B3010" i="3"/>
  <c r="B3009" i="3"/>
  <c r="B3008" i="3"/>
  <c r="B3007" i="3"/>
  <c r="B3006" i="3"/>
  <c r="B3005" i="3"/>
  <c r="B3004" i="3"/>
  <c r="B3003" i="3"/>
  <c r="B3002" i="3"/>
  <c r="B3001" i="3"/>
  <c r="B3000" i="3"/>
  <c r="B2999" i="3"/>
  <c r="B2998" i="3"/>
  <c r="B2997" i="3"/>
  <c r="B2996" i="3"/>
  <c r="B2995" i="3"/>
  <c r="B2994" i="3"/>
  <c r="B2993" i="3"/>
  <c r="B2992" i="3"/>
  <c r="B2991" i="3"/>
  <c r="B2990" i="3"/>
  <c r="B2989" i="3"/>
  <c r="B2988" i="3"/>
  <c r="B2987" i="3"/>
  <c r="B2986" i="3"/>
  <c r="B2985" i="3"/>
  <c r="B2984" i="3"/>
  <c r="B2983" i="3"/>
  <c r="B2982" i="3"/>
  <c r="B2981" i="3"/>
  <c r="B2980" i="3"/>
  <c r="B2979" i="3"/>
  <c r="B2978" i="3"/>
  <c r="B2977" i="3"/>
  <c r="B2976" i="3"/>
  <c r="B2975" i="3"/>
  <c r="B2974" i="3"/>
  <c r="B2973" i="3"/>
  <c r="B2972" i="3"/>
  <c r="B2971" i="3"/>
  <c r="B2970" i="3"/>
  <c r="B2969" i="3"/>
  <c r="B2968" i="3"/>
  <c r="B2967" i="3"/>
  <c r="B2966" i="3"/>
  <c r="B2965" i="3"/>
  <c r="B2964" i="3"/>
  <c r="B2963" i="3"/>
  <c r="B2962" i="3"/>
  <c r="B2961" i="3"/>
  <c r="B2960" i="3"/>
  <c r="B2959" i="3"/>
  <c r="B2958" i="3"/>
  <c r="B2957" i="3"/>
  <c r="B2956" i="3"/>
  <c r="B2955" i="3"/>
  <c r="B2954" i="3"/>
  <c r="B2953" i="3"/>
  <c r="B2952" i="3"/>
  <c r="B2951" i="3"/>
  <c r="B2950" i="3"/>
  <c r="B2949" i="3"/>
  <c r="B2948" i="3"/>
  <c r="B2947" i="3"/>
  <c r="B2946" i="3"/>
  <c r="B2945" i="3"/>
  <c r="B2944" i="3"/>
  <c r="B2943" i="3"/>
  <c r="B2942" i="3"/>
  <c r="B2941" i="3"/>
  <c r="B2940" i="3"/>
  <c r="B2939" i="3"/>
  <c r="B2938" i="3"/>
  <c r="B2937" i="3"/>
  <c r="B2936" i="3"/>
  <c r="B2935" i="3"/>
  <c r="B2934" i="3"/>
  <c r="B2933" i="3"/>
  <c r="B2932" i="3"/>
  <c r="B2931" i="3"/>
  <c r="B2930" i="3"/>
  <c r="B2929" i="3"/>
  <c r="B2928" i="3"/>
  <c r="B2927" i="3"/>
  <c r="B2926" i="3"/>
  <c r="B2925" i="3"/>
  <c r="B2924" i="3"/>
  <c r="B2923" i="3"/>
  <c r="B2922" i="3"/>
  <c r="B2921" i="3"/>
  <c r="B2920" i="3"/>
  <c r="B2919" i="3"/>
  <c r="B2918" i="3"/>
  <c r="B2917" i="3"/>
  <c r="B2916" i="3"/>
  <c r="B2915" i="3"/>
  <c r="B2914" i="3"/>
  <c r="B2913" i="3"/>
  <c r="B2912" i="3"/>
  <c r="B2911" i="3"/>
  <c r="B2910" i="3"/>
  <c r="B2909" i="3"/>
  <c r="B2908" i="3"/>
  <c r="B2907" i="3"/>
  <c r="B2906" i="3"/>
  <c r="B2905" i="3"/>
  <c r="B2904" i="3"/>
  <c r="B2903" i="3"/>
  <c r="B2902" i="3"/>
  <c r="B2901" i="3"/>
  <c r="B2900" i="3"/>
  <c r="B2899" i="3"/>
  <c r="B2898" i="3"/>
  <c r="B2897" i="3"/>
  <c r="B2896" i="3"/>
  <c r="B2895" i="3"/>
  <c r="B2894" i="3"/>
  <c r="B2893" i="3"/>
  <c r="B2892" i="3"/>
  <c r="B2891" i="3"/>
  <c r="B2890" i="3"/>
  <c r="B2889" i="3"/>
  <c r="B2888" i="3"/>
  <c r="B2887" i="3"/>
  <c r="B2886" i="3"/>
  <c r="B2885" i="3"/>
  <c r="B2884" i="3"/>
  <c r="B2883" i="3"/>
  <c r="B2882" i="3"/>
  <c r="B2881" i="3"/>
  <c r="B2880" i="3"/>
  <c r="B2879" i="3"/>
  <c r="B2878" i="3"/>
  <c r="B2877" i="3"/>
  <c r="B2876" i="3"/>
  <c r="B2875" i="3"/>
  <c r="B2874" i="3"/>
  <c r="B2873" i="3"/>
  <c r="B2872" i="3"/>
  <c r="B2871" i="3"/>
  <c r="B2870" i="3"/>
  <c r="B2869" i="3"/>
  <c r="B2868" i="3"/>
  <c r="B2867" i="3"/>
  <c r="B2866" i="3"/>
  <c r="B2865" i="3"/>
  <c r="B2864" i="3"/>
  <c r="B2863" i="3"/>
  <c r="B2862" i="3"/>
  <c r="B2861" i="3"/>
  <c r="B2860" i="3"/>
  <c r="B2859" i="3"/>
  <c r="B2858" i="3"/>
  <c r="B2857" i="3"/>
  <c r="B2856" i="3"/>
  <c r="B2855" i="3"/>
  <c r="B2854" i="3"/>
  <c r="B2853" i="3"/>
  <c r="B2852" i="3"/>
  <c r="B2851" i="3"/>
  <c r="B2850" i="3"/>
  <c r="B2849" i="3"/>
  <c r="B2848" i="3"/>
  <c r="B2847" i="3"/>
  <c r="B2846" i="3"/>
  <c r="B2845" i="3"/>
  <c r="B2844" i="3"/>
  <c r="B2843" i="3"/>
  <c r="B2842" i="3"/>
  <c r="B2841" i="3"/>
  <c r="B2840" i="3"/>
  <c r="B2839" i="3"/>
  <c r="B2838" i="3"/>
  <c r="B2837" i="3"/>
  <c r="B2836" i="3"/>
  <c r="B2835" i="3"/>
  <c r="B2834" i="3"/>
  <c r="B2833" i="3"/>
  <c r="B2832" i="3"/>
  <c r="B2831" i="3"/>
  <c r="B2830" i="3"/>
  <c r="B2829" i="3"/>
  <c r="B2828" i="3"/>
  <c r="B2827" i="3"/>
  <c r="B2826" i="3"/>
  <c r="B2825" i="3"/>
  <c r="B2824" i="3"/>
  <c r="B2823" i="3"/>
  <c r="B2822" i="3"/>
  <c r="B2821" i="3"/>
  <c r="B2820" i="3"/>
  <c r="B2819" i="3"/>
  <c r="B2818" i="3"/>
  <c r="B2817" i="3"/>
  <c r="B2816" i="3"/>
  <c r="B2815" i="3"/>
  <c r="B2814" i="3"/>
  <c r="B2813" i="3"/>
  <c r="B2812" i="3"/>
  <c r="B2811" i="3"/>
  <c r="B2810" i="3"/>
  <c r="B2809" i="3"/>
  <c r="B2808" i="3"/>
  <c r="B2807" i="3"/>
  <c r="B2806" i="3"/>
  <c r="B2805" i="3"/>
  <c r="B2804" i="3"/>
  <c r="B2803" i="3"/>
  <c r="B2802" i="3"/>
  <c r="B2801" i="3"/>
  <c r="B2800" i="3"/>
  <c r="B2799" i="3"/>
  <c r="B2798" i="3"/>
  <c r="B2797" i="3"/>
  <c r="B2796" i="3"/>
  <c r="B2795" i="3"/>
  <c r="B2794" i="3"/>
  <c r="B2793" i="3"/>
  <c r="B2792" i="3"/>
  <c r="B2791" i="3"/>
  <c r="B2790" i="3"/>
  <c r="B2789" i="3"/>
  <c r="B2788" i="3"/>
  <c r="B2787" i="3"/>
  <c r="B2786" i="3"/>
  <c r="B2785" i="3"/>
  <c r="B2784" i="3"/>
  <c r="B2783" i="3"/>
  <c r="B2782" i="3"/>
  <c r="B2781" i="3"/>
  <c r="B2780" i="3"/>
  <c r="B2779" i="3"/>
  <c r="B2778" i="3"/>
  <c r="B2777" i="3"/>
  <c r="B2776" i="3"/>
  <c r="B2775" i="3"/>
  <c r="B2774" i="3"/>
  <c r="B2773" i="3"/>
  <c r="B2772" i="3"/>
  <c r="B2771" i="3"/>
  <c r="B2770" i="3"/>
  <c r="B2769" i="3"/>
  <c r="B2768" i="3"/>
  <c r="B2767" i="3"/>
  <c r="B2766" i="3"/>
  <c r="B2765" i="3"/>
  <c r="B2764" i="3"/>
  <c r="B2763" i="3"/>
  <c r="B2762" i="3"/>
  <c r="B2761" i="3"/>
  <c r="B2760" i="3"/>
  <c r="B2759" i="3"/>
  <c r="B2758" i="3"/>
  <c r="B2757" i="3"/>
  <c r="B2756" i="3"/>
  <c r="B2755" i="3"/>
  <c r="B2754" i="3"/>
  <c r="B2753" i="3"/>
  <c r="B2752" i="3"/>
  <c r="B2751" i="3"/>
  <c r="B2750" i="3"/>
  <c r="B2749" i="3"/>
  <c r="B2748" i="3"/>
  <c r="B2747" i="3"/>
  <c r="B2746" i="3"/>
  <c r="B2745" i="3"/>
  <c r="B2744" i="3"/>
  <c r="B2743" i="3"/>
  <c r="B2742" i="3"/>
  <c r="B2741" i="3"/>
  <c r="B2740" i="3"/>
  <c r="B2739" i="3"/>
  <c r="B2738" i="3"/>
  <c r="B2737" i="3"/>
  <c r="B2736" i="3"/>
  <c r="B2735" i="3"/>
  <c r="B2734" i="3"/>
  <c r="B2733" i="3"/>
  <c r="B2732" i="3"/>
  <c r="B2731" i="3"/>
  <c r="B2730" i="3"/>
  <c r="B2729" i="3"/>
  <c r="B2728" i="3"/>
  <c r="B2727" i="3"/>
  <c r="B2726" i="3"/>
  <c r="B2725" i="3"/>
  <c r="B2724" i="3"/>
  <c r="B2723" i="3"/>
  <c r="B2722" i="3"/>
  <c r="B2721" i="3"/>
  <c r="B2720" i="3"/>
  <c r="B2719" i="3"/>
  <c r="B2718" i="3"/>
  <c r="B2717" i="3"/>
  <c r="B2716" i="3"/>
  <c r="B2715" i="3"/>
  <c r="B2714" i="3"/>
  <c r="B2713" i="3"/>
  <c r="B2712" i="3"/>
  <c r="B2711" i="3"/>
  <c r="B2710" i="3"/>
  <c r="B2709" i="3"/>
  <c r="B2708" i="3"/>
  <c r="B2707" i="3"/>
  <c r="B2706" i="3"/>
  <c r="B2705" i="3"/>
  <c r="B2704" i="3"/>
  <c r="B2703" i="3"/>
  <c r="B2702" i="3"/>
  <c r="B2701" i="3"/>
  <c r="B2700" i="3"/>
  <c r="B2699" i="3"/>
  <c r="B2698" i="3"/>
  <c r="B2697" i="3"/>
  <c r="B2696" i="3"/>
  <c r="B2695" i="3"/>
  <c r="B2694" i="3"/>
  <c r="B2693" i="3"/>
  <c r="B2692" i="3"/>
  <c r="B2691" i="3"/>
  <c r="B2690" i="3"/>
  <c r="B2689" i="3"/>
  <c r="B2688" i="3"/>
  <c r="B2687" i="3"/>
  <c r="B2686" i="3"/>
  <c r="B2685" i="3"/>
  <c r="B2684" i="3"/>
  <c r="B2683" i="3"/>
  <c r="B2682" i="3"/>
  <c r="B2681" i="3"/>
  <c r="B2680" i="3"/>
  <c r="B2679" i="3"/>
  <c r="B2678" i="3"/>
  <c r="B2677" i="3"/>
  <c r="B2676" i="3"/>
  <c r="B2675" i="3"/>
  <c r="B2674" i="3"/>
  <c r="B2673" i="3"/>
  <c r="B2672" i="3"/>
  <c r="B2671" i="3"/>
  <c r="B2670" i="3"/>
  <c r="B2669" i="3"/>
  <c r="B2668" i="3"/>
  <c r="B2667" i="3"/>
  <c r="B2666" i="3"/>
  <c r="B2665" i="3"/>
  <c r="B2664" i="3"/>
  <c r="B2663" i="3"/>
  <c r="B2662" i="3"/>
  <c r="B2661" i="3"/>
  <c r="B2660" i="3"/>
  <c r="B2659" i="3"/>
  <c r="B2658" i="3"/>
  <c r="B2657" i="3"/>
  <c r="B2656" i="3"/>
  <c r="B2655" i="3"/>
  <c r="B2654" i="3"/>
  <c r="B2653" i="3"/>
  <c r="B2652" i="3"/>
  <c r="B2651" i="3"/>
  <c r="B2650" i="3"/>
  <c r="B2649" i="3"/>
  <c r="B2648" i="3"/>
  <c r="B2647" i="3"/>
  <c r="B2646" i="3"/>
  <c r="B2645" i="3"/>
  <c r="B2644" i="3"/>
  <c r="B2643" i="3"/>
  <c r="B2642" i="3"/>
  <c r="B2641" i="3"/>
  <c r="B2640" i="3"/>
  <c r="B2639" i="3"/>
  <c r="B2638" i="3"/>
  <c r="B2637" i="3"/>
  <c r="B2636" i="3"/>
  <c r="B2635" i="3"/>
  <c r="B2634" i="3"/>
  <c r="B2633" i="3"/>
  <c r="B2632" i="3"/>
  <c r="B2631" i="3"/>
  <c r="B2630" i="3"/>
  <c r="B2629" i="3"/>
  <c r="B2628" i="3"/>
  <c r="B2627" i="3"/>
  <c r="B2626" i="3"/>
  <c r="B2625" i="3"/>
  <c r="B2624" i="3"/>
  <c r="B2623" i="3"/>
  <c r="B2622" i="3"/>
  <c r="B2621" i="3"/>
  <c r="B2620" i="3"/>
  <c r="B2619" i="3"/>
  <c r="B2618" i="3"/>
  <c r="B2617" i="3"/>
  <c r="B2616" i="3"/>
  <c r="B2615" i="3"/>
  <c r="B2614" i="3"/>
  <c r="B2613" i="3"/>
  <c r="B2612" i="3"/>
  <c r="B2611" i="3"/>
  <c r="B2610" i="3"/>
  <c r="B2609" i="3"/>
  <c r="B2608" i="3"/>
  <c r="B2607" i="3"/>
  <c r="B2606" i="3"/>
  <c r="B2605" i="3"/>
  <c r="B2604" i="3"/>
  <c r="B2603" i="3"/>
  <c r="B2602" i="3"/>
  <c r="B2601" i="3"/>
  <c r="B2600" i="3"/>
  <c r="B2599" i="3"/>
  <c r="B2598" i="3"/>
  <c r="B2597" i="3"/>
  <c r="B2596" i="3"/>
  <c r="B2595" i="3"/>
  <c r="B2594" i="3"/>
  <c r="B2593" i="3"/>
  <c r="B2592" i="3"/>
  <c r="B2591" i="3"/>
  <c r="B2590" i="3"/>
  <c r="B2589" i="3"/>
  <c r="B2588" i="3"/>
  <c r="B2587" i="3"/>
  <c r="B2586" i="3"/>
  <c r="B2585" i="3"/>
  <c r="B2584" i="3"/>
  <c r="B2583" i="3"/>
  <c r="B2582" i="3"/>
  <c r="B2581" i="3"/>
  <c r="B2580" i="3"/>
  <c r="B2579" i="3"/>
  <c r="B2578" i="3"/>
  <c r="B2577" i="3"/>
  <c r="B2576" i="3"/>
  <c r="B2575" i="3"/>
  <c r="B2574" i="3"/>
  <c r="B2573" i="3"/>
  <c r="B2572" i="3"/>
  <c r="B2571" i="3"/>
  <c r="B2570" i="3"/>
  <c r="B2569" i="3"/>
  <c r="B2568" i="3"/>
  <c r="B2567" i="3"/>
  <c r="B2566" i="3"/>
  <c r="B2565" i="3"/>
  <c r="B2564" i="3"/>
  <c r="B2563" i="3"/>
  <c r="B2562" i="3"/>
  <c r="B2561" i="3"/>
  <c r="B2560" i="3"/>
  <c r="B2559" i="3"/>
  <c r="B2558" i="3"/>
  <c r="B2557" i="3"/>
  <c r="B2556" i="3"/>
  <c r="B2555" i="3"/>
  <c r="B2554" i="3"/>
  <c r="B2553" i="3"/>
  <c r="B2552" i="3"/>
  <c r="B2551" i="3"/>
  <c r="B2550" i="3"/>
  <c r="B2549" i="3"/>
  <c r="B2548" i="3"/>
  <c r="B2547" i="3"/>
  <c r="B2546" i="3"/>
  <c r="B2545" i="3"/>
  <c r="B2544" i="3"/>
  <c r="B2543" i="3"/>
  <c r="B2542" i="3"/>
  <c r="B2541" i="3"/>
  <c r="B2540" i="3"/>
  <c r="B2539" i="3"/>
  <c r="B2538" i="3"/>
  <c r="B2537" i="3"/>
  <c r="B2536" i="3"/>
  <c r="B2535" i="3"/>
  <c r="B2534" i="3"/>
  <c r="B2533" i="3"/>
  <c r="B2532" i="3"/>
  <c r="B2531" i="3"/>
  <c r="B2530" i="3"/>
  <c r="B2529" i="3"/>
  <c r="B2528" i="3"/>
  <c r="B2527" i="3"/>
  <c r="B2526" i="3"/>
  <c r="B2525" i="3"/>
  <c r="B2524" i="3"/>
  <c r="B2523" i="3"/>
  <c r="B2522" i="3"/>
  <c r="B2521" i="3"/>
  <c r="B2520" i="3"/>
  <c r="B2519" i="3"/>
  <c r="B2518" i="3"/>
  <c r="B2517" i="3"/>
  <c r="B2516" i="3"/>
  <c r="B2515" i="3"/>
  <c r="B2514" i="3"/>
  <c r="B2513" i="3"/>
  <c r="B2512" i="3"/>
  <c r="B2511" i="3"/>
  <c r="B2510" i="3"/>
  <c r="B2509" i="3"/>
  <c r="B2508" i="3"/>
  <c r="B2507" i="3"/>
  <c r="B2506" i="3"/>
  <c r="B2505" i="3"/>
  <c r="B2504" i="3"/>
  <c r="B2503" i="3"/>
  <c r="B2502" i="3"/>
  <c r="B2501" i="3"/>
  <c r="B2500" i="3"/>
  <c r="B2499" i="3"/>
  <c r="B2498" i="3"/>
  <c r="B2497" i="3"/>
  <c r="B2496" i="3"/>
  <c r="B2495" i="3"/>
  <c r="B2494" i="3"/>
  <c r="B2493" i="3"/>
  <c r="B2492" i="3"/>
  <c r="B2491" i="3"/>
  <c r="B2490" i="3"/>
  <c r="B2489" i="3"/>
  <c r="B2488" i="3"/>
  <c r="B2487" i="3"/>
  <c r="B2486" i="3"/>
  <c r="B2485" i="3"/>
  <c r="B2484" i="3"/>
  <c r="B2483" i="3"/>
  <c r="B2482" i="3"/>
  <c r="B2481" i="3"/>
  <c r="B2480" i="3"/>
  <c r="B2479" i="3"/>
  <c r="B2478" i="3"/>
  <c r="B2477" i="3"/>
  <c r="B2476" i="3"/>
  <c r="B2475" i="3"/>
  <c r="B2474" i="3"/>
  <c r="B2473" i="3"/>
  <c r="B2472" i="3"/>
  <c r="B2471" i="3"/>
  <c r="B2470" i="3"/>
  <c r="B2469" i="3"/>
  <c r="B2468" i="3"/>
  <c r="B2467" i="3"/>
  <c r="B2466" i="3"/>
  <c r="B2465" i="3"/>
  <c r="B2464" i="3"/>
  <c r="B2463" i="3"/>
  <c r="B2462" i="3"/>
  <c r="B2461" i="3"/>
  <c r="B2460" i="3"/>
  <c r="B2459" i="3"/>
  <c r="B2458" i="3"/>
  <c r="B2457" i="3"/>
  <c r="B2456" i="3"/>
  <c r="B2455" i="3"/>
  <c r="B2454" i="3"/>
  <c r="B2453" i="3"/>
  <c r="B2452" i="3"/>
  <c r="B2451" i="3"/>
  <c r="B2450" i="3"/>
  <c r="B2449" i="3"/>
  <c r="B2448" i="3"/>
  <c r="B2447" i="3"/>
  <c r="B2446" i="3"/>
  <c r="B2445" i="3"/>
  <c r="B2444" i="3"/>
  <c r="B2443" i="3"/>
  <c r="B2442" i="3"/>
  <c r="B2441" i="3"/>
  <c r="B2440" i="3"/>
  <c r="B2439" i="3"/>
  <c r="B2438" i="3"/>
  <c r="B2437" i="3"/>
  <c r="B2436" i="3"/>
  <c r="B2435" i="3"/>
  <c r="B2434" i="3"/>
  <c r="B2433" i="3"/>
  <c r="B2432" i="3"/>
  <c r="B2431" i="3"/>
  <c r="B2430" i="3"/>
  <c r="B2429" i="3"/>
  <c r="B2428" i="3"/>
  <c r="B2427" i="3"/>
  <c r="B2426" i="3"/>
  <c r="B2425" i="3"/>
  <c r="B2424" i="3"/>
  <c r="B2423" i="3"/>
  <c r="B2422" i="3"/>
  <c r="B2421" i="3"/>
  <c r="B2420" i="3"/>
  <c r="B2419" i="3"/>
  <c r="B2418" i="3"/>
  <c r="B2417" i="3"/>
  <c r="B2416" i="3"/>
  <c r="B2415" i="3"/>
  <c r="B2414" i="3"/>
  <c r="B2413" i="3"/>
  <c r="B2412" i="3"/>
  <c r="B2411" i="3"/>
  <c r="B2410" i="3"/>
  <c r="B2409" i="3"/>
  <c r="B2408" i="3"/>
  <c r="B2407" i="3"/>
  <c r="B2406" i="3"/>
  <c r="B2405" i="3"/>
  <c r="B2404" i="3"/>
  <c r="B2403" i="3"/>
  <c r="B2402" i="3"/>
  <c r="B2401" i="3"/>
  <c r="B2400" i="3"/>
  <c r="B2399" i="3"/>
  <c r="B2398" i="3"/>
  <c r="B2397" i="3"/>
  <c r="B2396" i="3"/>
  <c r="B2395" i="3"/>
  <c r="B2394" i="3"/>
  <c r="B2393" i="3"/>
  <c r="B2392" i="3"/>
  <c r="B2391" i="3"/>
  <c r="B2390" i="3"/>
  <c r="B2389" i="3"/>
  <c r="B2388" i="3"/>
  <c r="B2387" i="3"/>
  <c r="B2386" i="3"/>
  <c r="B2385" i="3"/>
  <c r="B2384" i="3"/>
  <c r="B2383" i="3"/>
  <c r="B2382" i="3"/>
  <c r="B2381" i="3"/>
  <c r="B2380" i="3"/>
  <c r="B2379" i="3"/>
  <c r="B2378" i="3"/>
  <c r="B2377" i="3"/>
  <c r="B2376" i="3"/>
  <c r="B2375" i="3"/>
  <c r="B2374" i="3"/>
  <c r="B2373" i="3"/>
  <c r="B2372" i="3"/>
  <c r="B2371" i="3"/>
  <c r="B2370" i="3"/>
  <c r="B2369" i="3"/>
  <c r="B2368" i="3"/>
  <c r="B2367" i="3"/>
  <c r="B2366" i="3"/>
  <c r="B2365" i="3"/>
  <c r="B2364" i="3"/>
  <c r="B2363" i="3"/>
  <c r="B2362" i="3"/>
  <c r="B2361" i="3"/>
  <c r="B2360" i="3"/>
  <c r="B2359" i="3"/>
  <c r="B2358" i="3"/>
  <c r="B2357" i="3"/>
  <c r="B2356" i="3"/>
  <c r="B2355" i="3"/>
  <c r="B2354" i="3"/>
  <c r="B2353" i="3"/>
  <c r="B2352" i="3"/>
  <c r="B2351" i="3"/>
  <c r="B2350" i="3"/>
  <c r="B2349" i="3"/>
  <c r="B2348" i="3"/>
  <c r="B2347" i="3"/>
  <c r="B2346" i="3"/>
  <c r="B2345" i="3"/>
  <c r="B2344" i="3"/>
  <c r="B2343" i="3"/>
  <c r="B2342" i="3"/>
  <c r="B2341" i="3"/>
  <c r="B2340" i="3"/>
  <c r="B2339" i="3"/>
  <c r="B2338" i="3"/>
  <c r="B2337" i="3"/>
  <c r="B2336" i="3"/>
  <c r="B2335" i="3"/>
  <c r="B2334" i="3"/>
  <c r="B2333" i="3"/>
  <c r="B2332" i="3"/>
  <c r="B2331" i="3"/>
  <c r="B2330" i="3"/>
  <c r="B2329" i="3"/>
  <c r="B2328" i="3"/>
  <c r="B2327" i="3"/>
  <c r="B2326" i="3"/>
  <c r="B2325" i="3"/>
  <c r="B2324" i="3"/>
  <c r="B2323" i="3"/>
  <c r="B2322" i="3"/>
  <c r="B2321" i="3"/>
  <c r="B2320" i="3"/>
  <c r="B2319" i="3"/>
  <c r="B2318" i="3"/>
  <c r="B2317" i="3"/>
  <c r="B2316" i="3"/>
  <c r="B2315" i="3"/>
  <c r="B2314" i="3"/>
  <c r="B2313" i="3"/>
  <c r="B2312" i="3"/>
  <c r="B2311" i="3"/>
  <c r="B2310" i="3"/>
  <c r="B2309" i="3"/>
  <c r="B2308" i="3"/>
  <c r="B2307" i="3"/>
  <c r="B2306" i="3"/>
  <c r="B2305" i="3"/>
  <c r="B2304" i="3"/>
  <c r="B2303" i="3"/>
  <c r="B2302" i="3"/>
  <c r="B2301" i="3"/>
  <c r="B2300" i="3"/>
  <c r="B2299" i="3"/>
  <c r="B2298" i="3"/>
  <c r="B2297" i="3"/>
  <c r="B2296" i="3"/>
  <c r="B2295" i="3"/>
  <c r="B2294" i="3"/>
  <c r="B2293" i="3"/>
  <c r="B2292" i="3"/>
  <c r="B2291" i="3"/>
  <c r="B2290" i="3"/>
  <c r="B2289" i="3"/>
  <c r="B2288" i="3"/>
  <c r="B2287" i="3"/>
  <c r="B2286" i="3"/>
  <c r="B2285" i="3"/>
  <c r="B2284" i="3"/>
  <c r="B2283" i="3"/>
  <c r="B2282" i="3"/>
  <c r="B2281" i="3"/>
  <c r="B2280" i="3"/>
  <c r="B2279" i="3"/>
  <c r="B2278" i="3"/>
  <c r="B2277" i="3"/>
  <c r="B2276" i="3"/>
  <c r="B2275" i="3"/>
  <c r="B2274" i="3"/>
  <c r="B2273" i="3"/>
  <c r="B2272" i="3"/>
  <c r="B2271" i="3"/>
  <c r="B2270" i="3"/>
  <c r="B2269" i="3"/>
  <c r="B2268" i="3"/>
  <c r="B2267" i="3"/>
  <c r="B2266" i="3"/>
  <c r="B2265" i="3"/>
  <c r="B2264" i="3"/>
  <c r="B2263" i="3"/>
  <c r="B2262" i="3"/>
  <c r="B2261" i="3"/>
  <c r="B2260" i="3"/>
  <c r="B2259" i="3"/>
  <c r="B2258" i="3"/>
  <c r="B2257" i="3"/>
  <c r="B2256" i="3"/>
  <c r="B2255" i="3"/>
  <c r="B2254" i="3"/>
  <c r="B2253" i="3"/>
  <c r="B2252" i="3"/>
  <c r="B2251" i="3"/>
  <c r="B2250" i="3"/>
  <c r="B2249" i="3"/>
  <c r="B2248" i="3"/>
  <c r="B2247" i="3"/>
  <c r="B2246" i="3"/>
  <c r="B2245" i="3"/>
  <c r="B2244" i="3"/>
  <c r="B2243" i="3"/>
  <c r="B2242" i="3"/>
  <c r="B2241" i="3"/>
  <c r="B2240" i="3"/>
  <c r="B2239" i="3"/>
  <c r="B2238" i="3"/>
  <c r="B2237" i="3"/>
  <c r="B2236" i="3"/>
  <c r="B2235" i="3"/>
  <c r="B2234" i="3"/>
  <c r="B2233" i="3"/>
  <c r="B2232" i="3"/>
  <c r="B2231" i="3"/>
  <c r="B2230" i="3"/>
  <c r="B2229" i="3"/>
  <c r="B2228" i="3"/>
  <c r="B2227" i="3"/>
  <c r="B2226" i="3"/>
  <c r="B2225" i="3"/>
  <c r="B2224" i="3"/>
  <c r="B2223" i="3"/>
  <c r="B2222" i="3"/>
  <c r="B2221" i="3"/>
  <c r="B2220" i="3"/>
  <c r="B2219" i="3"/>
  <c r="B2218" i="3"/>
  <c r="B2217" i="3"/>
  <c r="B2216" i="3"/>
  <c r="B2215" i="3"/>
  <c r="B2214" i="3"/>
  <c r="B2213" i="3"/>
  <c r="B2212" i="3"/>
  <c r="B2211" i="3"/>
  <c r="B2210" i="3"/>
  <c r="B2209" i="3"/>
  <c r="B2208" i="3"/>
  <c r="B2207" i="3"/>
  <c r="B2206" i="3"/>
  <c r="B2205" i="3"/>
  <c r="B2204" i="3"/>
  <c r="B2203" i="3"/>
  <c r="B2202" i="3"/>
  <c r="B2201" i="3"/>
  <c r="B2200" i="3"/>
  <c r="B2199" i="3"/>
  <c r="B2198" i="3"/>
  <c r="B2197" i="3"/>
  <c r="B2196" i="3"/>
  <c r="B2195" i="3"/>
  <c r="B2194" i="3"/>
  <c r="B2193" i="3"/>
  <c r="B2192" i="3"/>
  <c r="B2191" i="3"/>
  <c r="B2190" i="3"/>
  <c r="B2189" i="3"/>
  <c r="B2188" i="3"/>
  <c r="B2187" i="3"/>
  <c r="B2186" i="3"/>
  <c r="B2185" i="3"/>
  <c r="B2184" i="3"/>
  <c r="B2183" i="3"/>
  <c r="B2182" i="3"/>
  <c r="B2181" i="3"/>
  <c r="B2180" i="3"/>
  <c r="B2179" i="3"/>
  <c r="B2178" i="3"/>
  <c r="B2177" i="3"/>
  <c r="B2176" i="3"/>
  <c r="B2175" i="3"/>
  <c r="B2174" i="3"/>
  <c r="B2173" i="3"/>
  <c r="B2172" i="3"/>
  <c r="B2171" i="3"/>
  <c r="B2170" i="3"/>
  <c r="B2169" i="3"/>
  <c r="B2168" i="3"/>
  <c r="B2167" i="3"/>
  <c r="B2166" i="3"/>
  <c r="B2165" i="3"/>
  <c r="B2164" i="3"/>
  <c r="B2163" i="3"/>
  <c r="B2162" i="3"/>
  <c r="B2161" i="3"/>
  <c r="B2160" i="3"/>
  <c r="B2159" i="3"/>
  <c r="B2158" i="3"/>
  <c r="B2157" i="3"/>
  <c r="B2156" i="3"/>
  <c r="B2155" i="3"/>
  <c r="B2154" i="3"/>
  <c r="B2153" i="3"/>
  <c r="B2152" i="3"/>
  <c r="B2151" i="3"/>
  <c r="B2150" i="3"/>
  <c r="B2149" i="3"/>
  <c r="B2148" i="3"/>
  <c r="B2147" i="3"/>
  <c r="B2146" i="3"/>
  <c r="B2145" i="3"/>
  <c r="B2144" i="3"/>
  <c r="B2143" i="3"/>
  <c r="B2142" i="3"/>
  <c r="B2141" i="3"/>
  <c r="B2140" i="3"/>
  <c r="B2139" i="3"/>
  <c r="B2138" i="3"/>
  <c r="B2137" i="3"/>
  <c r="B2136" i="3"/>
  <c r="B2135" i="3"/>
  <c r="B2134" i="3"/>
  <c r="B2133" i="3"/>
  <c r="B2132" i="3"/>
  <c r="B2131" i="3"/>
  <c r="B2130" i="3"/>
  <c r="B2129" i="3"/>
  <c r="B2128" i="3"/>
  <c r="B2127" i="3"/>
  <c r="B2126" i="3"/>
  <c r="B2125" i="3"/>
  <c r="B2124" i="3"/>
  <c r="B2123" i="3"/>
  <c r="B2122" i="3"/>
  <c r="B2121" i="3"/>
  <c r="B2120" i="3"/>
  <c r="B2119" i="3"/>
  <c r="B2118" i="3"/>
  <c r="B2117" i="3"/>
  <c r="B2116" i="3"/>
  <c r="B2115" i="3"/>
  <c r="B2114" i="3"/>
  <c r="B2113" i="3"/>
  <c r="B2112" i="3"/>
  <c r="B2111" i="3"/>
  <c r="B2110" i="3"/>
  <c r="B2109" i="3"/>
  <c r="B2108" i="3"/>
  <c r="B2107" i="3"/>
  <c r="B2106" i="3"/>
  <c r="B2105" i="3"/>
  <c r="B2104" i="3"/>
  <c r="B2103" i="3"/>
  <c r="B2102" i="3"/>
  <c r="B2101" i="3"/>
  <c r="B2100" i="3"/>
  <c r="B2099" i="3"/>
  <c r="B2098" i="3"/>
  <c r="B2097" i="3"/>
  <c r="B2096" i="3"/>
  <c r="B2095" i="3"/>
  <c r="B2094" i="3"/>
  <c r="B2093" i="3"/>
  <c r="B2092" i="3"/>
  <c r="B2091" i="3"/>
  <c r="B2090" i="3"/>
  <c r="B2089" i="3"/>
  <c r="B2088" i="3"/>
  <c r="B2087" i="3"/>
  <c r="B2086" i="3"/>
  <c r="B2085" i="3"/>
  <c r="B2084" i="3"/>
  <c r="B2083" i="3"/>
  <c r="B2082" i="3"/>
  <c r="B2081" i="3"/>
  <c r="B2080" i="3"/>
  <c r="B2079" i="3"/>
  <c r="B2078" i="3"/>
  <c r="B2077" i="3"/>
  <c r="B2076" i="3"/>
  <c r="B2075" i="3"/>
  <c r="B2074" i="3"/>
  <c r="B2073" i="3"/>
  <c r="B2072" i="3"/>
  <c r="B2071" i="3"/>
  <c r="B2070" i="3"/>
  <c r="B2069" i="3"/>
  <c r="B2068" i="3"/>
  <c r="B2067" i="3"/>
  <c r="B2066" i="3"/>
  <c r="B2065" i="3"/>
  <c r="B2064" i="3"/>
  <c r="B2063" i="3"/>
  <c r="B2062" i="3"/>
  <c r="B2061" i="3"/>
  <c r="B2060" i="3"/>
  <c r="B2059" i="3"/>
  <c r="B2058" i="3"/>
  <c r="B2057" i="3"/>
  <c r="B2056" i="3"/>
  <c r="B2055" i="3"/>
  <c r="B2054" i="3"/>
  <c r="B2053" i="3"/>
  <c r="B2052" i="3"/>
  <c r="B2051" i="3"/>
  <c r="B2050" i="3"/>
  <c r="B2049" i="3"/>
  <c r="B2048" i="3"/>
  <c r="B2047" i="3"/>
  <c r="B2046" i="3"/>
  <c r="B2045" i="3"/>
  <c r="B2044" i="3"/>
  <c r="B2043" i="3"/>
  <c r="B2042" i="3"/>
  <c r="B2041" i="3"/>
  <c r="B2040" i="3"/>
  <c r="B2039" i="3"/>
  <c r="B2038" i="3"/>
  <c r="B2037" i="3"/>
  <c r="B2036" i="3"/>
  <c r="B2035" i="3"/>
  <c r="B2034" i="3"/>
  <c r="B2033" i="3"/>
  <c r="B2032" i="3"/>
  <c r="B2031" i="3"/>
  <c r="B2030" i="3"/>
  <c r="B2029" i="3"/>
  <c r="B2028" i="3"/>
  <c r="B2027" i="3"/>
  <c r="B2026" i="3"/>
  <c r="B2025" i="3"/>
  <c r="B2024" i="3"/>
  <c r="B2023" i="3"/>
  <c r="B2022" i="3"/>
  <c r="B2021" i="3"/>
  <c r="B2020" i="3"/>
  <c r="B2019" i="3"/>
  <c r="B2018" i="3"/>
  <c r="B2017" i="3"/>
  <c r="B2016" i="3"/>
  <c r="B2015" i="3"/>
  <c r="B2014" i="3"/>
  <c r="B2013" i="3"/>
  <c r="B2012" i="3"/>
  <c r="B2011" i="3"/>
  <c r="B2010" i="3"/>
  <c r="B2009" i="3"/>
  <c r="B2008" i="3"/>
  <c r="B2007" i="3"/>
  <c r="B2006" i="3"/>
  <c r="B2005" i="3"/>
  <c r="B2004" i="3"/>
  <c r="B2003" i="3"/>
  <c r="B2002" i="3"/>
  <c r="B2001" i="3"/>
  <c r="B2000" i="3"/>
  <c r="B1999" i="3"/>
  <c r="B1998" i="3"/>
  <c r="B1997" i="3"/>
  <c r="B1996" i="3"/>
  <c r="B1995" i="3"/>
  <c r="B1994" i="3"/>
  <c r="B1993" i="3"/>
  <c r="B1992" i="3"/>
  <c r="B1991" i="3"/>
  <c r="B1990" i="3"/>
  <c r="B1989" i="3"/>
  <c r="B1988" i="3"/>
  <c r="B1987" i="3"/>
  <c r="B1986" i="3"/>
  <c r="B1985" i="3"/>
  <c r="B1984" i="3"/>
  <c r="B1983" i="3"/>
  <c r="B1982" i="3"/>
  <c r="B1981" i="3"/>
  <c r="B1980" i="3"/>
  <c r="B1979" i="3"/>
  <c r="B1978" i="3"/>
  <c r="B1977" i="3"/>
  <c r="B1976" i="3"/>
  <c r="B1975" i="3"/>
  <c r="B1974" i="3"/>
  <c r="B1973" i="3"/>
  <c r="B1972" i="3"/>
  <c r="B1971" i="3"/>
  <c r="B1970" i="3"/>
  <c r="B1969" i="3"/>
  <c r="B1968" i="3"/>
  <c r="B1967" i="3"/>
  <c r="B1966" i="3"/>
  <c r="B1965" i="3"/>
  <c r="B1964" i="3"/>
  <c r="B1963" i="3"/>
  <c r="B1962" i="3"/>
  <c r="B1961" i="3"/>
  <c r="B1960" i="3"/>
  <c r="B1959" i="3"/>
  <c r="B1958" i="3"/>
  <c r="B1957" i="3"/>
  <c r="B1956" i="3"/>
  <c r="B1955" i="3"/>
  <c r="B1954" i="3"/>
  <c r="B1953" i="3"/>
  <c r="B1952" i="3"/>
  <c r="B1951" i="3"/>
  <c r="B1950" i="3"/>
  <c r="B1949" i="3"/>
  <c r="B1948" i="3"/>
  <c r="B1947" i="3"/>
  <c r="B1946" i="3"/>
  <c r="B1945" i="3"/>
  <c r="B1944" i="3"/>
  <c r="B1943" i="3"/>
  <c r="B1942" i="3"/>
  <c r="B1941" i="3"/>
  <c r="B1940" i="3"/>
  <c r="B1939" i="3"/>
  <c r="B1938" i="3"/>
  <c r="B1937" i="3"/>
  <c r="B1936" i="3"/>
  <c r="B1935" i="3"/>
  <c r="B1934" i="3"/>
  <c r="B1933" i="3"/>
  <c r="B1932" i="3"/>
  <c r="B1931" i="3"/>
  <c r="B1930" i="3"/>
  <c r="B1929" i="3"/>
  <c r="B1928" i="3"/>
  <c r="B1927" i="3"/>
  <c r="B1926" i="3"/>
  <c r="B1925" i="3"/>
  <c r="B1924" i="3"/>
  <c r="B1923" i="3"/>
  <c r="B1922" i="3"/>
  <c r="B1921" i="3"/>
  <c r="B1920" i="3"/>
  <c r="B1919" i="3"/>
  <c r="B1918" i="3"/>
  <c r="B1917" i="3"/>
  <c r="B1916" i="3"/>
  <c r="B1915" i="3"/>
  <c r="B1914" i="3"/>
  <c r="B1913" i="3"/>
  <c r="B1912" i="3"/>
  <c r="B1911" i="3"/>
  <c r="B1910" i="3"/>
  <c r="B1909" i="3"/>
  <c r="B1908" i="3"/>
  <c r="B1907" i="3"/>
  <c r="B1906" i="3"/>
  <c r="B1905" i="3"/>
  <c r="B1904" i="3"/>
  <c r="B1903" i="3"/>
  <c r="B1902" i="3"/>
  <c r="B1901" i="3"/>
  <c r="B1900" i="3"/>
  <c r="B1899" i="3"/>
  <c r="B1898" i="3"/>
  <c r="B1897" i="3"/>
  <c r="B1896" i="3"/>
  <c r="B1895" i="3"/>
  <c r="B1894" i="3"/>
  <c r="B1893" i="3"/>
  <c r="B1892" i="3"/>
  <c r="B1891" i="3"/>
  <c r="B1890" i="3"/>
  <c r="B1889" i="3"/>
  <c r="B1888" i="3"/>
  <c r="B1887" i="3"/>
  <c r="B1886" i="3"/>
  <c r="B1885" i="3"/>
  <c r="B1884" i="3"/>
  <c r="B1883" i="3"/>
  <c r="B1882" i="3"/>
  <c r="B1881" i="3"/>
  <c r="B1880" i="3"/>
  <c r="B1879" i="3"/>
  <c r="B1878" i="3"/>
  <c r="B1877" i="3"/>
  <c r="B1876" i="3"/>
  <c r="B1875" i="3"/>
  <c r="B1874" i="3"/>
  <c r="B1873" i="3"/>
  <c r="B1872" i="3"/>
  <c r="B1871" i="3"/>
  <c r="B1870" i="3"/>
  <c r="B1869" i="3"/>
  <c r="B1868" i="3"/>
  <c r="B1867" i="3"/>
  <c r="B1866" i="3"/>
  <c r="B1865" i="3"/>
  <c r="B1864" i="3"/>
  <c r="B1863" i="3"/>
  <c r="B1862" i="3"/>
  <c r="B1861" i="3"/>
  <c r="B1860" i="3"/>
  <c r="B1859" i="3"/>
  <c r="B1858" i="3"/>
  <c r="B1857" i="3"/>
  <c r="B1856" i="3"/>
  <c r="B1855" i="3"/>
  <c r="B1854" i="3"/>
  <c r="B1853" i="3"/>
  <c r="B1852" i="3"/>
  <c r="B1851" i="3"/>
  <c r="B1850" i="3"/>
  <c r="B1849" i="3"/>
  <c r="B1848" i="3"/>
  <c r="B1847" i="3"/>
  <c r="B1846" i="3"/>
  <c r="B1845" i="3"/>
  <c r="B1844" i="3"/>
  <c r="B1843" i="3"/>
  <c r="B1842" i="3"/>
  <c r="B1841" i="3"/>
  <c r="B1840" i="3"/>
  <c r="B1839" i="3"/>
  <c r="B1838" i="3"/>
  <c r="B1837" i="3"/>
  <c r="B1836" i="3"/>
  <c r="B1835" i="3"/>
  <c r="B1834" i="3"/>
  <c r="B1833" i="3"/>
  <c r="B1832" i="3"/>
  <c r="B1831" i="3"/>
  <c r="B1830" i="3"/>
  <c r="B1829" i="3"/>
  <c r="B1828" i="3"/>
  <c r="B1827" i="3"/>
  <c r="B1826" i="3"/>
  <c r="B1825" i="3"/>
  <c r="B1824" i="3"/>
  <c r="B1823" i="3"/>
  <c r="B1822" i="3"/>
  <c r="B1821" i="3"/>
  <c r="B1820" i="3"/>
  <c r="B1819" i="3"/>
  <c r="B1818" i="3"/>
  <c r="B1817" i="3"/>
  <c r="B1816" i="3"/>
  <c r="B1815" i="3"/>
  <c r="B1814" i="3"/>
  <c r="B1813" i="3"/>
  <c r="B1812" i="3"/>
  <c r="B1811" i="3"/>
  <c r="B1810" i="3"/>
  <c r="B1809" i="3"/>
  <c r="B1808" i="3"/>
  <c r="B1807" i="3"/>
  <c r="B1806" i="3"/>
  <c r="B1805" i="3"/>
  <c r="B1804" i="3"/>
  <c r="B1803" i="3"/>
  <c r="B1802" i="3"/>
  <c r="B1801" i="3"/>
  <c r="B1800" i="3"/>
  <c r="B1799" i="3"/>
  <c r="B1798" i="3"/>
  <c r="B1797" i="3"/>
  <c r="B1796" i="3"/>
  <c r="B1795" i="3"/>
  <c r="B1794" i="3"/>
  <c r="B1793" i="3"/>
  <c r="B1792" i="3"/>
  <c r="B1791" i="3"/>
  <c r="B1790" i="3"/>
  <c r="B1789" i="3"/>
  <c r="B1788" i="3"/>
  <c r="B1787" i="3"/>
  <c r="B1786" i="3"/>
  <c r="B1785" i="3"/>
  <c r="B1784" i="3"/>
  <c r="B1783" i="3"/>
  <c r="B1782" i="3"/>
  <c r="B1781" i="3"/>
  <c r="B1780" i="3"/>
  <c r="B1779" i="3"/>
  <c r="B1778" i="3"/>
  <c r="B1777" i="3"/>
  <c r="B1776" i="3"/>
  <c r="B1775" i="3"/>
  <c r="B1774" i="3"/>
  <c r="B1773" i="3"/>
  <c r="B1772" i="3"/>
  <c r="B1771" i="3"/>
  <c r="B1770" i="3"/>
  <c r="B1769" i="3"/>
  <c r="B1768" i="3"/>
  <c r="B1767" i="3"/>
  <c r="B1766" i="3"/>
  <c r="B1765" i="3"/>
  <c r="B1764" i="3"/>
  <c r="B1763" i="3"/>
  <c r="B1762" i="3"/>
  <c r="B1761" i="3"/>
  <c r="B1760" i="3"/>
  <c r="B1759" i="3"/>
  <c r="B1758" i="3"/>
  <c r="B1757" i="3"/>
  <c r="B1756" i="3"/>
  <c r="B1755" i="3"/>
  <c r="B1754" i="3"/>
  <c r="B1753" i="3"/>
  <c r="B1752" i="3"/>
  <c r="B1751" i="3"/>
  <c r="B1750" i="3"/>
  <c r="B1749" i="3"/>
  <c r="B1748" i="3"/>
  <c r="B1747" i="3"/>
  <c r="B1746" i="3"/>
  <c r="B1745" i="3"/>
  <c r="B1744" i="3"/>
  <c r="B1743" i="3"/>
  <c r="B1742" i="3"/>
  <c r="B1741" i="3"/>
  <c r="B1740" i="3"/>
  <c r="B1739" i="3"/>
  <c r="B1738" i="3"/>
  <c r="B1737" i="3"/>
  <c r="B1736" i="3"/>
  <c r="B1735" i="3"/>
  <c r="B1734" i="3"/>
  <c r="B1733" i="3"/>
  <c r="B1732" i="3"/>
  <c r="B1731" i="3"/>
  <c r="B1730" i="3"/>
  <c r="B1729" i="3"/>
  <c r="B1728" i="3"/>
  <c r="B1727" i="3"/>
  <c r="B1726" i="3"/>
  <c r="B1725" i="3"/>
  <c r="B1724" i="3"/>
  <c r="B1723" i="3"/>
  <c r="B1722" i="3"/>
  <c r="B1721" i="3"/>
  <c r="B1720" i="3"/>
  <c r="B1719" i="3"/>
  <c r="B1718" i="3"/>
  <c r="B1717" i="3"/>
  <c r="B1716" i="3"/>
  <c r="B1715" i="3"/>
  <c r="B1714" i="3"/>
  <c r="B1713" i="3"/>
  <c r="B1712" i="3"/>
  <c r="B1711" i="3"/>
  <c r="B1710" i="3"/>
  <c r="B1709" i="3"/>
  <c r="B1708" i="3"/>
  <c r="B1707" i="3"/>
  <c r="B1706" i="3"/>
  <c r="B1705" i="3"/>
  <c r="B1704" i="3"/>
  <c r="B1703" i="3"/>
  <c r="B1702" i="3"/>
  <c r="B1701" i="3"/>
  <c r="B1700" i="3"/>
  <c r="B1699" i="3"/>
  <c r="B1698" i="3"/>
  <c r="B1697" i="3"/>
  <c r="B1696" i="3"/>
  <c r="B1695" i="3"/>
  <c r="B1694" i="3"/>
  <c r="B1693" i="3"/>
  <c r="B1692" i="3"/>
  <c r="B1691" i="3"/>
  <c r="B1690" i="3"/>
  <c r="B1689" i="3"/>
  <c r="B1688" i="3"/>
  <c r="B1687" i="3"/>
  <c r="B1686" i="3"/>
  <c r="B1685" i="3"/>
  <c r="B1684" i="3"/>
  <c r="B1683" i="3"/>
  <c r="B1682" i="3"/>
  <c r="B1681" i="3"/>
  <c r="B1680" i="3"/>
  <c r="B1679" i="3"/>
  <c r="B1678" i="3"/>
  <c r="B1677" i="3"/>
  <c r="B1676" i="3"/>
  <c r="B1675" i="3"/>
  <c r="B1674" i="3"/>
  <c r="B1673" i="3"/>
  <c r="B1672" i="3"/>
  <c r="B1671" i="3"/>
  <c r="B1670" i="3"/>
  <c r="B1669" i="3"/>
  <c r="B1668" i="3"/>
  <c r="B1667" i="3"/>
  <c r="B1666" i="3"/>
  <c r="B1665" i="3"/>
  <c r="B1664" i="3"/>
  <c r="B1663" i="3"/>
  <c r="B1662" i="3"/>
  <c r="B1661" i="3"/>
  <c r="B1660" i="3"/>
  <c r="B1659" i="3"/>
  <c r="B1658" i="3"/>
  <c r="B1657" i="3"/>
  <c r="B1656" i="3"/>
  <c r="B1655" i="3"/>
  <c r="B1654" i="3"/>
  <c r="B1653" i="3"/>
  <c r="B1652" i="3"/>
  <c r="B1651" i="3"/>
  <c r="B1650" i="3"/>
  <c r="B1649" i="3"/>
  <c r="B1648" i="3"/>
  <c r="B1647" i="3"/>
  <c r="B1646" i="3"/>
  <c r="B1645" i="3"/>
  <c r="B1644" i="3"/>
  <c r="B1643" i="3"/>
  <c r="B1642" i="3"/>
  <c r="B1641" i="3"/>
  <c r="B1640" i="3"/>
  <c r="B1639" i="3"/>
  <c r="B1638" i="3"/>
  <c r="B1637" i="3"/>
  <c r="B1636" i="3"/>
  <c r="B1635" i="3"/>
  <c r="B1634" i="3"/>
  <c r="B1633" i="3"/>
  <c r="B1632" i="3"/>
  <c r="B1631" i="3"/>
  <c r="B1630" i="3"/>
  <c r="B1629" i="3"/>
  <c r="B1628" i="3"/>
  <c r="B1627" i="3"/>
  <c r="B1626" i="3"/>
  <c r="B1625" i="3"/>
  <c r="B1624" i="3"/>
  <c r="B1623" i="3"/>
  <c r="B1622" i="3"/>
  <c r="B1621" i="3"/>
  <c r="B1620" i="3"/>
  <c r="B1619" i="3"/>
  <c r="B1618" i="3"/>
  <c r="B1617" i="3"/>
  <c r="B1616" i="3"/>
  <c r="B1615" i="3"/>
  <c r="B1614" i="3"/>
  <c r="B1613" i="3"/>
  <c r="B1612" i="3"/>
  <c r="B1611" i="3"/>
  <c r="B1610" i="3"/>
  <c r="B1609" i="3"/>
  <c r="B1608" i="3"/>
  <c r="B1607" i="3"/>
  <c r="B1606" i="3"/>
  <c r="B1605" i="3"/>
  <c r="B1604" i="3"/>
  <c r="B1603" i="3"/>
  <c r="B1602" i="3"/>
  <c r="B1601" i="3"/>
  <c r="B1600" i="3"/>
  <c r="B1599" i="3"/>
  <c r="B1598" i="3"/>
  <c r="B1597" i="3"/>
  <c r="B1596" i="3"/>
  <c r="B1595" i="3"/>
  <c r="B1594" i="3"/>
  <c r="B1593" i="3"/>
  <c r="B1592" i="3"/>
  <c r="B1591" i="3"/>
  <c r="B1590" i="3"/>
  <c r="B1589" i="3"/>
  <c r="B1588" i="3"/>
  <c r="B1587" i="3"/>
  <c r="B1586" i="3"/>
  <c r="B1585" i="3"/>
  <c r="B1584" i="3"/>
  <c r="B1583" i="3"/>
  <c r="B1582" i="3"/>
  <c r="B1581" i="3"/>
  <c r="B1580" i="3"/>
  <c r="B1579" i="3"/>
  <c r="B1578" i="3"/>
  <c r="B1577" i="3"/>
  <c r="B1576" i="3"/>
  <c r="B1575" i="3"/>
  <c r="B1574" i="3"/>
  <c r="B1573" i="3"/>
  <c r="B1572" i="3"/>
  <c r="B1571" i="3"/>
  <c r="B1570" i="3"/>
  <c r="B1569" i="3"/>
  <c r="B1568" i="3"/>
  <c r="B1567" i="3"/>
  <c r="B1566" i="3"/>
  <c r="B1565" i="3"/>
  <c r="B1564" i="3"/>
  <c r="B1563" i="3"/>
  <c r="B1562" i="3"/>
  <c r="B1561" i="3"/>
  <c r="B1560" i="3"/>
  <c r="B1559" i="3"/>
  <c r="B1558" i="3"/>
  <c r="B1557" i="3"/>
  <c r="B1556" i="3"/>
  <c r="B1555" i="3"/>
  <c r="B1554" i="3"/>
  <c r="B1553" i="3"/>
  <c r="B1552" i="3"/>
  <c r="B1551" i="3"/>
  <c r="B1550" i="3"/>
  <c r="B1549" i="3"/>
  <c r="B1548" i="3"/>
  <c r="B1547" i="3"/>
  <c r="B1546" i="3"/>
  <c r="B1545" i="3"/>
  <c r="B1544" i="3"/>
  <c r="B1543" i="3"/>
  <c r="B1542" i="3"/>
  <c r="B1541" i="3"/>
  <c r="B1540" i="3"/>
  <c r="B1539" i="3"/>
  <c r="B1538" i="3"/>
  <c r="B1537" i="3"/>
  <c r="B1536" i="3"/>
  <c r="B1535" i="3"/>
  <c r="B1534" i="3"/>
  <c r="B1533" i="3"/>
  <c r="B1532" i="3"/>
  <c r="B1531" i="3"/>
  <c r="B1530" i="3"/>
  <c r="B1529" i="3"/>
  <c r="B1528" i="3"/>
  <c r="B1527" i="3"/>
  <c r="B1526" i="3"/>
  <c r="B1525" i="3"/>
  <c r="B1524" i="3"/>
  <c r="B1523" i="3"/>
  <c r="B1522" i="3"/>
  <c r="B1521" i="3"/>
  <c r="B1520" i="3"/>
  <c r="B1519" i="3"/>
  <c r="B1518" i="3"/>
  <c r="B1517" i="3"/>
  <c r="B1516" i="3"/>
  <c r="B1515" i="3"/>
  <c r="B1514" i="3"/>
  <c r="B1513" i="3"/>
  <c r="B1512" i="3"/>
  <c r="B1511" i="3"/>
  <c r="B1510" i="3"/>
  <c r="B1509" i="3"/>
  <c r="B1508" i="3"/>
  <c r="B1507" i="3"/>
  <c r="B1506" i="3"/>
  <c r="B1505" i="3"/>
  <c r="B1504" i="3"/>
  <c r="B1503" i="3"/>
  <c r="B1502" i="3"/>
  <c r="B1501" i="3"/>
  <c r="B1500" i="3"/>
  <c r="B1499" i="3"/>
  <c r="B1498" i="3"/>
  <c r="B1497" i="3"/>
  <c r="B1496" i="3"/>
  <c r="B1495" i="3"/>
  <c r="B1494" i="3"/>
  <c r="B1493" i="3"/>
  <c r="B1492" i="3"/>
  <c r="B1491" i="3"/>
  <c r="B1490" i="3"/>
  <c r="B1489" i="3"/>
  <c r="B1488" i="3"/>
  <c r="B1487" i="3"/>
  <c r="B1486" i="3"/>
  <c r="B1485" i="3"/>
  <c r="B1484" i="3"/>
  <c r="B1483" i="3"/>
  <c r="B1482" i="3"/>
  <c r="B1481" i="3"/>
  <c r="B1480" i="3"/>
  <c r="B1479" i="3"/>
  <c r="B1478" i="3"/>
  <c r="B1477" i="3"/>
  <c r="B1476" i="3"/>
  <c r="B1475" i="3"/>
  <c r="B1474" i="3"/>
  <c r="B1473" i="3"/>
  <c r="B1472" i="3"/>
  <c r="B1471" i="3"/>
  <c r="B1470" i="3"/>
  <c r="B1469" i="3"/>
  <c r="B1468" i="3"/>
  <c r="B1467" i="3"/>
  <c r="B1466" i="3"/>
  <c r="B1465" i="3"/>
  <c r="B1464" i="3"/>
  <c r="B1463" i="3"/>
  <c r="B1462" i="3"/>
  <c r="B1461" i="3"/>
  <c r="B1460" i="3"/>
  <c r="B1459" i="3"/>
  <c r="B1458" i="3"/>
  <c r="B1457" i="3"/>
  <c r="B1456" i="3"/>
  <c r="B1455" i="3"/>
  <c r="B1454" i="3"/>
  <c r="B1453" i="3"/>
  <c r="B1452" i="3"/>
  <c r="B1451" i="3"/>
  <c r="B1450" i="3"/>
  <c r="B1449" i="3"/>
  <c r="B1448" i="3"/>
  <c r="B1447" i="3"/>
  <c r="B1446" i="3"/>
  <c r="B1445" i="3"/>
  <c r="B1444" i="3"/>
  <c r="B1443" i="3"/>
  <c r="B1442" i="3"/>
  <c r="B1441" i="3"/>
  <c r="B1440" i="3"/>
  <c r="B1439" i="3"/>
  <c r="B1438" i="3"/>
  <c r="B1437" i="3"/>
  <c r="B1436" i="3"/>
  <c r="B1435" i="3"/>
  <c r="B1434" i="3"/>
  <c r="B1433" i="3"/>
  <c r="B1432" i="3"/>
  <c r="B1431" i="3"/>
  <c r="B1430" i="3"/>
  <c r="B1429" i="3"/>
  <c r="B1428" i="3"/>
  <c r="B1427" i="3"/>
  <c r="B1426" i="3"/>
  <c r="B1425" i="3"/>
  <c r="B1424" i="3"/>
  <c r="B1423" i="3"/>
  <c r="B1422" i="3"/>
  <c r="B1421" i="3"/>
  <c r="B1420" i="3"/>
  <c r="B1419" i="3"/>
  <c r="B1418" i="3"/>
  <c r="B1417" i="3"/>
  <c r="B1416" i="3"/>
  <c r="B1415" i="3"/>
  <c r="B1414" i="3"/>
  <c r="B1413" i="3"/>
  <c r="B1412" i="3"/>
  <c r="B1411" i="3"/>
  <c r="B1410" i="3"/>
  <c r="B1409" i="3"/>
  <c r="B1408" i="3"/>
  <c r="B1407" i="3"/>
  <c r="B1406" i="3"/>
  <c r="B1405" i="3"/>
  <c r="B1404" i="3"/>
  <c r="B1403" i="3"/>
  <c r="B1402" i="3"/>
  <c r="B1401" i="3"/>
  <c r="B1400" i="3"/>
  <c r="B1399" i="3"/>
  <c r="B1398" i="3"/>
  <c r="B1397" i="3"/>
  <c r="B1396" i="3"/>
  <c r="B1395" i="3"/>
  <c r="B1394" i="3"/>
  <c r="B1393" i="3"/>
  <c r="B1392" i="3"/>
  <c r="B1391" i="3"/>
  <c r="B1390" i="3"/>
  <c r="B1389" i="3"/>
  <c r="B1388" i="3"/>
  <c r="B1387" i="3"/>
  <c r="B1386" i="3"/>
  <c r="B1385" i="3"/>
  <c r="B1384" i="3"/>
  <c r="B1383" i="3"/>
  <c r="B1382" i="3"/>
  <c r="B1381" i="3"/>
  <c r="B1380" i="3"/>
  <c r="B1379" i="3"/>
  <c r="B1378" i="3"/>
  <c r="B1377" i="3"/>
  <c r="B1376" i="3"/>
  <c r="B1375" i="3"/>
  <c r="B1374" i="3"/>
  <c r="B1373" i="3"/>
  <c r="B1372" i="3"/>
  <c r="B1371" i="3"/>
  <c r="B1370" i="3"/>
  <c r="B1369" i="3"/>
  <c r="B1368" i="3"/>
  <c r="B1367" i="3"/>
  <c r="B1366" i="3"/>
  <c r="B1365" i="3"/>
  <c r="B1364" i="3"/>
  <c r="B1363" i="3"/>
  <c r="B1362" i="3"/>
  <c r="B1361" i="3"/>
  <c r="B1360" i="3"/>
  <c r="B1359" i="3"/>
  <c r="B1358" i="3"/>
  <c r="B1357" i="3"/>
  <c r="B1356" i="3"/>
  <c r="B1355" i="3"/>
  <c r="B1354" i="3"/>
  <c r="B1353" i="3"/>
  <c r="B1352" i="3"/>
  <c r="B1351" i="3"/>
  <c r="B1350" i="3"/>
  <c r="B1349" i="3"/>
  <c r="B1348" i="3"/>
  <c r="B1347" i="3"/>
  <c r="B1346" i="3"/>
  <c r="B1345" i="3"/>
  <c r="B1344" i="3"/>
  <c r="B1343" i="3"/>
  <c r="B1342" i="3"/>
  <c r="B1341" i="3"/>
  <c r="B1340" i="3"/>
  <c r="B1339" i="3"/>
  <c r="B1338" i="3"/>
  <c r="B1337" i="3"/>
  <c r="B1336" i="3"/>
  <c r="B1335" i="3"/>
  <c r="B1334" i="3"/>
  <c r="B1333" i="3"/>
  <c r="B1332" i="3"/>
  <c r="B1331" i="3"/>
  <c r="B1330" i="3"/>
  <c r="B1329" i="3"/>
  <c r="B1328" i="3"/>
  <c r="B1327" i="3"/>
  <c r="B1326" i="3"/>
  <c r="B1325" i="3"/>
  <c r="B1324" i="3"/>
  <c r="B1323" i="3"/>
  <c r="B1322" i="3"/>
  <c r="B1321" i="3"/>
  <c r="B1320" i="3"/>
  <c r="B1319" i="3"/>
  <c r="B1318" i="3"/>
  <c r="B1317" i="3"/>
  <c r="B1316" i="3"/>
  <c r="B1315" i="3"/>
  <c r="B1314" i="3"/>
  <c r="B1313" i="3"/>
  <c r="B1312" i="3"/>
  <c r="B1311" i="3"/>
  <c r="B1310" i="3"/>
  <c r="B1309" i="3"/>
  <c r="B1308" i="3"/>
  <c r="B1307" i="3"/>
  <c r="B1306" i="3"/>
  <c r="B1305" i="3"/>
  <c r="B1304" i="3"/>
  <c r="B1303" i="3"/>
  <c r="B1302" i="3"/>
  <c r="B1301" i="3"/>
  <c r="B1300" i="3"/>
  <c r="B1299" i="3"/>
  <c r="B1298" i="3"/>
  <c r="B1297" i="3"/>
  <c r="B1296" i="3"/>
  <c r="B1295" i="3"/>
  <c r="B1294" i="3"/>
  <c r="B1293" i="3"/>
  <c r="B1292" i="3"/>
  <c r="B1291" i="3"/>
  <c r="B1290" i="3"/>
  <c r="B1289" i="3"/>
  <c r="B1288" i="3"/>
  <c r="B1287" i="3"/>
  <c r="B1286" i="3"/>
  <c r="B1285" i="3"/>
  <c r="B1284" i="3"/>
  <c r="B1283" i="3"/>
  <c r="B1282" i="3"/>
  <c r="B1281" i="3"/>
  <c r="B1280" i="3"/>
  <c r="B1279" i="3"/>
  <c r="B1278" i="3"/>
  <c r="B1277" i="3"/>
  <c r="B1276" i="3"/>
  <c r="B1275" i="3"/>
  <c r="B1274" i="3"/>
  <c r="B1273" i="3"/>
  <c r="B1272" i="3"/>
  <c r="B1271" i="3"/>
  <c r="B1270" i="3"/>
  <c r="B1269" i="3"/>
  <c r="B1268" i="3"/>
  <c r="B1267" i="3"/>
  <c r="B1266" i="3"/>
  <c r="B1265" i="3"/>
  <c r="B1264" i="3"/>
  <c r="B1263" i="3"/>
  <c r="B1262" i="3"/>
  <c r="B1261" i="3"/>
  <c r="B1260" i="3"/>
  <c r="B1259" i="3"/>
  <c r="B1258" i="3"/>
  <c r="B1257" i="3"/>
  <c r="B1256" i="3"/>
  <c r="B1255" i="3"/>
  <c r="B1254" i="3"/>
  <c r="B1253" i="3"/>
  <c r="B1252" i="3"/>
  <c r="B1251" i="3"/>
  <c r="B1250" i="3"/>
  <c r="B1249" i="3"/>
  <c r="B1248" i="3"/>
  <c r="B1247" i="3"/>
  <c r="B1246" i="3"/>
  <c r="B1245" i="3"/>
  <c r="B1244" i="3"/>
  <c r="B1243" i="3"/>
  <c r="B1242" i="3"/>
  <c r="B1241" i="3"/>
  <c r="B1240" i="3"/>
  <c r="B1239" i="3"/>
  <c r="B1238" i="3"/>
  <c r="B1237" i="3"/>
  <c r="B1236" i="3"/>
  <c r="B1235" i="3"/>
  <c r="B1234" i="3"/>
  <c r="B1233" i="3"/>
  <c r="B1232" i="3"/>
  <c r="B1231" i="3"/>
  <c r="B1230" i="3"/>
  <c r="B1229" i="3"/>
  <c r="B1228" i="3"/>
  <c r="B1227" i="3"/>
  <c r="B1226" i="3"/>
  <c r="B1225" i="3"/>
  <c r="B1224" i="3"/>
  <c r="B1223" i="3"/>
  <c r="B1222" i="3"/>
  <c r="B1221" i="3"/>
  <c r="B1220" i="3"/>
  <c r="B1219" i="3"/>
  <c r="B1218" i="3"/>
  <c r="B1217" i="3"/>
  <c r="B1216" i="3"/>
  <c r="B1215" i="3"/>
  <c r="B1214" i="3"/>
  <c r="B1213" i="3"/>
  <c r="B1212" i="3"/>
  <c r="B1211" i="3"/>
  <c r="B1210" i="3"/>
  <c r="B1209" i="3"/>
  <c r="B1208" i="3"/>
  <c r="B1207" i="3"/>
  <c r="B1206" i="3"/>
  <c r="B1205" i="3"/>
  <c r="B1204" i="3"/>
  <c r="B1203" i="3"/>
  <c r="B1202" i="3"/>
  <c r="B1201" i="3"/>
  <c r="B1200" i="3"/>
  <c r="B1199" i="3"/>
  <c r="B1198" i="3"/>
  <c r="B1197" i="3"/>
  <c r="B1196" i="3"/>
  <c r="B1195" i="3"/>
  <c r="B1194" i="3"/>
  <c r="B1193" i="3"/>
  <c r="B1192" i="3"/>
  <c r="B1191" i="3"/>
  <c r="B1190" i="3"/>
  <c r="B1189" i="3"/>
  <c r="B1188" i="3"/>
  <c r="B1187" i="3"/>
  <c r="B1186" i="3"/>
  <c r="B1185" i="3"/>
  <c r="B1184" i="3"/>
  <c r="B1183" i="3"/>
  <c r="B1182" i="3"/>
  <c r="B1181" i="3"/>
  <c r="B1180" i="3"/>
  <c r="B1179" i="3"/>
  <c r="B1178" i="3"/>
  <c r="B1177" i="3"/>
  <c r="B1176" i="3"/>
  <c r="B1175" i="3"/>
  <c r="B1174" i="3"/>
  <c r="B1173" i="3"/>
  <c r="B1172" i="3"/>
  <c r="B1171" i="3"/>
  <c r="B1170" i="3"/>
  <c r="B1169" i="3"/>
  <c r="B1168" i="3"/>
  <c r="B1167" i="3"/>
  <c r="B1166" i="3"/>
  <c r="B1165" i="3"/>
  <c r="B1164" i="3"/>
  <c r="B1163" i="3"/>
  <c r="B1162" i="3"/>
  <c r="B1161" i="3"/>
  <c r="B1160" i="3"/>
  <c r="B1159" i="3"/>
  <c r="B1158" i="3"/>
  <c r="B1157" i="3"/>
  <c r="B1156" i="3"/>
  <c r="B1155" i="3"/>
  <c r="B1154" i="3"/>
  <c r="B1153" i="3"/>
  <c r="B1152" i="3"/>
  <c r="B1151" i="3"/>
  <c r="B1150" i="3"/>
  <c r="B1149" i="3"/>
  <c r="B1148" i="3"/>
  <c r="B1147" i="3"/>
  <c r="B1146" i="3"/>
  <c r="B1145" i="3"/>
  <c r="B1144" i="3"/>
  <c r="B1143" i="3"/>
  <c r="B1142" i="3"/>
  <c r="B1141" i="3"/>
  <c r="B1140" i="3"/>
  <c r="B1139" i="3"/>
  <c r="B1138" i="3"/>
  <c r="B1137" i="3"/>
  <c r="B1136" i="3"/>
  <c r="B1135" i="3"/>
  <c r="B1134" i="3"/>
  <c r="B1133" i="3"/>
  <c r="B1132" i="3"/>
  <c r="B1131" i="3"/>
  <c r="B1130" i="3"/>
  <c r="B1129" i="3"/>
  <c r="B1128" i="3"/>
  <c r="B1127" i="3"/>
  <c r="B1126" i="3"/>
  <c r="B1125" i="3"/>
  <c r="B1124" i="3"/>
  <c r="B1123" i="3"/>
  <c r="B1122" i="3"/>
  <c r="B1121" i="3"/>
  <c r="B1120" i="3"/>
  <c r="B1119" i="3"/>
  <c r="B1118" i="3"/>
  <c r="B1117" i="3"/>
  <c r="B1116" i="3"/>
  <c r="B1115" i="3"/>
  <c r="B1114" i="3"/>
  <c r="B1113" i="3"/>
  <c r="B1112" i="3"/>
  <c r="B1111" i="3"/>
  <c r="B1110" i="3"/>
  <c r="B1109" i="3"/>
  <c r="B1108" i="3"/>
  <c r="B1107" i="3"/>
  <c r="B1106" i="3"/>
  <c r="B1105" i="3"/>
  <c r="B1104" i="3"/>
  <c r="B1103" i="3"/>
  <c r="B1102" i="3"/>
  <c r="B1101" i="3"/>
  <c r="B1100" i="3"/>
  <c r="B1099" i="3"/>
  <c r="B1098" i="3"/>
  <c r="B1097" i="3"/>
  <c r="B1096" i="3"/>
  <c r="B1095" i="3"/>
  <c r="B1094" i="3"/>
  <c r="B1093" i="3"/>
  <c r="B1092" i="3"/>
  <c r="B1091" i="3"/>
  <c r="B1090" i="3"/>
  <c r="B1089" i="3"/>
  <c r="B1088" i="3"/>
  <c r="B1087" i="3"/>
  <c r="B1086" i="3"/>
  <c r="B1085" i="3"/>
  <c r="B1084" i="3"/>
  <c r="B1083" i="3"/>
  <c r="B1082" i="3"/>
  <c r="B1081" i="3"/>
  <c r="B1080" i="3"/>
  <c r="B1079" i="3"/>
  <c r="B1078" i="3"/>
  <c r="B1077" i="3"/>
  <c r="B1076" i="3"/>
  <c r="B1075" i="3"/>
  <c r="B1074" i="3"/>
  <c r="B1073" i="3"/>
  <c r="B1072" i="3"/>
  <c r="B1071" i="3"/>
  <c r="B1070" i="3"/>
  <c r="B1069" i="3"/>
  <c r="B1068" i="3"/>
  <c r="B1067" i="3"/>
  <c r="B1066" i="3"/>
  <c r="B1065" i="3"/>
  <c r="B1064" i="3"/>
  <c r="B1063" i="3"/>
  <c r="B1062" i="3"/>
  <c r="B1061" i="3"/>
  <c r="B1060" i="3"/>
  <c r="B1059" i="3"/>
  <c r="B1058" i="3"/>
  <c r="B1057" i="3"/>
  <c r="B1056" i="3"/>
  <c r="B1055" i="3"/>
  <c r="B1054" i="3"/>
  <c r="B1053" i="3"/>
  <c r="B1052" i="3"/>
  <c r="B1051" i="3"/>
  <c r="B1050" i="3"/>
  <c r="B1049" i="3"/>
  <c r="B1048" i="3"/>
  <c r="B1047" i="3"/>
  <c r="B1046" i="3"/>
  <c r="B1045" i="3"/>
  <c r="B1044" i="3"/>
  <c r="B1043" i="3"/>
  <c r="B1042" i="3"/>
  <c r="B1041" i="3"/>
  <c r="B1040" i="3"/>
  <c r="B1039" i="3"/>
  <c r="B1038" i="3"/>
  <c r="B1037" i="3"/>
  <c r="B1036" i="3"/>
  <c r="B1035" i="3"/>
  <c r="B1034" i="3"/>
  <c r="B1033" i="3"/>
  <c r="B1032" i="3"/>
  <c r="B1031" i="3"/>
  <c r="B1030" i="3"/>
  <c r="B1029" i="3"/>
  <c r="B1028" i="3"/>
  <c r="B1027" i="3"/>
  <c r="B1026" i="3"/>
  <c r="B1025" i="3"/>
  <c r="B1024" i="3"/>
  <c r="B1023" i="3"/>
  <c r="B1022" i="3"/>
  <c r="B1021" i="3"/>
  <c r="B1020" i="3"/>
  <c r="B1019" i="3"/>
  <c r="B1018" i="3"/>
  <c r="B1017" i="3"/>
  <c r="B1016" i="3"/>
  <c r="B1015" i="3"/>
  <c r="B1014" i="3"/>
  <c r="B1013" i="3"/>
  <c r="B1012" i="3"/>
  <c r="B1011" i="3"/>
  <c r="B1010" i="3"/>
  <c r="B1009" i="3"/>
  <c r="B1008" i="3"/>
  <c r="B1007" i="3"/>
  <c r="B1006" i="3"/>
  <c r="B1005" i="3"/>
  <c r="B1004" i="3"/>
  <c r="B1003" i="3"/>
  <c r="B1002" i="3"/>
  <c r="B1001" i="3"/>
  <c r="B1000" i="3"/>
  <c r="B999" i="3"/>
  <c r="B998" i="3"/>
  <c r="B997" i="3"/>
  <c r="B996" i="3"/>
  <c r="B995" i="3"/>
  <c r="B994" i="3"/>
  <c r="B993" i="3"/>
  <c r="B992" i="3"/>
  <c r="B991" i="3"/>
  <c r="B990" i="3"/>
  <c r="B989" i="3"/>
  <c r="B988" i="3"/>
  <c r="B987" i="3"/>
  <c r="B986" i="3"/>
  <c r="B985" i="3"/>
  <c r="B984" i="3"/>
  <c r="B983" i="3"/>
  <c r="B982" i="3"/>
  <c r="B981" i="3"/>
  <c r="B980" i="3"/>
  <c r="B979" i="3"/>
  <c r="B978" i="3"/>
  <c r="B977" i="3"/>
  <c r="B976" i="3"/>
  <c r="B975" i="3"/>
  <c r="B974" i="3"/>
  <c r="B973" i="3"/>
  <c r="B972" i="3"/>
  <c r="B971" i="3"/>
  <c r="B970" i="3"/>
  <c r="B969" i="3"/>
  <c r="B968" i="3"/>
  <c r="B967" i="3"/>
  <c r="B966" i="3"/>
  <c r="B965" i="3"/>
  <c r="B964" i="3"/>
  <c r="B963" i="3"/>
  <c r="B962" i="3"/>
  <c r="B961" i="3"/>
  <c r="B960" i="3"/>
  <c r="B959" i="3"/>
  <c r="B958" i="3"/>
  <c r="B957" i="3"/>
  <c r="B956" i="3"/>
  <c r="B955" i="3"/>
  <c r="B954" i="3"/>
  <c r="B953" i="3"/>
  <c r="B952" i="3"/>
  <c r="B951" i="3"/>
  <c r="B950" i="3"/>
  <c r="B949" i="3"/>
  <c r="B948" i="3"/>
  <c r="B947" i="3"/>
  <c r="B946" i="3"/>
  <c r="B945" i="3"/>
  <c r="B944" i="3"/>
  <c r="B943" i="3"/>
  <c r="B942" i="3"/>
  <c r="B941" i="3"/>
  <c r="B940" i="3"/>
  <c r="B939" i="3"/>
  <c r="B938" i="3"/>
  <c r="B937" i="3"/>
  <c r="B936" i="3"/>
  <c r="B935" i="3"/>
  <c r="B934" i="3"/>
  <c r="B933" i="3"/>
  <c r="B932" i="3"/>
  <c r="B931" i="3"/>
  <c r="B930" i="3"/>
  <c r="B929" i="3"/>
  <c r="B928" i="3"/>
  <c r="B927" i="3"/>
  <c r="B926" i="3"/>
  <c r="B925" i="3"/>
  <c r="B924" i="3"/>
  <c r="B923" i="3"/>
  <c r="B922" i="3"/>
  <c r="B921" i="3"/>
  <c r="B920" i="3"/>
  <c r="B919" i="3"/>
  <c r="B918" i="3"/>
  <c r="B917" i="3"/>
  <c r="B916" i="3"/>
  <c r="B915" i="3"/>
  <c r="B914" i="3"/>
  <c r="B913" i="3"/>
  <c r="B912" i="3"/>
  <c r="B911" i="3"/>
  <c r="B910" i="3"/>
  <c r="B909" i="3"/>
  <c r="B908" i="3"/>
  <c r="B907" i="3"/>
  <c r="B906" i="3"/>
  <c r="B905" i="3"/>
  <c r="B904" i="3"/>
  <c r="B903" i="3"/>
  <c r="B902" i="3"/>
  <c r="B901" i="3"/>
  <c r="B900" i="3"/>
  <c r="B899" i="3"/>
  <c r="B898" i="3"/>
  <c r="B897" i="3"/>
  <c r="B896" i="3"/>
  <c r="B895" i="3"/>
  <c r="B894" i="3"/>
  <c r="B893" i="3"/>
  <c r="B892" i="3"/>
  <c r="B891" i="3"/>
  <c r="B890" i="3"/>
  <c r="B889" i="3"/>
  <c r="B888" i="3"/>
  <c r="B887" i="3"/>
  <c r="B886" i="3"/>
  <c r="B885" i="3"/>
  <c r="B884" i="3"/>
  <c r="B883" i="3"/>
  <c r="B882" i="3"/>
  <c r="B881" i="3"/>
  <c r="B880" i="3"/>
  <c r="B879" i="3"/>
  <c r="B878" i="3"/>
  <c r="B877" i="3"/>
  <c r="B876" i="3"/>
  <c r="B875" i="3"/>
  <c r="B874" i="3"/>
  <c r="B873" i="3"/>
  <c r="B872" i="3"/>
  <c r="B871" i="3"/>
  <c r="B870" i="3"/>
  <c r="B869" i="3"/>
  <c r="B868" i="3"/>
  <c r="B867" i="3"/>
  <c r="B866" i="3"/>
  <c r="B865" i="3"/>
  <c r="B864" i="3"/>
  <c r="B863" i="3"/>
  <c r="B862" i="3"/>
  <c r="B861" i="3"/>
  <c r="B860" i="3"/>
  <c r="B859" i="3"/>
  <c r="B858" i="3"/>
  <c r="B857" i="3"/>
  <c r="B856" i="3"/>
  <c r="B855" i="3"/>
  <c r="B854" i="3"/>
  <c r="B853" i="3"/>
  <c r="B852" i="3"/>
  <c r="B851" i="3"/>
  <c r="B850" i="3"/>
  <c r="B849" i="3"/>
  <c r="B848" i="3"/>
  <c r="B847" i="3"/>
  <c r="B846" i="3"/>
  <c r="B845" i="3"/>
  <c r="B844" i="3"/>
  <c r="B843" i="3"/>
  <c r="B842" i="3"/>
  <c r="B841" i="3"/>
  <c r="B840" i="3"/>
  <c r="B839" i="3"/>
  <c r="B838" i="3"/>
  <c r="B837" i="3"/>
  <c r="B836" i="3"/>
  <c r="B835" i="3"/>
  <c r="B834" i="3"/>
  <c r="B833" i="3"/>
  <c r="B832" i="3"/>
  <c r="B831" i="3"/>
  <c r="B830" i="3"/>
  <c r="B829" i="3"/>
  <c r="B828" i="3"/>
  <c r="B827" i="3"/>
  <c r="B826" i="3"/>
  <c r="B825" i="3"/>
  <c r="B824" i="3"/>
  <c r="B823" i="3"/>
  <c r="B822" i="3"/>
  <c r="B821" i="3"/>
  <c r="B820" i="3"/>
  <c r="B819" i="3"/>
  <c r="B818" i="3"/>
  <c r="B817" i="3"/>
  <c r="B816" i="3"/>
  <c r="B815" i="3"/>
  <c r="B814" i="3"/>
  <c r="B813" i="3"/>
  <c r="B812" i="3"/>
  <c r="B811" i="3"/>
  <c r="B810" i="3"/>
  <c r="B809" i="3"/>
  <c r="B808" i="3"/>
  <c r="B807" i="3"/>
  <c r="B806" i="3"/>
  <c r="B805" i="3"/>
  <c r="B804" i="3"/>
  <c r="B803" i="3"/>
  <c r="B802" i="3"/>
  <c r="B801" i="3"/>
  <c r="B800" i="3"/>
  <c r="B799" i="3"/>
  <c r="B798" i="3"/>
  <c r="B797" i="3"/>
  <c r="B796" i="3"/>
  <c r="B795" i="3"/>
  <c r="B794" i="3"/>
  <c r="B793" i="3"/>
  <c r="B792" i="3"/>
  <c r="B791" i="3"/>
  <c r="B790" i="3"/>
  <c r="B789" i="3"/>
  <c r="B788" i="3"/>
  <c r="B787" i="3"/>
  <c r="B786" i="3"/>
  <c r="B785" i="3"/>
  <c r="B784" i="3"/>
  <c r="B783" i="3"/>
  <c r="B782" i="3"/>
  <c r="B781" i="3"/>
  <c r="B780" i="3"/>
  <c r="B779" i="3"/>
  <c r="B778" i="3"/>
  <c r="B777" i="3"/>
  <c r="B776" i="3"/>
  <c r="B775" i="3"/>
  <c r="B774" i="3"/>
  <c r="B773" i="3"/>
  <c r="B772" i="3"/>
  <c r="B771" i="3"/>
  <c r="B770" i="3"/>
  <c r="B769" i="3"/>
  <c r="B768" i="3"/>
  <c r="B767" i="3"/>
  <c r="B766" i="3"/>
  <c r="B765" i="3"/>
  <c r="B764" i="3"/>
  <c r="B763" i="3"/>
  <c r="B762" i="3"/>
  <c r="B761" i="3"/>
  <c r="B760" i="3"/>
  <c r="B759" i="3"/>
  <c r="B758" i="3"/>
  <c r="B757" i="3"/>
  <c r="B756" i="3"/>
  <c r="B755" i="3"/>
  <c r="B754" i="3"/>
  <c r="B753" i="3"/>
  <c r="B752" i="3"/>
  <c r="B751" i="3"/>
  <c r="B750" i="3"/>
  <c r="B749" i="3"/>
  <c r="B748" i="3"/>
  <c r="B747" i="3"/>
  <c r="B746" i="3"/>
  <c r="B745" i="3"/>
  <c r="B744" i="3"/>
  <c r="B743" i="3"/>
  <c r="B742" i="3"/>
  <c r="B741" i="3"/>
  <c r="B740" i="3"/>
  <c r="B739" i="3"/>
  <c r="B738" i="3"/>
  <c r="B737" i="3"/>
  <c r="B736" i="3"/>
  <c r="B735" i="3"/>
  <c r="B734" i="3"/>
  <c r="B733" i="3"/>
  <c r="B732" i="3"/>
  <c r="B731" i="3"/>
  <c r="B730" i="3"/>
  <c r="B729" i="3"/>
  <c r="B728" i="3"/>
  <c r="B727" i="3"/>
  <c r="B726" i="3"/>
  <c r="B725" i="3"/>
  <c r="B724" i="3"/>
  <c r="B723" i="3"/>
  <c r="B722" i="3"/>
  <c r="B721" i="3"/>
  <c r="B720" i="3"/>
  <c r="B719" i="3"/>
  <c r="B718" i="3"/>
  <c r="B717" i="3"/>
  <c r="B716" i="3"/>
  <c r="B715" i="3"/>
  <c r="B714" i="3"/>
  <c r="B713" i="3"/>
  <c r="B712" i="3"/>
  <c r="B711" i="3"/>
  <c r="B710" i="3"/>
  <c r="B709" i="3"/>
  <c r="B708" i="3"/>
  <c r="B707" i="3"/>
  <c r="B706" i="3"/>
  <c r="B705" i="3"/>
  <c r="B704" i="3"/>
  <c r="B703" i="3"/>
  <c r="B702" i="3"/>
  <c r="B701" i="3"/>
  <c r="B700" i="3"/>
  <c r="B699" i="3"/>
  <c r="B698" i="3"/>
  <c r="B697" i="3"/>
  <c r="B696" i="3"/>
  <c r="B695" i="3"/>
  <c r="B694" i="3"/>
  <c r="B693" i="3"/>
  <c r="B692" i="3"/>
  <c r="B691" i="3"/>
  <c r="B690" i="3"/>
  <c r="B689" i="3"/>
  <c r="B688" i="3"/>
  <c r="B687" i="3"/>
  <c r="B686" i="3"/>
  <c r="B685" i="3"/>
  <c r="B684" i="3"/>
  <c r="B683" i="3"/>
  <c r="B682" i="3"/>
  <c r="B681" i="3"/>
  <c r="B680" i="3"/>
  <c r="B679" i="3"/>
  <c r="B678" i="3"/>
  <c r="B677" i="3"/>
  <c r="B676" i="3"/>
  <c r="B675" i="3"/>
  <c r="B674" i="3"/>
  <c r="B673" i="3"/>
  <c r="B672" i="3"/>
  <c r="B671" i="3"/>
  <c r="B670" i="3"/>
  <c r="B669" i="3"/>
  <c r="B668" i="3"/>
  <c r="B667" i="3"/>
  <c r="B666" i="3"/>
  <c r="B665" i="3"/>
  <c r="B664" i="3"/>
  <c r="B663" i="3"/>
  <c r="B662" i="3"/>
  <c r="B661" i="3"/>
  <c r="B660" i="3"/>
  <c r="B659" i="3"/>
  <c r="B658" i="3"/>
  <c r="B657" i="3"/>
  <c r="B656" i="3"/>
  <c r="B655" i="3"/>
  <c r="B654" i="3"/>
  <c r="B653" i="3"/>
  <c r="B652" i="3"/>
  <c r="B651" i="3"/>
  <c r="B650" i="3"/>
  <c r="B649" i="3"/>
  <c r="B648" i="3"/>
  <c r="B647" i="3"/>
  <c r="B646" i="3"/>
  <c r="B645" i="3"/>
  <c r="B644" i="3"/>
  <c r="B643" i="3"/>
  <c r="B642" i="3"/>
  <c r="B641" i="3"/>
  <c r="B640" i="3"/>
  <c r="B639" i="3"/>
  <c r="B638" i="3"/>
  <c r="B637" i="3"/>
  <c r="B636" i="3"/>
  <c r="B635" i="3"/>
  <c r="B634" i="3"/>
  <c r="B633" i="3"/>
  <c r="B632" i="3"/>
  <c r="B631" i="3"/>
  <c r="B630" i="3"/>
  <c r="B629" i="3"/>
  <c r="B628" i="3"/>
  <c r="B627" i="3"/>
  <c r="B626" i="3"/>
  <c r="B625" i="3"/>
  <c r="B624" i="3"/>
  <c r="B623" i="3"/>
  <c r="B622" i="3"/>
  <c r="B621" i="3"/>
  <c r="B620" i="3"/>
  <c r="B619" i="3"/>
  <c r="B618" i="3"/>
  <c r="B617" i="3"/>
  <c r="B616" i="3"/>
  <c r="B615" i="3"/>
  <c r="B614" i="3"/>
  <c r="B613" i="3"/>
  <c r="B612" i="3"/>
  <c r="B611" i="3"/>
  <c r="B610" i="3"/>
  <c r="B609" i="3"/>
  <c r="B608" i="3"/>
  <c r="B607" i="3"/>
  <c r="B606" i="3"/>
  <c r="B605" i="3"/>
  <c r="B604" i="3"/>
  <c r="B603" i="3"/>
  <c r="B602" i="3"/>
  <c r="B601" i="3"/>
  <c r="B600" i="3"/>
  <c r="B599" i="3"/>
  <c r="B598" i="3"/>
  <c r="B597" i="3"/>
  <c r="B596" i="3"/>
  <c r="B595" i="3"/>
  <c r="B594" i="3"/>
  <c r="B593" i="3"/>
  <c r="B592" i="3"/>
  <c r="B591" i="3"/>
  <c r="B590" i="3"/>
  <c r="B589" i="3"/>
  <c r="B588" i="3"/>
  <c r="B587" i="3"/>
  <c r="B586" i="3"/>
  <c r="B585" i="3"/>
  <c r="B584" i="3"/>
  <c r="B583" i="3"/>
  <c r="B582" i="3"/>
  <c r="B581" i="3"/>
  <c r="B580" i="3"/>
  <c r="B579" i="3"/>
  <c r="B578" i="3"/>
  <c r="B577" i="3"/>
  <c r="B576" i="3"/>
  <c r="B575" i="3"/>
  <c r="B574" i="3"/>
  <c r="B573" i="3"/>
  <c r="B572" i="3"/>
  <c r="B571" i="3"/>
  <c r="B570" i="3"/>
  <c r="B569" i="3"/>
  <c r="B568" i="3"/>
  <c r="B567" i="3"/>
  <c r="B566" i="3"/>
  <c r="B565" i="3"/>
  <c r="B564" i="3"/>
  <c r="B563" i="3"/>
  <c r="B562" i="3"/>
  <c r="B561" i="3"/>
  <c r="B560" i="3"/>
  <c r="B559" i="3"/>
  <c r="B558" i="3"/>
  <c r="B557" i="3"/>
  <c r="B556" i="3"/>
  <c r="B555" i="3"/>
  <c r="B554" i="3"/>
  <c r="B553" i="3"/>
  <c r="B552" i="3"/>
  <c r="B551" i="3"/>
  <c r="B550" i="3"/>
  <c r="B549" i="3"/>
  <c r="B548" i="3"/>
  <c r="B547" i="3"/>
  <c r="B546" i="3"/>
  <c r="B545" i="3"/>
  <c r="B544" i="3"/>
  <c r="B543" i="3"/>
  <c r="B542" i="3"/>
  <c r="B541" i="3"/>
  <c r="B540" i="3"/>
  <c r="B539" i="3"/>
  <c r="B538" i="3"/>
  <c r="B537" i="3"/>
  <c r="B536" i="3"/>
  <c r="B535" i="3"/>
  <c r="B534" i="3"/>
  <c r="B533" i="3"/>
  <c r="B532" i="3"/>
  <c r="B531" i="3"/>
  <c r="B530" i="3"/>
  <c r="B529" i="3"/>
  <c r="B528" i="3"/>
  <c r="B527" i="3"/>
  <c r="B526" i="3"/>
  <c r="B525" i="3"/>
  <c r="B524" i="3"/>
  <c r="B523" i="3"/>
  <c r="B522" i="3"/>
  <c r="B521" i="3"/>
  <c r="B520" i="3"/>
  <c r="B519" i="3"/>
  <c r="B518" i="3"/>
  <c r="B517" i="3"/>
  <c r="B516" i="3"/>
  <c r="B515" i="3"/>
  <c r="B514" i="3"/>
  <c r="B513" i="3"/>
  <c r="B512" i="3"/>
  <c r="B511" i="3"/>
  <c r="B510" i="3"/>
  <c r="B509" i="3"/>
  <c r="B508" i="3"/>
  <c r="B507" i="3"/>
  <c r="B506" i="3"/>
  <c r="B505" i="3"/>
  <c r="B504" i="3"/>
  <c r="B503" i="3"/>
  <c r="B502" i="3"/>
  <c r="B501" i="3"/>
  <c r="B500" i="3"/>
  <c r="B499" i="3"/>
  <c r="B498" i="3"/>
  <c r="B497" i="3"/>
  <c r="B496" i="3"/>
  <c r="B495" i="3"/>
  <c r="B494" i="3"/>
  <c r="B493" i="3"/>
  <c r="B492" i="3"/>
  <c r="B491" i="3"/>
  <c r="B490" i="3"/>
  <c r="B489" i="3"/>
  <c r="B488" i="3"/>
  <c r="B487" i="3"/>
  <c r="B486" i="3"/>
  <c r="B485" i="3"/>
  <c r="B484" i="3"/>
  <c r="B483" i="3"/>
  <c r="B482" i="3"/>
  <c r="B481" i="3"/>
  <c r="B480" i="3"/>
  <c r="B479" i="3"/>
  <c r="B478" i="3"/>
  <c r="B477" i="3"/>
  <c r="B476" i="3"/>
  <c r="B475" i="3"/>
  <c r="B474" i="3"/>
  <c r="B473" i="3"/>
  <c r="B472" i="3"/>
  <c r="B471" i="3"/>
  <c r="B470" i="3"/>
  <c r="B469" i="3"/>
  <c r="B468" i="3"/>
  <c r="B467" i="3"/>
  <c r="B466" i="3"/>
  <c r="B465" i="3"/>
  <c r="B464" i="3"/>
  <c r="B463" i="3"/>
  <c r="B462" i="3"/>
  <c r="B461" i="3"/>
  <c r="B460" i="3"/>
  <c r="B459" i="3"/>
  <c r="B458" i="3"/>
  <c r="B457" i="3"/>
  <c r="B456" i="3"/>
  <c r="B455" i="3"/>
  <c r="B454" i="3"/>
  <c r="B453" i="3"/>
  <c r="B452" i="3"/>
  <c r="B451" i="3"/>
  <c r="B450" i="3"/>
  <c r="B449" i="3"/>
  <c r="B448" i="3"/>
  <c r="B447" i="3"/>
  <c r="B446" i="3"/>
  <c r="B445" i="3"/>
  <c r="B444" i="3"/>
  <c r="B443" i="3"/>
  <c r="B442" i="3"/>
  <c r="B441" i="3"/>
  <c r="B440" i="3"/>
  <c r="B439" i="3"/>
  <c r="B438" i="3"/>
  <c r="B437" i="3"/>
  <c r="B436" i="3"/>
  <c r="B435" i="3"/>
  <c r="B434" i="3"/>
  <c r="B433" i="3"/>
  <c r="B432" i="3"/>
  <c r="B431" i="3"/>
  <c r="B430" i="3"/>
  <c r="B429" i="3"/>
  <c r="B428" i="3"/>
  <c r="B427" i="3"/>
  <c r="B426" i="3"/>
  <c r="B425" i="3"/>
  <c r="B424" i="3"/>
  <c r="B423" i="3"/>
  <c r="B422" i="3"/>
  <c r="B421" i="3"/>
  <c r="B420" i="3"/>
  <c r="B419" i="3"/>
  <c r="B418" i="3"/>
  <c r="B417" i="3"/>
  <c r="B416" i="3"/>
  <c r="B415" i="3"/>
  <c r="B414" i="3"/>
  <c r="B413" i="3"/>
  <c r="B412" i="3"/>
  <c r="B411" i="3"/>
  <c r="B410" i="3"/>
  <c r="B409" i="3"/>
  <c r="B408" i="3"/>
  <c r="B407" i="3"/>
  <c r="B406" i="3"/>
  <c r="B405" i="3"/>
  <c r="B404" i="3"/>
  <c r="B403" i="3"/>
  <c r="B402" i="3"/>
  <c r="B401" i="3"/>
  <c r="B400" i="3"/>
  <c r="B399" i="3"/>
  <c r="B398" i="3"/>
  <c r="B397" i="3"/>
  <c r="B396" i="3"/>
  <c r="B395" i="3"/>
  <c r="B394" i="3"/>
  <c r="B393" i="3"/>
  <c r="B392" i="3"/>
  <c r="B391" i="3"/>
  <c r="B390" i="3"/>
  <c r="B389" i="3"/>
  <c r="B388" i="3"/>
  <c r="B387" i="3"/>
  <c r="B386" i="3"/>
  <c r="B385" i="3"/>
  <c r="B384" i="3"/>
  <c r="B383" i="3"/>
  <c r="B382" i="3"/>
  <c r="B381" i="3"/>
  <c r="B380" i="3"/>
  <c r="B379" i="3"/>
  <c r="B378" i="3"/>
  <c r="B377" i="3"/>
  <c r="B376" i="3"/>
  <c r="B375" i="3"/>
  <c r="B374" i="3"/>
  <c r="B373" i="3"/>
  <c r="B372" i="3"/>
  <c r="B371" i="3"/>
  <c r="B370" i="3"/>
  <c r="B369" i="3"/>
  <c r="B368" i="3"/>
  <c r="B367" i="3"/>
  <c r="B366" i="3"/>
  <c r="B365" i="3"/>
  <c r="B364" i="3"/>
  <c r="B363" i="3"/>
  <c r="B362" i="3"/>
  <c r="B361" i="3"/>
  <c r="B360" i="3"/>
  <c r="B359" i="3"/>
  <c r="B358" i="3"/>
  <c r="B357" i="3"/>
  <c r="B356" i="3"/>
  <c r="B355" i="3"/>
  <c r="B354" i="3"/>
  <c r="B353" i="3"/>
  <c r="B352" i="3"/>
  <c r="B351" i="3"/>
  <c r="B350" i="3"/>
  <c r="B349" i="3"/>
  <c r="B348" i="3"/>
  <c r="B347" i="3"/>
  <c r="B346" i="3"/>
  <c r="B345" i="3"/>
  <c r="B344" i="3"/>
  <c r="B343" i="3"/>
  <c r="B342" i="3"/>
  <c r="B341" i="3"/>
  <c r="B340" i="3"/>
  <c r="B339" i="3"/>
  <c r="B338" i="3"/>
  <c r="B337" i="3"/>
  <c r="B336" i="3"/>
  <c r="B335" i="3"/>
  <c r="B334" i="3"/>
  <c r="B333" i="3"/>
  <c r="B332" i="3"/>
  <c r="B331" i="3"/>
  <c r="B330" i="3"/>
  <c r="B329" i="3"/>
  <c r="B328" i="3"/>
  <c r="B327" i="3"/>
  <c r="B326" i="3"/>
  <c r="B325" i="3"/>
  <c r="B324" i="3"/>
  <c r="B323" i="3"/>
  <c r="B322" i="3"/>
  <c r="B321" i="3"/>
  <c r="B320" i="3"/>
  <c r="B319" i="3"/>
  <c r="B318" i="3"/>
  <c r="B317" i="3"/>
  <c r="B316" i="3"/>
  <c r="B315" i="3"/>
  <c r="B314" i="3"/>
  <c r="B313" i="3"/>
  <c r="B312" i="3"/>
  <c r="B311" i="3"/>
  <c r="B310" i="3"/>
  <c r="B309" i="3"/>
  <c r="B308" i="3"/>
  <c r="B307" i="3"/>
  <c r="B306" i="3"/>
  <c r="B305" i="3"/>
  <c r="B304" i="3"/>
  <c r="B303" i="3"/>
  <c r="B302" i="3"/>
  <c r="B301" i="3"/>
  <c r="B300" i="3"/>
  <c r="B299" i="3"/>
  <c r="B298" i="3"/>
  <c r="B297" i="3"/>
  <c r="B296" i="3"/>
  <c r="B295" i="3"/>
  <c r="B294" i="3"/>
  <c r="B293" i="3"/>
  <c r="B292" i="3"/>
  <c r="B291" i="3"/>
  <c r="B290" i="3"/>
  <c r="B289" i="3"/>
  <c r="B288" i="3"/>
  <c r="B287" i="3"/>
  <c r="B286" i="3"/>
  <c r="B285" i="3"/>
  <c r="B284" i="3"/>
  <c r="B283" i="3"/>
  <c r="B282" i="3"/>
  <c r="B281" i="3"/>
  <c r="B280" i="3"/>
  <c r="B279" i="3"/>
  <c r="B278" i="3"/>
  <c r="B277" i="3"/>
  <c r="B276" i="3"/>
  <c r="B275" i="3"/>
  <c r="B274" i="3"/>
  <c r="B273" i="3"/>
  <c r="B272" i="3"/>
  <c r="B271" i="3"/>
  <c r="B270" i="3"/>
  <c r="B269" i="3"/>
  <c r="B268" i="3"/>
  <c r="B267" i="3"/>
  <c r="B266" i="3"/>
  <c r="B265" i="3"/>
  <c r="B264" i="3"/>
  <c r="B263" i="3"/>
  <c r="B262" i="3"/>
  <c r="B261" i="3"/>
  <c r="B260" i="3"/>
  <c r="B259" i="3"/>
  <c r="B258" i="3"/>
  <c r="B257" i="3"/>
  <c r="B256" i="3"/>
  <c r="B255" i="3"/>
  <c r="B254" i="3"/>
  <c r="B253" i="3"/>
  <c r="B252" i="3"/>
  <c r="B251" i="3"/>
  <c r="B250" i="3"/>
  <c r="B249" i="3"/>
  <c r="B248" i="3"/>
  <c r="B247" i="3"/>
  <c r="B246" i="3"/>
  <c r="B245" i="3"/>
  <c r="B244" i="3"/>
  <c r="B243" i="3"/>
  <c r="B242" i="3"/>
  <c r="B241" i="3"/>
  <c r="B240" i="3"/>
  <c r="B239" i="3"/>
  <c r="B238" i="3"/>
  <c r="B237" i="3"/>
  <c r="B236" i="3"/>
  <c r="B235" i="3"/>
  <c r="B234" i="3"/>
  <c r="B233" i="3"/>
  <c r="B232" i="3"/>
  <c r="B231" i="3"/>
  <c r="B230" i="3"/>
  <c r="B229" i="3"/>
  <c r="B228" i="3"/>
  <c r="B227" i="3"/>
  <c r="B226" i="3"/>
  <c r="B225" i="3"/>
  <c r="B224" i="3"/>
  <c r="B223" i="3"/>
  <c r="B222" i="3"/>
  <c r="B221" i="3"/>
  <c r="B220" i="3"/>
  <c r="B219" i="3"/>
  <c r="B218" i="3"/>
  <c r="B217" i="3"/>
  <c r="B216" i="3"/>
  <c r="B215" i="3"/>
  <c r="B214" i="3"/>
  <c r="B213" i="3"/>
  <c r="B212" i="3"/>
  <c r="B211" i="3"/>
  <c r="B210" i="3"/>
  <c r="B209" i="3"/>
  <c r="B208" i="3"/>
  <c r="B207" i="3"/>
  <c r="B206" i="3"/>
  <c r="B205" i="3"/>
  <c r="B204" i="3"/>
  <c r="B203" i="3"/>
  <c r="B202" i="3"/>
  <c r="B201" i="3"/>
  <c r="B200" i="3"/>
  <c r="B199" i="3"/>
  <c r="B198" i="3"/>
  <c r="B197" i="3"/>
  <c r="B196" i="3"/>
  <c r="B195" i="3"/>
  <c r="B194" i="3"/>
  <c r="B193" i="3"/>
  <c r="B192" i="3"/>
  <c r="B191" i="3"/>
  <c r="B190" i="3"/>
  <c r="B189" i="3"/>
  <c r="B188" i="3"/>
  <c r="B187" i="3"/>
  <c r="B186" i="3"/>
  <c r="B185" i="3"/>
  <c r="B184" i="3"/>
  <c r="B183" i="3"/>
  <c r="B182" i="3"/>
  <c r="B181" i="3"/>
  <c r="B180" i="3"/>
  <c r="B179" i="3"/>
  <c r="B178" i="3"/>
  <c r="B177" i="3"/>
  <c r="B176" i="3"/>
  <c r="B175" i="3"/>
  <c r="B174" i="3"/>
  <c r="B173" i="3"/>
  <c r="B172" i="3"/>
  <c r="B171" i="3"/>
  <c r="B170" i="3"/>
  <c r="B169" i="3"/>
  <c r="B168" i="3"/>
  <c r="B167" i="3"/>
  <c r="B166" i="3"/>
  <c r="B165" i="3"/>
  <c r="B164" i="3"/>
  <c r="B163" i="3"/>
  <c r="B162" i="3"/>
  <c r="B161" i="3"/>
  <c r="B160" i="3"/>
  <c r="B159" i="3"/>
  <c r="B158" i="3"/>
  <c r="B157" i="3"/>
  <c r="B156" i="3"/>
  <c r="B155" i="3"/>
  <c r="B154" i="3"/>
  <c r="B153" i="3"/>
  <c r="B152" i="3"/>
  <c r="B151" i="3"/>
  <c r="B150" i="3"/>
  <c r="B149" i="3"/>
  <c r="B148" i="3"/>
  <c r="B147" i="3"/>
  <c r="B146" i="3"/>
  <c r="B145" i="3"/>
  <c r="B144" i="3"/>
  <c r="B143" i="3"/>
  <c r="B142" i="3"/>
  <c r="B141" i="3"/>
  <c r="B140" i="3"/>
  <c r="B139" i="3"/>
  <c r="B138" i="3"/>
  <c r="B137" i="3"/>
  <c r="B136" i="3"/>
  <c r="B135" i="3"/>
  <c r="B134" i="3"/>
  <c r="B133" i="3"/>
  <c r="B132" i="3"/>
  <c r="B131" i="3"/>
  <c r="B130" i="3"/>
  <c r="B129" i="3"/>
  <c r="B128" i="3"/>
  <c r="B127" i="3"/>
  <c r="B126" i="3"/>
  <c r="B125" i="3"/>
  <c r="B124" i="3"/>
  <c r="B123" i="3"/>
  <c r="B122" i="3"/>
  <c r="B121" i="3"/>
  <c r="B120" i="3"/>
  <c r="B119" i="3"/>
  <c r="B118" i="3"/>
  <c r="B117" i="3"/>
  <c r="B116" i="3"/>
  <c r="B115" i="3"/>
  <c r="B114" i="3"/>
  <c r="B113" i="3"/>
  <c r="B112" i="3"/>
  <c r="B111" i="3"/>
  <c r="B110" i="3"/>
  <c r="B109" i="3"/>
  <c r="B108" i="3"/>
  <c r="B107" i="3"/>
  <c r="B106" i="3"/>
  <c r="B105" i="3"/>
  <c r="B104" i="3"/>
  <c r="B103" i="3"/>
  <c r="B102" i="3"/>
  <c r="B101" i="3"/>
  <c r="B100" i="3"/>
  <c r="B99" i="3"/>
  <c r="B98" i="3"/>
  <c r="B97" i="3"/>
  <c r="B96" i="3"/>
  <c r="B95" i="3"/>
  <c r="B94" i="3"/>
  <c r="B93" i="3"/>
  <c r="B92" i="3"/>
  <c r="B91" i="3"/>
  <c r="B90" i="3"/>
  <c r="B89" i="3"/>
  <c r="B88" i="3"/>
  <c r="B87" i="3"/>
  <c r="B86" i="3"/>
  <c r="B85" i="3"/>
  <c r="B84" i="3"/>
  <c r="B83" i="3"/>
  <c r="B82" i="3"/>
  <c r="B81" i="3"/>
  <c r="B80" i="3"/>
  <c r="B79" i="3"/>
  <c r="B78" i="3"/>
  <c r="B77" i="3"/>
  <c r="B76" i="3"/>
  <c r="B75" i="3"/>
  <c r="B74" i="3"/>
  <c r="B73" i="3"/>
  <c r="B72" i="3"/>
  <c r="B71" i="3"/>
  <c r="B70" i="3"/>
  <c r="B69" i="3"/>
  <c r="B68" i="3"/>
  <c r="B67" i="3"/>
  <c r="B66" i="3"/>
  <c r="B65" i="3"/>
  <c r="B64" i="3"/>
  <c r="B63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7" i="3"/>
  <c r="B46" i="3"/>
  <c r="B45" i="3"/>
  <c r="B44" i="3"/>
  <c r="B43" i="3"/>
  <c r="B42" i="3"/>
  <c r="B41" i="3"/>
  <c r="B40" i="3"/>
  <c r="B39" i="3"/>
  <c r="B38" i="3"/>
  <c r="B37" i="3"/>
  <c r="B36" i="3"/>
  <c r="B35" i="3"/>
  <c r="B34" i="3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B4" i="3"/>
  <c r="B3" i="3"/>
  <c r="A6" i="1" l="1"/>
</calcChain>
</file>

<file path=xl/sharedStrings.xml><?xml version="1.0" encoding="utf-8"?>
<sst xmlns="http://schemas.openxmlformats.org/spreadsheetml/2006/main" count="28265" uniqueCount="11461">
  <si>
    <t xml:space="preserve">CODE ARTICLE                                                                      </t>
  </si>
  <si>
    <t xml:space="preserve"> DESIGNATION                                                                                        </t>
  </si>
  <si>
    <t xml:space="preserve">DESIGNATION WG      </t>
  </si>
  <si>
    <t xml:space="preserve">        WG</t>
  </si>
  <si>
    <t>FOURNIS</t>
  </si>
  <si>
    <t xml:space="preserve">NOM                                                                             </t>
  </si>
  <si>
    <t>DLC EN</t>
  </si>
  <si>
    <t xml:space="preserve">DLC ENTREPOT TYPE               </t>
  </si>
  <si>
    <t>DLC MA</t>
  </si>
  <si>
    <t xml:space="preserve">DLC MAGASIN TYPE                </t>
  </si>
  <si>
    <t xml:space="preserve">    STATUT</t>
  </si>
  <si>
    <t xml:space="preserve">  CODE GEO</t>
  </si>
  <si>
    <t xml:space="preserve">DUREE DE VIE ENTREPOT                                                                        </t>
  </si>
  <si>
    <t>----------------------------------------------------------------------------------</t>
  </si>
  <si>
    <t>----------------------------------------------------------------------------------------------------</t>
  </si>
  <si>
    <t>--------------------</t>
  </si>
  <si>
    <t>----------</t>
  </si>
  <si>
    <t>-------</t>
  </si>
  <si>
    <t>--------------------------------------------------------------------------------</t>
  </si>
  <si>
    <t>------</t>
  </si>
  <si>
    <t>--------------------------------</t>
  </si>
  <si>
    <t xml:space="preserve">---------------------                                                                        </t>
  </si>
  <si>
    <t xml:space="preserve">Eau Gazéifiée                                                                                       </t>
  </si>
  <si>
    <t xml:space="preserve">Grosse rot. liquide </t>
  </si>
  <si>
    <t xml:space="preserve">Gie Roxane Saint Amand                                                          </t>
  </si>
  <si>
    <t xml:space="preserve">MOIS                            </t>
  </si>
  <si>
    <t xml:space="preserve">Eau minérale naturelle                                                                              </t>
  </si>
  <si>
    <t xml:space="preserve">Eau de source                                                                                       </t>
  </si>
  <si>
    <t xml:space="preserve">Cola zéro                                                                                           </t>
  </si>
  <si>
    <t xml:space="preserve">Ice Tea pêche                                                                                       </t>
  </si>
  <si>
    <t xml:space="preserve">Thé glacé citron/mangue                                                                             </t>
  </si>
  <si>
    <t xml:space="preserve">Jambon fines tr. à l'italienne VPF                                                                  </t>
  </si>
  <si>
    <t xml:space="preserve">K.F.                </t>
  </si>
  <si>
    <t xml:space="preserve">Compagnie Lampaulaise de                                                        </t>
  </si>
  <si>
    <t xml:space="preserve">JOUR                            </t>
  </si>
  <si>
    <t xml:space="preserve">Whiskas les Irrésistibles                                                                           </t>
  </si>
  <si>
    <t xml:space="preserve">Sec                 </t>
  </si>
  <si>
    <t xml:space="preserve">Mars PF France SASU                                                             </t>
  </si>
  <si>
    <t xml:space="preserve">Pedigree Dentastix                                                                                  </t>
  </si>
  <si>
    <t xml:space="preserve">28 bâtonnets saveur crabe                                                                           </t>
  </si>
  <si>
    <t xml:space="preserve">Alliance Océane &amp;                                                               </t>
  </si>
  <si>
    <t xml:space="preserve">Mentos Gum Pure Fresh Box                                                                           </t>
  </si>
  <si>
    <t xml:space="preserve">DPH/Chienchat       </t>
  </si>
  <si>
    <t xml:space="preserve">Solinest SAS                                                                    </t>
  </si>
  <si>
    <t xml:space="preserve">      </t>
  </si>
  <si>
    <t xml:space="preserve">AUCUNE                          </t>
  </si>
  <si>
    <t xml:space="preserve">                                                                                             </t>
  </si>
  <si>
    <t xml:space="preserve">Sal. betteraves rouges/coleslaw                                                                     </t>
  </si>
  <si>
    <t xml:space="preserve">Frais quotidien     </t>
  </si>
  <si>
    <t xml:space="preserve">Martinet S.A.S.                                                                 </t>
  </si>
  <si>
    <t xml:space="preserve">Salade méli mélo/céleri                                                                             </t>
  </si>
  <si>
    <t xml:space="preserve">Pringles                                                                                            </t>
  </si>
  <si>
    <t xml:space="preserve">Famille appro gén.  </t>
  </si>
  <si>
    <t xml:space="preserve">Kellogg's Produits                                                              </t>
  </si>
  <si>
    <t xml:space="preserve">Pampers Couches newbaby T1                                                                          </t>
  </si>
  <si>
    <t xml:space="preserve">Procter &amp; Gamble France SAS                                                     </t>
  </si>
  <si>
    <t xml:space="preserve">Pampers Couches newbaby T2                                                                          </t>
  </si>
  <si>
    <t xml:space="preserve">Pampers Couches babydry T3                                                                          </t>
  </si>
  <si>
    <t xml:space="preserve">Pampers Couches babydry T4                                                                          </t>
  </si>
  <si>
    <t xml:space="preserve">Ducros Gingembre moulu                                                                              </t>
  </si>
  <si>
    <t xml:space="preserve">McCormick France SAS                                                            </t>
  </si>
  <si>
    <t xml:space="preserve">Ducros estragon                                                                                     </t>
  </si>
  <si>
    <t xml:space="preserve">DIVERS ALIM 5.5%                                                                                    </t>
  </si>
  <si>
    <t xml:space="preserve">YNonfood            </t>
  </si>
  <si>
    <t xml:space="preserve">TRACTS PUBLICITAIRES                                                            </t>
  </si>
  <si>
    <t xml:space="preserve">          </t>
  </si>
  <si>
    <t xml:space="preserve">Crème fraîche épaisse 30%                                                                           </t>
  </si>
  <si>
    <t xml:space="preserve">Frais 3 x S         </t>
  </si>
  <si>
    <t xml:space="preserve">EURIAL ULTRA FRAIS S.A.S.U.                                                     </t>
  </si>
  <si>
    <t xml:space="preserve">Specialité laitière crémeuse                                                                        </t>
  </si>
  <si>
    <t xml:space="preserve">K.L.                </t>
  </si>
  <si>
    <t xml:space="preserve">Privatmolkerei Bauer                                                            </t>
  </si>
  <si>
    <t xml:space="preserve">Fromage blanc                                                                                       </t>
  </si>
  <si>
    <t xml:space="preserve">Societe Cooperative Agricole                                                    </t>
  </si>
  <si>
    <t xml:space="preserve">Spécialité laitière                                                                                 </t>
  </si>
  <si>
    <t xml:space="preserve">Elsdorfer Molkerei und                                                          </t>
  </si>
  <si>
    <t xml:space="preserve">Beurre doux                                                                                         </t>
  </si>
  <si>
    <t xml:space="preserve">Frais 1 x S         </t>
  </si>
  <si>
    <t xml:space="preserve">Fléchard Laiterie du Pont                                                       </t>
  </si>
  <si>
    <t xml:space="preserve">Margarine de cuisson 70% mat                                                                        </t>
  </si>
  <si>
    <t xml:space="preserve">VANDEMOORTELE LIPIDS                                                            </t>
  </si>
  <si>
    <t xml:space="preserve">Fromage Blanc assorti                                                                               </t>
  </si>
  <si>
    <t xml:space="preserve">Coopérative Agricole                                                            </t>
  </si>
  <si>
    <t xml:space="preserve">Petit pot de crème chocolat                                                                         </t>
  </si>
  <si>
    <t xml:space="preserve">Crème aux oeufs vanille                                                                             </t>
  </si>
  <si>
    <t xml:space="preserve">Avi-Charente S.A.S.                                                             </t>
  </si>
  <si>
    <t xml:space="preserve">Fromage blanc 0%                                                                                    </t>
  </si>
  <si>
    <t xml:space="preserve">Yaourt aux fruits                                                                                   </t>
  </si>
  <si>
    <t xml:space="preserve">T.M.A. Handelsgesellschaft                                                      </t>
  </si>
  <si>
    <t xml:space="preserve">Petits Fromages frais assortis                                                                      </t>
  </si>
  <si>
    <t xml:space="preserve">Danone  Danette chocolat                                                                            </t>
  </si>
  <si>
    <t xml:space="preserve">Danone Produits Frais France                                                    </t>
  </si>
  <si>
    <t xml:space="preserve">Danone Danette saveur vanille                                                                       </t>
  </si>
  <si>
    <t xml:space="preserve">Beurre aux cristaux de sel Noirm.                                                                   </t>
  </si>
  <si>
    <t xml:space="preserve">Ets Philippe Charrier S.A.S.                                                    </t>
  </si>
  <si>
    <t xml:space="preserve">Yaourt vanille pot verre                                                                            </t>
  </si>
  <si>
    <t xml:space="preserve">L. N. U. F. MDD SNC                                                             </t>
  </si>
  <si>
    <t xml:space="preserve">Beurre 1/2 sel                                                                                      </t>
  </si>
  <si>
    <t xml:space="preserve">Loyez-Woessen S.A.S.                                                            </t>
  </si>
  <si>
    <t xml:space="preserve">Beurre doux extra fin                                                                               </t>
  </si>
  <si>
    <t xml:space="preserve">Camembert                                                                                           </t>
  </si>
  <si>
    <t xml:space="preserve">Frais 2 x S         </t>
  </si>
  <si>
    <t xml:space="preserve">Société d'exploitation                                                          </t>
  </si>
  <si>
    <t xml:space="preserve">Compagnie des                                                                   </t>
  </si>
  <si>
    <t xml:space="preserve">Coulommiers                                                                                         </t>
  </si>
  <si>
    <t xml:space="preserve">Fromageries Lescure S.A.S.                                                      </t>
  </si>
  <si>
    <t xml:space="preserve">Steak 3 from/3 from-jambon                                                                          </t>
  </si>
  <si>
    <t xml:space="preserve">DUC S.A.                                                                        </t>
  </si>
  <si>
    <t xml:space="preserve">Chèvre bûchette                                                                                     </t>
  </si>
  <si>
    <t xml:space="preserve">Carré de l'Est                                                                                      </t>
  </si>
  <si>
    <t xml:space="preserve">Fromage pour tartiflette                                                                            </t>
  </si>
  <si>
    <t xml:space="preserve">FTRECAL S.A.S.                                                                  </t>
  </si>
  <si>
    <t xml:space="preserve">Roquefort                                                                                           </t>
  </si>
  <si>
    <t xml:space="preserve">Les Fromageries Occitanes                                                       </t>
  </si>
  <si>
    <t xml:space="preserve">Blédilait croissance (10M à 3 ans)                                                                  </t>
  </si>
  <si>
    <t xml:space="preserve">Grosse rotation sec </t>
  </si>
  <si>
    <t xml:space="preserve">Blédina S.A.S.                                                                  </t>
  </si>
  <si>
    <t xml:space="preserve">Pâte brisée végétale                                                                                </t>
  </si>
  <si>
    <t xml:space="preserve">Cérélia S.A.S.U.                                                                </t>
  </si>
  <si>
    <t xml:space="preserve">Pâte feuilletée végétale                                                                            </t>
  </si>
  <si>
    <t xml:space="preserve">Coulommiers de caractère                                                                            </t>
  </si>
  <si>
    <t xml:space="preserve">Société Roquefort Cave Saveur                                                                       </t>
  </si>
  <si>
    <t xml:space="preserve">S.C.P.R. Fromages &amp; Terroirs                                                    </t>
  </si>
  <si>
    <t xml:space="preserve">Saint Nectaire AOP                                                                                  </t>
  </si>
  <si>
    <t xml:space="preserve">Societe Nouvelle Laiterie de                                                    </t>
  </si>
  <si>
    <t xml:space="preserve">Morbier au lait cru AOP                                                                             </t>
  </si>
  <si>
    <t xml:space="preserve">Perrin Vermot S.A.                                                              </t>
  </si>
  <si>
    <t xml:space="preserve">Président emmental râpé                                                                             </t>
  </si>
  <si>
    <t xml:space="preserve">Lactalis Fromages SNC                                                           </t>
  </si>
  <si>
    <t xml:space="preserve">Gallia Calisma 1 (de 0 à 6M)                                                                        </t>
  </si>
  <si>
    <t xml:space="preserve">Gallia Calisma 2 (6 à 12 mois)                                                                      </t>
  </si>
  <si>
    <t xml:space="preserve">Mimolette en tranches                                                                               </t>
  </si>
  <si>
    <t xml:space="preserve">A-ware Packaging B.V.                                                           </t>
  </si>
  <si>
    <t xml:space="preserve">Fromage à pâte persillée                                                                            </t>
  </si>
  <si>
    <t xml:space="preserve">Cancoillotte nature / ail assor.                                                                    </t>
  </si>
  <si>
    <t xml:space="preserve">Président camembert 45%                                                                             </t>
  </si>
  <si>
    <t xml:space="preserve">Petit St-Paulin croûte naturelle                                                                    </t>
  </si>
  <si>
    <t xml:space="preserve">Crottins de chèvre 2x60g                                                                            </t>
  </si>
  <si>
    <t xml:space="preserve">Mascarpone                                                                                          </t>
  </si>
  <si>
    <t xml:space="preserve">Fude + Serrahn Milchprodukte                                                    </t>
  </si>
  <si>
    <t xml:space="preserve">Istara Ossau-Iraty tranche                                                                          </t>
  </si>
  <si>
    <t xml:space="preserve">Président Emmental plaquette                                                                        </t>
  </si>
  <si>
    <t xml:space="preserve">Saint Félicien                                                                                      </t>
  </si>
  <si>
    <t xml:space="preserve">Fromagerie Alpine S.A.S.                                                        </t>
  </si>
  <si>
    <t xml:space="preserve">Fromage ovale                                                                                       </t>
  </si>
  <si>
    <t xml:space="preserve">Chèvre frais                                                                                        </t>
  </si>
  <si>
    <t xml:space="preserve">Petit brie                                                                                          </t>
  </si>
  <si>
    <t xml:space="preserve">Fromage pur brebis                                                                                  </t>
  </si>
  <si>
    <t xml:space="preserve">Jambon cru fumé                                                                                     </t>
  </si>
  <si>
    <t xml:space="preserve">H. &amp; E. Reinert                                                                 </t>
  </si>
  <si>
    <t xml:space="preserve">Feuilleté à la viande assortiment                                                                   </t>
  </si>
  <si>
    <t xml:space="preserve">Valentin Traiteur S.A.S.U.                                                      </t>
  </si>
  <si>
    <t xml:space="preserve">Rôti de porc 5 tranches qualité sup                                                                 </t>
  </si>
  <si>
    <t xml:space="preserve">Jambon supérieur avec couenne 4 tr.                                                                 </t>
  </si>
  <si>
    <t xml:space="preserve">Sutter GmbH                                                                     </t>
  </si>
  <si>
    <t xml:space="preserve">Gallia Calisma 3 (à partir de 12M)                                                                  </t>
  </si>
  <si>
    <t xml:space="preserve">Pâté en croûte cocktail aux olives                                                                  </t>
  </si>
  <si>
    <t xml:space="preserve">Roland Monterrat S.A.S.                                                         </t>
  </si>
  <si>
    <t xml:space="preserve">Quiche lorraine/Tarte aux poireaux                                                                  </t>
  </si>
  <si>
    <t xml:space="preserve">Véritables rillettes du Mans VPF                                                                    </t>
  </si>
  <si>
    <t xml:space="preserve">Bahier S.A.S.                                                                   </t>
  </si>
  <si>
    <t xml:space="preserve">Assortiment alsacien                                                                                </t>
  </si>
  <si>
    <t xml:space="preserve">Stoeffler S.A.S.                                                                </t>
  </si>
  <si>
    <t xml:space="preserve">Assiette de charcuterie                                                                             </t>
  </si>
  <si>
    <t xml:space="preserve">Aoste S.N.C.                                                                    </t>
  </si>
  <si>
    <t xml:space="preserve">Lasagnes                                                                                            </t>
  </si>
  <si>
    <t xml:space="preserve">STEFANO TOSELLI SAS                                                             </t>
  </si>
  <si>
    <t xml:space="preserve">Jambon cru serrano                                                                                  </t>
  </si>
  <si>
    <t xml:space="preserve">Bell Deutschland                                                                </t>
  </si>
  <si>
    <t xml:space="preserve">Fricadelles                                                                                         </t>
  </si>
  <si>
    <t xml:space="preserve">Abbelen GmbH                                                                    </t>
  </si>
  <si>
    <t xml:space="preserve">Salade fraîche assortie                                                                             </t>
  </si>
  <si>
    <t xml:space="preserve">Ultra-sensible      </t>
  </si>
  <si>
    <t xml:space="preserve">Snacking Services S.N.C.                                                        </t>
  </si>
  <si>
    <t xml:space="preserve">Roulé au fromage                                                                                    </t>
  </si>
  <si>
    <t xml:space="preserve">Manchons de poulet nature                                                                           </t>
  </si>
  <si>
    <t xml:space="preserve">Arrivé S.A.S.                                                                   </t>
  </si>
  <si>
    <t xml:space="preserve">Manchons de poulet à la mexicaine                                                                   </t>
  </si>
  <si>
    <t xml:space="preserve">Saucisses de Strasbourg x 10                                                                        </t>
  </si>
  <si>
    <t xml:space="preserve">Croque monsieur                                                                                     </t>
  </si>
  <si>
    <t xml:space="preserve">Pâté en croûte cocktail nature                                                                      </t>
  </si>
  <si>
    <t xml:space="preserve">Saumon fumé de Norvège                                                                              </t>
  </si>
  <si>
    <t xml:space="preserve">Laschinger Seafood GmbH                                                         </t>
  </si>
  <si>
    <t xml:space="preserve">Lardons fumés au bois                                                                               </t>
  </si>
  <si>
    <t xml:space="preserve">Aubret S.A.S.U.                                                                 </t>
  </si>
  <si>
    <t xml:space="preserve">Mini Blinis                                                                                         </t>
  </si>
  <si>
    <t xml:space="preserve">Les Délices du Chef S.A.S.U.                                                    </t>
  </si>
  <si>
    <t xml:space="preserve">Tarama aux oeufs de cabillaud                                                                       </t>
  </si>
  <si>
    <t xml:space="preserve">Delabli S.A.S.                                                                  </t>
  </si>
  <si>
    <t xml:space="preserve">Cervelas                                                                                            </t>
  </si>
  <si>
    <t xml:space="preserve">Rosette pur porc en tranches                                                                        </t>
  </si>
  <si>
    <t xml:space="preserve">Caviar d'aubergine / Tomate olive                                                                   </t>
  </si>
  <si>
    <t xml:space="preserve">Etablissements Gilbert                                                          </t>
  </si>
  <si>
    <t xml:space="preserve">Tapenade noire / Tomate basilic                                                                     </t>
  </si>
  <si>
    <t xml:space="preserve">Jambon de la forêt noire                                                                            </t>
  </si>
  <si>
    <t xml:space="preserve">Hans Adler OHG                                                                  </t>
  </si>
  <si>
    <t xml:space="preserve">Salami danois                                                                                       </t>
  </si>
  <si>
    <t xml:space="preserve">Gustoland GmbH                                                                  </t>
  </si>
  <si>
    <t xml:space="preserve">Jambon fumé bois de hêtre kg (588)                                                                  </t>
  </si>
  <si>
    <t xml:space="preserve">Tarte flambée                                                                                       </t>
  </si>
  <si>
    <t xml:space="preserve">Feuilletés premium x2                                                                               </t>
  </si>
  <si>
    <t xml:space="preserve">Bacon                                                                                               </t>
  </si>
  <si>
    <t xml:space="preserve">Kleinemas Fleischwaren                                                          </t>
  </si>
  <si>
    <t xml:space="preserve">Sandwich jamb.-beur./jamb.-emmental                                                                 </t>
  </si>
  <si>
    <t xml:space="preserve">Sandwichs thon-crud./poulet-crud.                                                                   </t>
  </si>
  <si>
    <t xml:space="preserve">Magret de canard fumé prétranché                                                                    </t>
  </si>
  <si>
    <t xml:space="preserve">Delpeyrat S.A.S                                                                 </t>
  </si>
  <si>
    <t xml:space="preserve">Jambon de Bayonne IGP VPF                                                                           </t>
  </si>
  <si>
    <t xml:space="preserve">Ets Michel Dupuy S.A.S.                                                         </t>
  </si>
  <si>
    <t xml:space="preserve">Lait entier UHT brick                                                                               </t>
  </si>
  <si>
    <t xml:space="preserve">Orlait S. A. S.                                                                 </t>
  </si>
  <si>
    <t xml:space="preserve">Lait 1/2 écrémé UHT brick                                                                           </t>
  </si>
  <si>
    <t xml:space="preserve">Lactel                                                                          </t>
  </si>
  <si>
    <t xml:space="preserve">Margarine allégée 60%                                                                               </t>
  </si>
  <si>
    <t xml:space="preserve">Walter Rau                                                                      </t>
  </si>
  <si>
    <t xml:space="preserve">Crème fouettée                                                                                      </t>
  </si>
  <si>
    <t xml:space="preserve">K.T.L.              </t>
  </si>
  <si>
    <t xml:space="preserve">FrieslandCampina Retail                                                         </t>
  </si>
  <si>
    <t xml:space="preserve">Blédidej saveur vanille dès 6M                                                                      </t>
  </si>
  <si>
    <t xml:space="preserve">Blédina ratatouille riz colin 8M                                                                    </t>
  </si>
  <si>
    <t xml:space="preserve">Lait écrémé UHT brick                                                                               </t>
  </si>
  <si>
    <t xml:space="preserve">Blédina Tomates, riz et poulet                                                                      </t>
  </si>
  <si>
    <t xml:space="preserve">Blédina Mon 1er pots carottes 4mois                                                                 </t>
  </si>
  <si>
    <t xml:space="preserve">Blédina Mon 1er Pot PDT/poireau                                                                     </t>
  </si>
  <si>
    <t xml:space="preserve">Blédina Blédiner duo de légumes                                                                     </t>
  </si>
  <si>
    <t xml:space="preserve">Blédina Tomates boulg./saumon                                                                       </t>
  </si>
  <si>
    <t xml:space="preserve">Blédina Carottes riz jambon dès 8M                                                                  </t>
  </si>
  <si>
    <t xml:space="preserve">Pâte feuilletée roulée pur beurre                                                                   </t>
  </si>
  <si>
    <t xml:space="preserve">Pâte brisée roulée pur beurre                                                                       </t>
  </si>
  <si>
    <t xml:space="preserve">Salade base pâte assortie                                                                           </t>
  </si>
  <si>
    <t xml:space="preserve">Sand. polaire jam.-cheddar/bacon                                                                    </t>
  </si>
  <si>
    <t xml:space="preserve">Blédichef courgettes macaronis 12M                                                                  </t>
  </si>
  <si>
    <t xml:space="preserve">Blédina Risotto petits pois carotte                                                                 </t>
  </si>
  <si>
    <t xml:space="preserve">Blédichef Légumes riz poulet                                                                        </t>
  </si>
  <si>
    <t xml:space="preserve">Blédina coupelles pommes biscuit                                                                    </t>
  </si>
  <si>
    <t xml:space="preserve">Blédina Gourde poire banane abricot                                                                 </t>
  </si>
  <si>
    <t xml:space="preserve">Blédina banane pomme mangue                                                                         </t>
  </si>
  <si>
    <t xml:space="preserve">Blédina banane pomme myrtille 10M                                                                   </t>
  </si>
  <si>
    <t xml:space="preserve">Fromage blanc fondu                                                                                 </t>
  </si>
  <si>
    <t xml:space="preserve">Fromage fondu 24 portions                                                                           </t>
  </si>
  <si>
    <t xml:space="preserve">Knorr Minestrone huile d'olive                                                                      </t>
  </si>
  <si>
    <t xml:space="preserve">Unilever France S.A.S.                                                          </t>
  </si>
  <si>
    <t xml:space="preserve">Lait 1/2 écrémé UHT bouteille                                                                       </t>
  </si>
  <si>
    <t xml:space="preserve">Président Comté                                                                                     </t>
  </si>
  <si>
    <t xml:space="preserve">Belin Monaco                                                                                        </t>
  </si>
  <si>
    <t xml:space="preserve">Mondelez France S.A.S.                                                          </t>
  </si>
  <si>
    <t xml:space="preserve">Boisson chaude to go 1 euro                                                                         </t>
  </si>
  <si>
    <t xml:space="preserve">DUMMY ACHATS                                                                    </t>
  </si>
  <si>
    <t xml:space="preserve">Saucisse sèche courbe pur porc                                                                      </t>
  </si>
  <si>
    <t xml:space="preserve">France Salaisons S.A.S.                                                         </t>
  </si>
  <si>
    <t xml:space="preserve">Saucisse sèche droite pur porc                                                                      </t>
  </si>
  <si>
    <t xml:space="preserve">Rillettes crabe/saumon/thon                                                                         </t>
  </si>
  <si>
    <t xml:space="preserve">Cité Marine S.A.S.                                                              </t>
  </si>
  <si>
    <t xml:space="preserve">Blanc de poulet                                                                                     </t>
  </si>
  <si>
    <t xml:space="preserve">Chorizo collier assortis BA                                                                         </t>
  </si>
  <si>
    <t xml:space="preserve">Mousse foie de porc et pointe crème                                                                 </t>
  </si>
  <si>
    <t xml:space="preserve">Compagnie Madrange S.A.S.                                                       </t>
  </si>
  <si>
    <t xml:space="preserve">Terrine de campagne dorée au four                                                                   </t>
  </si>
  <si>
    <t xml:space="preserve">Mousse de canard au Porto                                                                           </t>
  </si>
  <si>
    <t xml:space="preserve">Jambon sup. découenné dégraissé                                                                     </t>
  </si>
  <si>
    <t xml:space="preserve">Poitrine fumée en salaison                                                                          </t>
  </si>
  <si>
    <t xml:space="preserve">Poitrine fumée en tranches                                                                          </t>
  </si>
  <si>
    <t xml:space="preserve">Schwarz Cranz GmbH &amp; Co. KG                                                     </t>
  </si>
  <si>
    <t xml:space="preserve">St Môret nature / allégé                                                                            </t>
  </si>
  <si>
    <t xml:space="preserve">LES FROMAGERS ASSOCIES SASU                                                     </t>
  </si>
  <si>
    <t xml:space="preserve">St Môret portions                                                                                   </t>
  </si>
  <si>
    <t xml:space="preserve">3 boudins noirs aux oignons VPF                                                                     </t>
  </si>
  <si>
    <t xml:space="preserve">Véritables Andouillettes de Troyes                                                                  </t>
  </si>
  <si>
    <t xml:space="preserve">AT France S.A.                                                                  </t>
  </si>
  <si>
    <t xml:space="preserve">Chorizo en tranches                                                                                 </t>
  </si>
  <si>
    <t xml:space="preserve">Campofrío Food Group, S.A.                                                      </t>
  </si>
  <si>
    <t xml:space="preserve">Salade de carottes                                                                                  </t>
  </si>
  <si>
    <t xml:space="preserve">Taboulé oriental                                                                                    </t>
  </si>
  <si>
    <t xml:space="preserve">Foie gras de canard entier                                                                          </t>
  </si>
  <si>
    <t xml:space="preserve">Saucisse de Francfort 2x200 g                                                                       </t>
  </si>
  <si>
    <t xml:space="preserve">Salade piémontaise au jambon                                                                        </t>
  </si>
  <si>
    <t xml:space="preserve">Saucisses fumées                                                                                    </t>
  </si>
  <si>
    <t xml:space="preserve">Dés de jambon choix 200g                                                                            </t>
  </si>
  <si>
    <t xml:space="preserve">Bâtonnets de surimi saveur crabe                                                                    </t>
  </si>
  <si>
    <t xml:space="preserve">Salade de museau de porc lyonnais                                                                   </t>
  </si>
  <si>
    <t xml:space="preserve">Croissant jambon / fromage                                                                          </t>
  </si>
  <si>
    <t xml:space="preserve">Saucisson sec pur porc Lbl Rge VPF                                                                  </t>
  </si>
  <si>
    <t xml:space="preserve">Salaisons du Maconnais                                                          </t>
  </si>
  <si>
    <t xml:space="preserve">Saucisson sec                                                                                       </t>
  </si>
  <si>
    <t xml:space="preserve">Mini saucissons secs pur porc ass.                                                                  </t>
  </si>
  <si>
    <t xml:space="preserve">Saucisson sec pur porc aux noix                                                                     </t>
  </si>
  <si>
    <t xml:space="preserve">Nems porc/crev. &amp; crabe/poulet                                                                      </t>
  </si>
  <si>
    <t xml:space="preserve">SOCIETE DES ETS BOUGRO                                                          </t>
  </si>
  <si>
    <t xml:space="preserve">Pizza Margherita 3X300g                                                                             </t>
  </si>
  <si>
    <t xml:space="preserve">Surgelé 1x          </t>
  </si>
  <si>
    <t xml:space="preserve">XVB STEF LOG MIDI PYRENEES                                                      </t>
  </si>
  <si>
    <t xml:space="preserve">Ospelt food GmbH                                                                </t>
  </si>
  <si>
    <t xml:space="preserve">Taxe Interfel 20%                                                                                   </t>
  </si>
  <si>
    <t xml:space="preserve">Mourgues Fruits S.A.                                                            </t>
  </si>
  <si>
    <t xml:space="preserve">Union Primeurs S.A.S.                                                           </t>
  </si>
  <si>
    <t xml:space="preserve">Sofruce S.A.S.                                                                  </t>
  </si>
  <si>
    <t xml:space="preserve">Se.Ma.Bro S.A.R.L.                                                              </t>
  </si>
  <si>
    <t xml:space="preserve">SMB-FL S.A.SU.                                                                  </t>
  </si>
  <si>
    <t xml:space="preserve">SANTERLEG S.A.S                                                                 </t>
  </si>
  <si>
    <t xml:space="preserve">Rougeline S.A.S.                                                                </t>
  </si>
  <si>
    <t xml:space="preserve">Prymex S.A.S                                                                    </t>
  </si>
  <si>
    <t xml:space="preserve">OCEANE S.C.A.                                                                   </t>
  </si>
  <si>
    <t xml:space="preserve">Nosibé S.A.S                                                                    </t>
  </si>
  <si>
    <t xml:space="preserve">B.R.M. Production agricole                                                      </t>
  </si>
  <si>
    <t xml:space="preserve">Metral Fruits S.A.S.                                                            </t>
  </si>
  <si>
    <t xml:space="preserve">Maraîchers d'Alsace S.A.R.L.                                                    </t>
  </si>
  <si>
    <t xml:space="preserve">Marais Nantes S.A.S.                                                            </t>
  </si>
  <si>
    <t xml:space="preserve">Lombard Silvestre S.A.S.                                                        </t>
  </si>
  <si>
    <t xml:space="preserve">Les 3 Moulins Vitaprim                                                          </t>
  </si>
  <si>
    <t xml:space="preserve">Lamprien Provence S.A.R.L.                                                      </t>
  </si>
  <si>
    <t xml:space="preserve">JSO S.A.R.L.                                                                    </t>
  </si>
  <si>
    <t xml:space="preserve">JMO PRIM SARL                                                                   </t>
  </si>
  <si>
    <t xml:space="preserve">Ferrier S.A.S.                                                                  </t>
  </si>
  <si>
    <t xml:space="preserve">Cooperative Crimart S.C.A.                                                      </t>
  </si>
  <si>
    <t xml:space="preserve">Comexa S.A.S.                                                                   </t>
  </si>
  <si>
    <t xml:space="preserve">Escargots x 12                                                                                      </t>
  </si>
  <si>
    <t xml:space="preserve">Escal SA                                                                        </t>
  </si>
  <si>
    <t xml:space="preserve">Frites                                                                                              </t>
  </si>
  <si>
    <t xml:space="preserve">CL Warneton S.A.                                                                </t>
  </si>
  <si>
    <t xml:space="preserve">Filets de saumon nature                                                                             </t>
  </si>
  <si>
    <t xml:space="preserve">TIKO                </t>
  </si>
  <si>
    <t xml:space="preserve">Cheeseburgers 6 x 130 g                                                                             </t>
  </si>
  <si>
    <t xml:space="preserve">Socopa Viandes S.A.S.                                                           </t>
  </si>
  <si>
    <t xml:space="preserve">Classic vanille/amande                                                                              </t>
  </si>
  <si>
    <t xml:space="preserve">Groupées Surgelé    </t>
  </si>
  <si>
    <t xml:space="preserve">Lidl Stiftung &amp; Co. KG                                                          </t>
  </si>
  <si>
    <t xml:space="preserve">Bon Gelati GmbH &amp; Co. KG                                                        </t>
  </si>
  <si>
    <t xml:space="preserve">Coca-Cola Regular canettes 16+2                                                                     </t>
  </si>
  <si>
    <t xml:space="preserve">Coca-Cola European Partners                                                     </t>
  </si>
  <si>
    <t xml:space="preserve">Eau minérale naturellement gazeuse                                                                  </t>
  </si>
  <si>
    <t xml:space="preserve">Poêlée périgourdine                                                                                 </t>
  </si>
  <si>
    <t xml:space="preserve">Frial S.A.S.                                                                    </t>
  </si>
  <si>
    <t xml:space="preserve">Batônnets poissons panés 15x30g MSC                                                                 </t>
  </si>
  <si>
    <t xml:space="preserve">Greenland Seafood                                                               </t>
  </si>
  <si>
    <t xml:space="preserve">MSC Filets de saumon nat. Sauvage                                                                   </t>
  </si>
  <si>
    <t xml:space="preserve">Royal Greenland                                                                 </t>
  </si>
  <si>
    <t xml:space="preserve">Faux filet sous vide V.B.F.                                                                         </t>
  </si>
  <si>
    <t xml:space="preserve">Viande Volaille     </t>
  </si>
  <si>
    <t xml:space="preserve">Elivia S.A.S.                                                                   </t>
  </si>
  <si>
    <t xml:space="preserve">Steak de porc                                                                                       </t>
  </si>
  <si>
    <t xml:space="preserve">Steak haché V.B.F. x 4                                                                              </t>
  </si>
  <si>
    <t xml:space="preserve">GROUPE BIGARD S.A.                                                              </t>
  </si>
  <si>
    <t xml:space="preserve">Poulet PAC jaune                                                                                    </t>
  </si>
  <si>
    <t xml:space="preserve">SNV S.A.S.                                                                      </t>
  </si>
  <si>
    <t xml:space="preserve">Saucisses de Toulouse                                                                               </t>
  </si>
  <si>
    <t xml:space="preserve">Merguez Véritables                                                                                  </t>
  </si>
  <si>
    <t xml:space="preserve">Escalope de dinde                                                                                   </t>
  </si>
  <si>
    <t xml:space="preserve">Société Bretonne de Volaille                                                    </t>
  </si>
  <si>
    <t xml:space="preserve">Chipolatas supérieur V.P.F.                                                                         </t>
  </si>
  <si>
    <t xml:space="preserve">Fines escalopes de poulet                                                                           </t>
  </si>
  <si>
    <t xml:space="preserve">Landgeflügel FG                                                                 </t>
  </si>
  <si>
    <t xml:space="preserve">Filet mignon de porc (977)                                                                          </t>
  </si>
  <si>
    <t xml:space="preserve">Westfalenland                                                                   </t>
  </si>
  <si>
    <t xml:space="preserve">Escalope de porc                                                                                    </t>
  </si>
  <si>
    <t xml:space="preserve">Poulet ferm. jaune Lab. Rouge (967)                                                                 </t>
  </si>
  <si>
    <t xml:space="preserve">Filet de poulet jaune                                                                               </t>
  </si>
  <si>
    <t xml:space="preserve">Galliance Volaille Fraîche                                                      </t>
  </si>
  <si>
    <t xml:space="preserve">Poulet rôti en sachet micro ondable                                                                 </t>
  </si>
  <si>
    <t xml:space="preserve">Ronsard S.A.S.                                                                  </t>
  </si>
  <si>
    <t xml:space="preserve">Côtes de porc échine                                                                                </t>
  </si>
  <si>
    <t xml:space="preserve">Côtes de porc premières                                                                             </t>
  </si>
  <si>
    <t xml:space="preserve">Paupiettes de porc                                                                                  </t>
  </si>
  <si>
    <t xml:space="preserve">Gésiers/Foies de volaille confits                                                                   </t>
  </si>
  <si>
    <t xml:space="preserve">Entrecôte sous vide V.B.F.                                                                          </t>
  </si>
  <si>
    <t xml:space="preserve">Rôti de porc filet (2096)                                                                           </t>
  </si>
  <si>
    <t xml:space="preserve">Boeuf bourguignon VBF                                                                               </t>
  </si>
  <si>
    <t xml:space="preserve">Bavette d'Aloyau sous vide                                                                          </t>
  </si>
  <si>
    <t xml:space="preserve">Sucre morceaux n°4                                                                                  </t>
  </si>
  <si>
    <t xml:space="preserve">Südzucker AG                                                                    </t>
  </si>
  <si>
    <t xml:space="preserve">Escalopes de veau                                                                                   </t>
  </si>
  <si>
    <t xml:space="preserve">Sobeval S.A.S.                                                                  </t>
  </si>
  <si>
    <t xml:space="preserve">Cuisse de canard x1                                                                                 </t>
  </si>
  <si>
    <t xml:space="preserve">Feuillantine Comtoise                                                                               </t>
  </si>
  <si>
    <t xml:space="preserve">Elle&amp;Vire Beurre Tendre doux                                                                        </t>
  </si>
  <si>
    <t xml:space="preserve">Elvir S.A.S.                                                                    </t>
  </si>
  <si>
    <t xml:space="preserve">Elle&amp;Vire Beurre Gourmand doux                                                                      </t>
  </si>
  <si>
    <t xml:space="preserve">Le tendre sav. 10 hachés boeuf 15%                                                                  </t>
  </si>
  <si>
    <t xml:space="preserve">Xtra liquide 60 lavages Marseille                                                                   </t>
  </si>
  <si>
    <t xml:space="preserve">Henkel France S.A.S.                                                            </t>
  </si>
  <si>
    <t xml:space="preserve">Jarret 1/2 sel (31840)                                                                              </t>
  </si>
  <si>
    <t xml:space="preserve">Manchons de poulet barbecue                                                                         </t>
  </si>
  <si>
    <t xml:space="preserve">1/4 Jambon sec supérieur tranché                                                                    </t>
  </si>
  <si>
    <t xml:space="preserve">San Marco café pur Arabica 2x 250 g                                                                 </t>
  </si>
  <si>
    <t xml:space="preserve">Segafredo Zanetti France                                                        </t>
  </si>
  <si>
    <t xml:space="preserve">Pavés de boeuf x2 sous vide V.B.F.                                                                  </t>
  </si>
  <si>
    <t xml:space="preserve">Vin de France rouge                                                                                 </t>
  </si>
  <si>
    <t xml:space="preserve">Vin                 </t>
  </si>
  <si>
    <t xml:space="preserve">TRILLES SA                                                                      </t>
  </si>
  <si>
    <t xml:space="preserve">Huile de tournesol                                                                                  </t>
  </si>
  <si>
    <t xml:space="preserve">SOVENA ESPANA S.A.U.                                                            </t>
  </si>
  <si>
    <t xml:space="preserve">Huile de colza                                                                                      </t>
  </si>
  <si>
    <t xml:space="preserve">Cargill Oil Packers bvba                                                        </t>
  </si>
  <si>
    <t xml:space="preserve">Tzatziki                                                                                            </t>
  </si>
  <si>
    <t xml:space="preserve">Bridelice Crème lég. s-épaisse                                                                      </t>
  </si>
  <si>
    <t xml:space="preserve">Lactalis Beurres &amp; Crèmes                                                       </t>
  </si>
  <si>
    <t xml:space="preserve">LU Granola pocket chocolat au lait                                                                  </t>
  </si>
  <si>
    <t xml:space="preserve">Cordons bleus de poulet                                                                             </t>
  </si>
  <si>
    <t xml:space="preserve">Galettes garnies assorties                                                                          </t>
  </si>
  <si>
    <t xml:space="preserve">Regalette S.A.S.                                                                </t>
  </si>
  <si>
    <t xml:space="preserve">Rillettes de poulet                                                                                 </t>
  </si>
  <si>
    <t xml:space="preserve">Jambon choix de Paris déc. dég. VPF                                                                 </t>
  </si>
  <si>
    <t xml:space="preserve">Cervelas à l`alsacienne                                                                             </t>
  </si>
  <si>
    <t xml:space="preserve">DEFIAL NORMIVAL SAS                                                             </t>
  </si>
  <si>
    <t xml:space="preserve">Tripes à la mode de Caen                                                                            </t>
  </si>
  <si>
    <t xml:space="preserve">Saucisse Montbéliard cuite fuméeVPF                                                                 </t>
  </si>
  <si>
    <t xml:space="preserve">Jean Louis Amiotte S.A.S.                                                       </t>
  </si>
  <si>
    <t xml:space="preserve">Tarte St Jacques/chèvre épin/saumon                                                                 </t>
  </si>
  <si>
    <t xml:space="preserve">F.M. Jambon braisé 4T                                                                               </t>
  </si>
  <si>
    <t xml:space="preserve">Fleury Michon LS S.A.S                                                          </t>
  </si>
  <si>
    <t xml:space="preserve">Pâtes cuisinées micro-ondables                                                                      </t>
  </si>
  <si>
    <t xml:space="preserve">Mix'Buffet S.A.S.U.                                                             </t>
  </si>
  <si>
    <t xml:space="preserve">AGIS S.A.S.                                                                     </t>
  </si>
  <si>
    <t xml:space="preserve">Danone Danette caramel                                                                              </t>
  </si>
  <si>
    <t xml:space="preserve">Saucisson sec 48 tranches                                                                           </t>
  </si>
  <si>
    <t xml:space="preserve">Burgers à l'oignon V.B.F. 15% MG                                                                    </t>
  </si>
  <si>
    <t xml:space="preserve">Mayonnaise Mout. Dijon / all                                                                        </t>
  </si>
  <si>
    <t xml:space="preserve">Pauwels Sauces N.V.                                                             </t>
  </si>
  <si>
    <t xml:space="preserve">Pesto                                                                                               </t>
  </si>
  <si>
    <t xml:space="preserve">Notheger            </t>
  </si>
  <si>
    <t xml:space="preserve">Fratelli Polli S.p.A.                                                           </t>
  </si>
  <si>
    <t xml:space="preserve">Câpres surfines PNE 60g                                                                             </t>
  </si>
  <si>
    <t xml:space="preserve">Stiftung            </t>
  </si>
  <si>
    <t xml:space="preserve">Mayonnaise Dijon allégée/standard                                                                   </t>
  </si>
  <si>
    <t xml:space="preserve">HOMANN Feinkost GmbH                                                            </t>
  </si>
  <si>
    <t xml:space="preserve">Vinaigrette nature allégée                                                                          </t>
  </si>
  <si>
    <t xml:space="preserve">Covinor S.A.S.                                                                  </t>
  </si>
  <si>
    <t xml:space="preserve">Purée de tomates                                                                                    </t>
  </si>
  <si>
    <t xml:space="preserve">Sauce crudités ass.                                                                                 </t>
  </si>
  <si>
    <t xml:space="preserve">Le Petit Marseillais gel douche                                                                     </t>
  </si>
  <si>
    <t xml:space="preserve">Johnson&amp;Johnson                                                                 </t>
  </si>
  <si>
    <t xml:space="preserve">Olives aux anchois PNE 170g                                                                         </t>
  </si>
  <si>
    <t xml:space="preserve">Rademarer           </t>
  </si>
  <si>
    <t xml:space="preserve">Aceitunas Cazorla, S.L.                                                         </t>
  </si>
  <si>
    <t xml:space="preserve">Olives farcies au poivron PNE 150g                                                                  </t>
  </si>
  <si>
    <t xml:space="preserve">Sauce tomate viande 420g                                                                            </t>
  </si>
  <si>
    <t xml:space="preserve">La Doria S.p.A.                                                                 </t>
  </si>
  <si>
    <t xml:space="preserve">Sauce tomate cuisinée 420g                                                                          </t>
  </si>
  <si>
    <t xml:space="preserve">Olives vertes dénoyautées                                                                           </t>
  </si>
  <si>
    <t xml:space="preserve">Aceitunas Guadalquivir, S.L.                                                    </t>
  </si>
  <si>
    <t xml:space="preserve">Olives noires entières                                                                              </t>
  </si>
  <si>
    <t xml:space="preserve">Double concentré tomates                                                                            </t>
  </si>
  <si>
    <t xml:space="preserve">Sauce tomate au basilic 420g                                                                        </t>
  </si>
  <si>
    <t xml:space="preserve">Ducros La muscade moulue                                                                            </t>
  </si>
  <si>
    <t xml:space="preserve">Ducros Moulin mélange 5 baies                                                                       </t>
  </si>
  <si>
    <t xml:space="preserve">Elnett laque spray fixation normale                                                                 </t>
  </si>
  <si>
    <t xml:space="preserve">L'OREAL SA                                                                      </t>
  </si>
  <si>
    <t xml:space="preserve">Brut Déodorant                                                                                      </t>
  </si>
  <si>
    <t xml:space="preserve">Don solidaire                                                                                       </t>
  </si>
  <si>
    <t xml:space="preserve">Pâtes torsadees aux oeufs 500G                                                                      </t>
  </si>
  <si>
    <t xml:space="preserve">Pasta Zara S.p.A.                                                               </t>
  </si>
  <si>
    <t xml:space="preserve">Spaghetti 500g (Box 3394)                                                                           </t>
  </si>
  <si>
    <t xml:space="preserve">Macaroni 500g (Box 3393)                                                                            </t>
  </si>
  <si>
    <t xml:space="preserve">Coquillettes                                                                                        </t>
  </si>
  <si>
    <t xml:space="preserve">Fusilli 500g (Box 3392)                                                                             </t>
  </si>
  <si>
    <t xml:space="preserve">Couscous moyen 1kg                                                                                  </t>
  </si>
  <si>
    <t xml:space="preserve">LU Petit écolier Pocket lait                                                                        </t>
  </si>
  <si>
    <t xml:space="preserve">Panzani Torti                                                                                       </t>
  </si>
  <si>
    <t xml:space="preserve">Panzani S.A.S (Pates)                                                           </t>
  </si>
  <si>
    <t xml:space="preserve">Purée p.d.t. 4x125g                                                                                 </t>
  </si>
  <si>
    <t xml:space="preserve">Riz étuvé cuisson rapide                                                                            </t>
  </si>
  <si>
    <t xml:space="preserve">CURTI S.R.L.                                                                    </t>
  </si>
  <si>
    <t xml:space="preserve">Panzani Spaghetti                                                                                   </t>
  </si>
  <si>
    <t xml:space="preserve">Panzani Coquillettes                                                                                </t>
  </si>
  <si>
    <t xml:space="preserve">Lustucru riz 10 min long grain                                                                      </t>
  </si>
  <si>
    <t xml:space="preserve">Taureau Ailé Riz Basmati x2                                                                         </t>
  </si>
  <si>
    <t xml:space="preserve">Riz Jasmin                                                                                          </t>
  </si>
  <si>
    <t xml:space="preserve">Thon albacore 400 g PNE:280g                                                                        </t>
  </si>
  <si>
    <t xml:space="preserve">Frinsa del Noroeste, S. A.                                                      </t>
  </si>
  <si>
    <t xml:space="preserve">Thon à la catalane/mayo. 135g                                                                       </t>
  </si>
  <si>
    <t xml:space="preserve">Etablissements                                                                  </t>
  </si>
  <si>
    <t xml:space="preserve">Rillettes de thon/saumon                                                                            </t>
  </si>
  <si>
    <t xml:space="preserve">Thon albacore au naturel PNE:140g                                                                   </t>
  </si>
  <si>
    <t xml:space="preserve">Filets anchois huile d'olive PNE60g                                                                 </t>
  </si>
  <si>
    <t xml:space="preserve">Consorcio Español                                                               </t>
  </si>
  <si>
    <t xml:space="preserve">Poulet cuit fumé (970)                                                                              </t>
  </si>
  <si>
    <t xml:space="preserve">Sardines tomates peau arêtes PNE90g                                                                 </t>
  </si>
  <si>
    <t xml:space="preserve">Miettes thon tomate 160g                                                                            </t>
  </si>
  <si>
    <t xml:space="preserve">FM Allumettes lardons +20% grt-5088                                                                 </t>
  </si>
  <si>
    <t xml:space="preserve">Saucisses lentilles                                                                                 </t>
  </si>
  <si>
    <t xml:space="preserve">William Saurin                                                                  </t>
  </si>
  <si>
    <t xml:space="preserve">Cassoulet                                                                                           </t>
  </si>
  <si>
    <t xml:space="preserve">Pâtés en verrine assortis                                                                           </t>
  </si>
  <si>
    <t xml:space="preserve">Brunet S.A.                                                                     </t>
  </si>
  <si>
    <t xml:space="preserve">Barquettes                                                                                          </t>
  </si>
  <si>
    <t xml:space="preserve">COVI S.A.S.                                                                     </t>
  </si>
  <si>
    <t xml:space="preserve">Bloc de foie gras de canard                                                                         </t>
  </si>
  <si>
    <t xml:space="preserve">Sauté de veau / Poule au riz                                                                        </t>
  </si>
  <si>
    <t xml:space="preserve">Knorr Mouliné légumes du potager                                                                    </t>
  </si>
  <si>
    <t xml:space="preserve">Paëlla volaille fruits mer chorizo                                                                  </t>
  </si>
  <si>
    <t xml:space="preserve">Barq. Micro-ond. Lasagne/Chili                                                                      </t>
  </si>
  <si>
    <t xml:space="preserve">Café tradition 4 x 250 g                                                                            </t>
  </si>
  <si>
    <t xml:space="preserve">Legal S.A.S.                                                                    </t>
  </si>
  <si>
    <t xml:space="preserve">Pastis de Marseille 45% Vol.                                                                        </t>
  </si>
  <si>
    <t xml:space="preserve">Suprex S.A.S.                                                                   </t>
  </si>
  <si>
    <t xml:space="preserve">Véritable jambon persillé Bourgogne                                                                 </t>
  </si>
  <si>
    <t xml:space="preserve">Les Salaisons Dijonnaises                                                       </t>
  </si>
  <si>
    <t xml:space="preserve">Kinder Pingui chocolat T6                                                                           </t>
  </si>
  <si>
    <t xml:space="preserve">Ferrero France Commercial                                                       </t>
  </si>
  <si>
    <t xml:space="preserve">Confit de canard 4 cuisses                                                                          </t>
  </si>
  <si>
    <t xml:space="preserve">Ravioli bolognaise                                                                                  </t>
  </si>
  <si>
    <t xml:space="preserve">Ravioli pur boeuf                                                                                   </t>
  </si>
  <si>
    <t xml:space="preserve">Knorr fond de veau                                                                                  </t>
  </si>
  <si>
    <t xml:space="preserve">Knorr bouillons boeuf / pot x12                                                                     </t>
  </si>
  <si>
    <t xml:space="preserve">Knorr bouillons poule x12                                                                           </t>
  </si>
  <si>
    <t xml:space="preserve">Vinaigre de vin 7° fût de chêne                                                                     </t>
  </si>
  <si>
    <t xml:space="preserve">Asperges pelées g. 660g PNE 395g                                                                    </t>
  </si>
  <si>
    <t xml:space="preserve">Ratatouille PNE 750g                                                                                </t>
  </si>
  <si>
    <t xml:space="preserve">Compagnie Generale                                                              </t>
  </si>
  <si>
    <t xml:space="preserve">Macédoine légumes, PNE: 530g                                                                        </t>
  </si>
  <si>
    <t xml:space="preserve">Greenyard Prepared Belgium                                                      </t>
  </si>
  <si>
    <t xml:space="preserve">COROOS Conserven B.V.                                                           </t>
  </si>
  <si>
    <t xml:space="preserve">BFP GmbH                                                                        </t>
  </si>
  <si>
    <t xml:space="preserve">Petits pois e.f. 800g, PNE: 560g                                                                    </t>
  </si>
  <si>
    <t xml:space="preserve">Champignons 1. choix entie.PNE 230g                                                                 </t>
  </si>
  <si>
    <t xml:space="preserve">Champi. pieds morc. PNE: 230g                                                                       </t>
  </si>
  <si>
    <t xml:space="preserve">Haricots verts TF PNE: 440g                                                                         </t>
  </si>
  <si>
    <t xml:space="preserve">Betteraves rouges épluchées                                                                         </t>
  </si>
  <si>
    <t xml:space="preserve">Lunor Distribution S.A.                                                         </t>
  </si>
  <si>
    <t xml:space="preserve">Maïs extra doux 300g, PNE: 285g                                                                     </t>
  </si>
  <si>
    <t xml:space="preserve">Tomates pelées en morceaux PNE 240g                                                                 </t>
  </si>
  <si>
    <t xml:space="preserve">M&amp;M's Peanuts                                                                                       </t>
  </si>
  <si>
    <t xml:space="preserve">Mars Chocolat France                                                            </t>
  </si>
  <si>
    <t xml:space="preserve">Pommes de terre entières sous vide                                                                  </t>
  </si>
  <si>
    <t xml:space="preserve">Uncle Ben's riz express                                                                             </t>
  </si>
  <si>
    <t xml:space="preserve">Oeufs bio calibre gros x6                                                                           </t>
  </si>
  <si>
    <t xml:space="preserve">CDPO S.A.S.U.                                                                   </t>
  </si>
  <si>
    <t xml:space="preserve">Petits pois/carottes 800g, PNE:530g                                                                 </t>
  </si>
  <si>
    <t xml:space="preserve">Salades coffrets assorties +dessert                                                                 </t>
  </si>
  <si>
    <t xml:space="preserve">Flageolets verts ef 800g PNE 530g                                                                   </t>
  </si>
  <si>
    <t xml:space="preserve">Haricots verts ef 800g PNE440g                                                                      </t>
  </si>
  <si>
    <t xml:space="preserve">Poivrons gril. pelés 650g PNE 400g                                                                  </t>
  </si>
  <si>
    <t xml:space="preserve">Pois chiches bocal 540ml PNE400g                                                                    </t>
  </si>
  <si>
    <t xml:space="preserve">CISTER - INDÚSTRIA DE                                                           </t>
  </si>
  <si>
    <t xml:space="preserve">Haricots blancs bo. 540ml PNE:400g                                                                  </t>
  </si>
  <si>
    <t xml:space="preserve">Asperges moyennes PNE 205g                                                                          </t>
  </si>
  <si>
    <t xml:space="preserve">Vanish Oxi Action Crystal Blanc                                                                     </t>
  </si>
  <si>
    <t xml:space="preserve">Reckitt Benckiser France                                                        </t>
  </si>
  <si>
    <t xml:space="preserve">Velouté de poireaux pommes de terre                                                                 </t>
  </si>
  <si>
    <t xml:space="preserve">Soup'idéale S.A.                                                                </t>
  </si>
  <si>
    <t xml:space="preserve">Compote pommes allégée 710g                                                                         </t>
  </si>
  <si>
    <t xml:space="preserve">DAWTONA Sp. z o.o.                                                              </t>
  </si>
  <si>
    <t xml:space="preserve">Monster Original                                                                                    </t>
  </si>
  <si>
    <t xml:space="preserve">Cerises dénoyautées PNE: 350 g                                                                      </t>
  </si>
  <si>
    <t xml:space="preserve">Kley. Algolsheim PS </t>
  </si>
  <si>
    <t xml:space="preserve">Compote de pomme                                                                                    </t>
  </si>
  <si>
    <t xml:space="preserve">ANDROS S.N.C.                                                                   </t>
  </si>
  <si>
    <t xml:space="preserve">Compote pomme-ban/pom.fraise                                                                        </t>
  </si>
  <si>
    <t xml:space="preserve">Wraps assortis                                                                                      </t>
  </si>
  <si>
    <t xml:space="preserve">Petit beurre + chocolat 125 g                                                                       </t>
  </si>
  <si>
    <t xml:space="preserve">Bisquiva GmbH &amp; Co. KG                                                          </t>
  </si>
  <si>
    <t xml:space="preserve">Bahlsen Pick up sort.  x 4                                                                          </t>
  </si>
  <si>
    <t xml:space="preserve">Bahlsen GmbH &amp; Co. KG                                                           </t>
  </si>
  <si>
    <t xml:space="preserve">Gaufrettes croustil.assorties                                                                       </t>
  </si>
  <si>
    <t xml:space="preserve">Josef Manner &amp; Comp.                                                            </t>
  </si>
  <si>
    <t xml:space="preserve">Boudoirs                                                                                            </t>
  </si>
  <si>
    <t xml:space="preserve">Biscuits Bouvard SAS                                                            </t>
  </si>
  <si>
    <t xml:space="preserve">Palets au beurre                                                                                    </t>
  </si>
  <si>
    <t xml:space="preserve">BISCUITS PANIER S. A. S.                                                        </t>
  </si>
  <si>
    <t xml:space="preserve">Galettes au beurre                                                                                  </t>
  </si>
  <si>
    <t xml:space="preserve">Mini gâches                                                                                         </t>
  </si>
  <si>
    <t xml:space="preserve">La Boulangère &amp; Co                                                              </t>
  </si>
  <si>
    <t xml:space="preserve">Petit beurre choc pocket 10x25g                                                                     </t>
  </si>
  <si>
    <t xml:space="preserve">Griesson - de Beukelaer                                                         </t>
  </si>
  <si>
    <t xml:space="preserve">Quatre-quarts                                                                                       </t>
  </si>
  <si>
    <t xml:space="preserve">St Michel Biscuits S.A.S.                                                       </t>
  </si>
  <si>
    <t xml:space="preserve">Barre marbrée                                                                                       </t>
  </si>
  <si>
    <t xml:space="preserve">Pâtisseries Gourmandes S.A.                                                     </t>
  </si>
  <si>
    <t xml:space="preserve">Speculoos                                                                                           </t>
  </si>
  <si>
    <t xml:space="preserve">Biscuiterie Willems BVBA                                                        </t>
  </si>
  <si>
    <t xml:space="preserve">Barquette choco-noisette                                                                            </t>
  </si>
  <si>
    <t xml:space="preserve">Barquette fraise                                                                                    </t>
  </si>
  <si>
    <t xml:space="preserve">Fourrés double choco                                                                                </t>
  </si>
  <si>
    <t xml:space="preserve">Petit beurre 2x200g                                                                                 </t>
  </si>
  <si>
    <t xml:space="preserve">Gaufres aux oeufs frais                                                                             </t>
  </si>
  <si>
    <t xml:space="preserve">BN Chocolat x32                                                                                     </t>
  </si>
  <si>
    <t xml:space="preserve">United Biscuits France                                                          </t>
  </si>
  <si>
    <t xml:space="preserve">Petit beurre Chocolat Lait/Noir                                                                     </t>
  </si>
  <si>
    <t xml:space="preserve">Barre bretonne                                                                                      </t>
  </si>
  <si>
    <t xml:space="preserve">Soft cake assortis                                                                                  </t>
  </si>
  <si>
    <t xml:space="preserve">Mini gâteaux fourrés à la fraise                                                                    </t>
  </si>
  <si>
    <t xml:space="preserve">Goûters Magiques S.A.S.                                                         </t>
  </si>
  <si>
    <t xml:space="preserve">Mini gâteaux fourrés au chocolat                                                                    </t>
  </si>
  <si>
    <t xml:space="preserve">COOKIES CHOCOLAT ASSORTIS                                                                           </t>
  </si>
  <si>
    <t xml:space="preserve">Fourrés Chocolat                                                                                    </t>
  </si>
  <si>
    <t xml:space="preserve">BISCUITS PETIT DÉJEUNER ASSORT                                                                      </t>
  </si>
  <si>
    <t xml:space="preserve">Lunettes de Romans assorties                                                                        </t>
  </si>
  <si>
    <t xml:space="preserve">Société Nouvelle des                                                            </t>
  </si>
  <si>
    <t xml:space="preserve">Gaufres au sucre et au chocolat                                                                     </t>
  </si>
  <si>
    <t xml:space="preserve">Biscuiterie Thijs N.V.                                                          </t>
  </si>
  <si>
    <t xml:space="preserve">Choco Pouce                                                                                         </t>
  </si>
  <si>
    <t xml:space="preserve">Mini-Cakes aux pépites de chocolat                                                                  </t>
  </si>
  <si>
    <t xml:space="preserve">JACQUET BROSSARD                                                                </t>
  </si>
  <si>
    <t xml:space="preserve">Saumon en sauce                                                                                     </t>
  </si>
  <si>
    <t xml:space="preserve">Frima S.A.S.                                                                    </t>
  </si>
  <si>
    <t xml:space="preserve">Biscuits au beurre                                                                                  </t>
  </si>
  <si>
    <t xml:space="preserve">Dietrich Borggreve Zwieback-                                                    </t>
  </si>
  <si>
    <t xml:space="preserve">Gaufrettes roulées enrobées choco.                                                                  </t>
  </si>
  <si>
    <t xml:space="preserve">Chips de crevettes                                                                                  </t>
  </si>
  <si>
    <t xml:space="preserve">Sibell S.A.R.L.                                                                 </t>
  </si>
  <si>
    <t xml:space="preserve">Sticks et bretzel boîte                                                                             </t>
  </si>
  <si>
    <t xml:space="preserve">Trüller Knabber-                                                                </t>
  </si>
  <si>
    <t xml:space="preserve">Tortillas Chips assorties                                                                           </t>
  </si>
  <si>
    <t xml:space="preserve">N.V. Snack Food Poco Loco                                                       </t>
  </si>
  <si>
    <t xml:space="preserve">Pistaches                                                                                           </t>
  </si>
  <si>
    <t xml:space="preserve">Kley. Arlon PS      </t>
  </si>
  <si>
    <t xml:space="preserve">EUROFOOD                                                                        </t>
  </si>
  <si>
    <t xml:space="preserve">Flûtes feuilletées salées/fromage                                                                   </t>
  </si>
  <si>
    <t xml:space="preserve">Chips A L`ancienne huile tournesol                                                                  </t>
  </si>
  <si>
    <t xml:space="preserve">Cacahuètes                                                                                          </t>
  </si>
  <si>
    <t xml:space="preserve">BENOIT SNC                                                                      </t>
  </si>
  <si>
    <t xml:space="preserve">Chips salées 6x30g huile tournesol                                                                  </t>
  </si>
  <si>
    <t xml:space="preserve">Intersnack France SAS                                                           </t>
  </si>
  <si>
    <t xml:space="preserve">Bugles 3D fromage/salés                                                                             </t>
  </si>
  <si>
    <t xml:space="preserve">Pepsico France S.N.C.                                                           </t>
  </si>
  <si>
    <t xml:space="preserve">Lay's chips à l'ancienne nature                                                                     </t>
  </si>
  <si>
    <t xml:space="preserve">Lay's chips poulet thym                                                                             </t>
  </si>
  <si>
    <t xml:space="preserve">Panzani sauce tomate                                                                                </t>
  </si>
  <si>
    <t xml:space="preserve">Panzani S.A.S. (Sauces)                                                         </t>
  </si>
  <si>
    <t xml:space="preserve">Jamb. cuit sup à l'os grd tr AC VPF                                                                 </t>
  </si>
  <si>
    <t xml:space="preserve">2 1/2 baguettes précuites                                                                           </t>
  </si>
  <si>
    <t xml:space="preserve">Maison Menissez S.A.S.                                                          </t>
  </si>
  <si>
    <t xml:space="preserve">Chocolat dessert                                                                                    </t>
  </si>
  <si>
    <t>Commandes mensuelles</t>
  </si>
  <si>
    <t xml:space="preserve">Solent GmbH &amp; Co. KG                                                            </t>
  </si>
  <si>
    <t xml:space="preserve">Petit chocolat                                                                                      </t>
  </si>
  <si>
    <t xml:space="preserve">JR Die Schokoladenfabrik                                                        </t>
  </si>
  <si>
    <t xml:space="preserve">Kinder Maxi T11                                                                                     </t>
  </si>
  <si>
    <t xml:space="preserve">Ferrero France Commerciale                                                      </t>
  </si>
  <si>
    <t xml:space="preserve">Oursons guimauve                                                                                    </t>
  </si>
  <si>
    <t xml:space="preserve">Dipa S.A.S.                                                                     </t>
  </si>
  <si>
    <t xml:space="preserve">Caramels beurre &amp; fleur de sel                                                                      </t>
  </si>
  <si>
    <t xml:space="preserve">Toffee Tec GmbH                                                                 </t>
  </si>
  <si>
    <t xml:space="preserve">Chocolat au lait                                                                                    </t>
  </si>
  <si>
    <t xml:space="preserve">Ludwig Weinrich                                                                 </t>
  </si>
  <si>
    <t xml:space="preserve">Balisto 9 x18.5g                                                                                    </t>
  </si>
  <si>
    <t xml:space="preserve">Gressins pâte à tartiner noisettes                                                                  </t>
  </si>
  <si>
    <t xml:space="preserve">Nutkao S.R.L.                                                                   </t>
  </si>
  <si>
    <t xml:space="preserve">Maltesers                                                                                           </t>
  </si>
  <si>
    <t xml:space="preserve">Haribo Zizani Mix                                                                                   </t>
  </si>
  <si>
    <t xml:space="preserve">Haribo Ricqles Zan S.A.                                                         </t>
  </si>
  <si>
    <t xml:space="preserve">Kinder Country T9                                                                                   </t>
  </si>
  <si>
    <t xml:space="preserve">Bonbons tendres fruits                                                                              </t>
  </si>
  <si>
    <t xml:space="preserve">Sweet Tec GmbH                                                                  </t>
  </si>
  <si>
    <t xml:space="preserve">Haribo Reglisse mix / Dragibus mix                                                                  </t>
  </si>
  <si>
    <t xml:space="preserve">Haribo Music mix/ Safari mix                                                                        </t>
  </si>
  <si>
    <t xml:space="preserve">Tartelettes ovales pur beurre ass.                                                                  </t>
  </si>
  <si>
    <t xml:space="preserve">Orangina jaune                                                                                      </t>
  </si>
  <si>
    <t xml:space="preserve">Orangina Schweppes                                                              </t>
  </si>
  <si>
    <t xml:space="preserve">Oasis Tropical                                                                                      </t>
  </si>
  <si>
    <t xml:space="preserve">Schweppes Agrum                                                                                     </t>
  </si>
  <si>
    <t xml:space="preserve">Café moulu décaféiné                                                                                </t>
  </si>
  <si>
    <t xml:space="preserve">UCC Coffee Benelux B.V.                                                         </t>
  </si>
  <si>
    <t xml:space="preserve">Café expresso Arabica                                                                               </t>
  </si>
  <si>
    <t xml:space="preserve">Thé noir aromatisé                                                                                  </t>
  </si>
  <si>
    <t xml:space="preserve">Ostfriesische Tee                                                               </t>
  </si>
  <si>
    <t xml:space="preserve">Escalopes de dinde extra fines                                                                      </t>
  </si>
  <si>
    <t xml:space="preserve">Thé earl grey/ceylan                                                                                </t>
  </si>
  <si>
    <t xml:space="preserve">Café Noir 2x250g                                                                                    </t>
  </si>
  <si>
    <t xml:space="preserve">Legal 1851 Café Grand Arabica                                                                       </t>
  </si>
  <si>
    <t xml:space="preserve">Legal café Tradition familiale                                                                      </t>
  </si>
  <si>
    <t xml:space="preserve">Senseo dosettes corsées x28                                                                         </t>
  </si>
  <si>
    <t xml:space="preserve">Jacobs Douwe Egberts                                                            </t>
  </si>
  <si>
    <t xml:space="preserve">Senseo dosettes classiques 28                                                                       </t>
  </si>
  <si>
    <t xml:space="preserve">Legal café Bistrot Petit noir 36                                                                    </t>
  </si>
  <si>
    <t xml:space="preserve">Filet de lieu noir sans peau/arêtes                                                                 </t>
  </si>
  <si>
    <t xml:space="preserve">Frais Embal S.A.S.U.                                                            </t>
  </si>
  <si>
    <t xml:space="preserve">Jambon cuit sup. -25% de sel VPF                                                                    </t>
  </si>
  <si>
    <t xml:space="preserve">Ducros Le poivre gris moulu                                                                         </t>
  </si>
  <si>
    <t xml:space="preserve">Twix x5                                                                                             </t>
  </si>
  <si>
    <t xml:space="preserve">Gaufrettes 10X25g fr nois/lait                                                                      </t>
  </si>
  <si>
    <t xml:space="preserve">Pain de mie                                                                                         </t>
  </si>
  <si>
    <t xml:space="preserve">Lieken Brot- und                                                                </t>
  </si>
  <si>
    <t xml:space="preserve">Brioche tranchée                                                                                    </t>
  </si>
  <si>
    <t xml:space="preserve">GIE PASQUIER                                                                    </t>
  </si>
  <si>
    <t xml:space="preserve">Miel liquide                                                                                        </t>
  </si>
  <si>
    <t xml:space="preserve">Göbber GmbH                                                                     </t>
  </si>
  <si>
    <t xml:space="preserve">Gaufres au sucre                                                                                    </t>
  </si>
  <si>
    <t xml:space="preserve">Pains suédois assortis 225g                                                                         </t>
  </si>
  <si>
    <t xml:space="preserve">Briochettes choco noir x8                                                                           </t>
  </si>
  <si>
    <t xml:space="preserve">Boulangerie Neuhauser SA                                                        </t>
  </si>
  <si>
    <t xml:space="preserve">Pain de mie sandwich gde tranche                                                                    </t>
  </si>
  <si>
    <t xml:space="preserve">Briochettes choco lait x8                                                                           </t>
  </si>
  <si>
    <t xml:space="preserve">Pain de mie son gdes tranches                                                                       </t>
  </si>
  <si>
    <t xml:space="preserve">Crêpes fourrées chocolat                                                                            </t>
  </si>
  <si>
    <t xml:space="preserve">Tartines craquantes                                                                                 </t>
  </si>
  <si>
    <t xml:space="preserve">Carrés noisettes                                                                                    </t>
  </si>
  <si>
    <t xml:space="preserve">Groupés Siège       </t>
  </si>
  <si>
    <t xml:space="preserve">Nordgetreide GmbH &amp; Co. KG                                                      </t>
  </si>
  <si>
    <t xml:space="preserve">Confiture fraises                                                                                   </t>
  </si>
  <si>
    <t xml:space="preserve">Pains au lait pur beurre x10                                                                        </t>
  </si>
  <si>
    <t xml:space="preserve">Nutella                                                                                             </t>
  </si>
  <si>
    <t xml:space="preserve">Miel crémeux                                                                                        </t>
  </si>
  <si>
    <t xml:space="preserve">Confiture aux myrtilles                                                                             </t>
  </si>
  <si>
    <t xml:space="preserve">Pains au chocolat x10                                                                               </t>
  </si>
  <si>
    <t xml:space="preserve">La Fournée Dorée                                                                </t>
  </si>
  <si>
    <t xml:space="preserve">Croissants natures x 10                                                                             </t>
  </si>
  <si>
    <t xml:space="preserve">Regals De Bretagne SARL                                                         </t>
  </si>
  <si>
    <t xml:space="preserve">Galette des rois pommes                                                                             </t>
  </si>
  <si>
    <t xml:space="preserve">Galette des rois frangipane                                                                         </t>
  </si>
  <si>
    <t xml:space="preserve">Carpaccio assortiment                                                                               </t>
  </si>
  <si>
    <t xml:space="preserve">Ritter Sport Tablettes de chocolat                                                                  </t>
  </si>
  <si>
    <t xml:space="preserve">Alfred Ritter GmbH &amp; Co. KG                                                     </t>
  </si>
  <si>
    <t xml:space="preserve">Saint Hubert Omega 3 doux                                                                           </t>
  </si>
  <si>
    <t xml:space="preserve">Saint Hubert                                                                    </t>
  </si>
  <si>
    <t xml:space="preserve">Salade mél. gourmand assortie                                                                       </t>
  </si>
  <si>
    <t xml:space="preserve">Les Crudettes S.A.S.                                                            </t>
  </si>
  <si>
    <t xml:space="preserve">Lardons nature                                                                                      </t>
  </si>
  <si>
    <t xml:space="preserve">Salaisons Stemmelen S.A.                                                        </t>
  </si>
  <si>
    <t xml:space="preserve">Palets de légumes                                                                                   </t>
  </si>
  <si>
    <t xml:space="preserve">Levure chimique x 10                                                                                </t>
  </si>
  <si>
    <t xml:space="preserve">RUF Lebensmittelwerk KG                                                         </t>
  </si>
  <si>
    <t xml:space="preserve">Cartons                                                                                             </t>
  </si>
  <si>
    <t xml:space="preserve">Coquilles St Jacques à la bretonne                                                                  </t>
  </si>
  <si>
    <t xml:space="preserve">Celtigel S.A.S.                                                                 </t>
  </si>
  <si>
    <t xml:space="preserve">Paniers pur beurre assortis BA                                                                      </t>
  </si>
  <si>
    <t xml:space="preserve">Ajinomoto Europe Foods S.A.S                                                    </t>
  </si>
  <si>
    <t xml:space="preserve">Mélange de graines apéritif                                                                         </t>
  </si>
  <si>
    <t xml:space="preserve">Whiskas pochons chats aux poissons                                                                  </t>
  </si>
  <si>
    <t xml:space="preserve">Whiskas pochons chats à la volaille                                                                 </t>
  </si>
  <si>
    <t xml:space="preserve">Coppa en tranches                                                                                   </t>
  </si>
  <si>
    <t xml:space="preserve">Panzani sauce bolognaise                                                                            </t>
  </si>
  <si>
    <t xml:space="preserve">M&amp;M's Peanut x3                                                                                     </t>
  </si>
  <si>
    <t xml:space="preserve">Méditerranée rosé IGP                                                                               </t>
  </si>
  <si>
    <t xml:space="preserve">LISTEL SAS                                                                      </t>
  </si>
  <si>
    <t xml:space="preserve">Maxi Cheese/Bacon/Chicken Burger                                                                    </t>
  </si>
  <si>
    <t xml:space="preserve">La Toque Angevine S.A.S.                                                        </t>
  </si>
  <si>
    <t xml:space="preserve">Bordeaux Château AOP rouge                                                                          </t>
  </si>
  <si>
    <t xml:space="preserve">Vignobles Roux S.A.R.L.                                                         </t>
  </si>
  <si>
    <t xml:space="preserve">Knorr Douceur 8 légumes                                                                             </t>
  </si>
  <si>
    <t xml:space="preserve">Biftecks x 2 sous vide VBF                                                                          </t>
  </si>
  <si>
    <t xml:space="preserve">Delacre Délichoc chocolat au lait                                                                   </t>
  </si>
  <si>
    <t xml:space="preserve">Ultra doux Shampoo Avocat/Camomille                                                                 </t>
  </si>
  <si>
    <t xml:space="preserve">Ultra doux Shampoo Cranberry/Abric.                                                                 </t>
  </si>
  <si>
    <t xml:space="preserve">Ultra Doux Masque                                                                                   </t>
  </si>
  <si>
    <t xml:space="preserve">Coca-Cola Regular                                                                                   </t>
  </si>
  <si>
    <t xml:space="preserve">Kronenbourg bière                                                                                   </t>
  </si>
  <si>
    <t xml:space="preserve">Kronenbourg                                                                     </t>
  </si>
  <si>
    <t xml:space="preserve">Calamars à la romaine                                                                               </t>
  </si>
  <si>
    <t xml:space="preserve">PESCANOVA ESPANA, S.L.                                                          </t>
  </si>
  <si>
    <t xml:space="preserve">Steaks hachés façon bouchère 12% MG                                                                 </t>
  </si>
  <si>
    <t xml:space="preserve">HARICOTS VERTS EXTRA FINS                                                                           </t>
  </si>
  <si>
    <t xml:space="preserve">Greenyard Frozen Belgium NV                                                     </t>
  </si>
  <si>
    <t xml:space="preserve">Gigot d'agneau                                                                                      </t>
  </si>
  <si>
    <t xml:space="preserve">Primex International S.A.                                                       </t>
  </si>
  <si>
    <t xml:space="preserve">Steaks hachés V.B.F. 15% MG                                                                         </t>
  </si>
  <si>
    <t xml:space="preserve">Wedges Quartiers de PDT aromat                                                                      </t>
  </si>
  <si>
    <t xml:space="preserve"> Mélange de légumes assaisonnés                                                                     </t>
  </si>
  <si>
    <t xml:space="preserve">Copack                                                                          </t>
  </si>
  <si>
    <t xml:space="preserve">Boulettes au boeuf V.B.F. 15% MG                                                                    </t>
  </si>
  <si>
    <t xml:space="preserve">PORC À LA GYROS 500G/KEBAB 400G                                                                     </t>
  </si>
  <si>
    <t xml:space="preserve">Tillman's Convenience GmbH                                                      </t>
  </si>
  <si>
    <t xml:space="preserve">FM Jambon sup. Torchon 6T                                                                           </t>
  </si>
  <si>
    <t xml:space="preserve">Viande égr. pur boeuf V.B.F. 20% MG                                                                 </t>
  </si>
  <si>
    <t xml:space="preserve"> Pommes  noisettes                                                                                  </t>
  </si>
  <si>
    <t xml:space="preserve">Aviko B.V.                                                                      </t>
  </si>
  <si>
    <t xml:space="preserve">Barquette chat                                                                                      </t>
  </si>
  <si>
    <t xml:space="preserve">C &amp; D Foods Unlimited                                                           </t>
  </si>
  <si>
    <t xml:space="preserve">Barquette chien                                                                                     </t>
  </si>
  <si>
    <t xml:space="preserve">Bouchées sauce premium                                                                              </t>
  </si>
  <si>
    <t xml:space="preserve">Dr. Alder's Tiernahrung GmbH                                                    </t>
  </si>
  <si>
    <t xml:space="preserve">Skip Ultimate Act. Clean 24 lavages                                                                 </t>
  </si>
  <si>
    <t xml:space="preserve">Cajoline adoucissant 46 lavages                                                                     </t>
  </si>
  <si>
    <t xml:space="preserve">Mallow Cocktail                                                                                     </t>
  </si>
  <si>
    <t xml:space="preserve">Confiserie Van Damme N.V.                                                       </t>
  </si>
  <si>
    <t xml:space="preserve">Signal dentifrice Kids                                                                              </t>
  </si>
  <si>
    <t xml:space="preserve">Boulettes en sauce                                                                                  </t>
  </si>
  <si>
    <t xml:space="preserve">DEUERER PETCARE FRANCE S.A.S                                                    </t>
  </si>
  <si>
    <t xml:space="preserve">Bouchées chat extrafine                                                                             </t>
  </si>
  <si>
    <t xml:space="preserve">Bouchées chien assorties                                                                            </t>
  </si>
  <si>
    <t xml:space="preserve">Croquettes vitality                                                                                 </t>
  </si>
  <si>
    <t xml:space="preserve">Futternapf Tiernahrung                                                          </t>
  </si>
  <si>
    <t xml:space="preserve">Croquettes chat                                                                                     </t>
  </si>
  <si>
    <t xml:space="preserve">UNITED PETFOOD FRANCE SAS                                                       </t>
  </si>
  <si>
    <t xml:space="preserve">Ass. de friandises pour chien 400g                                                                  </t>
  </si>
  <si>
    <t xml:space="preserve">BN Mini x10                                                                                         </t>
  </si>
  <si>
    <t xml:space="preserve">Narta Femme déodorant bille                                                                         </t>
  </si>
  <si>
    <t xml:space="preserve">Tranches de jambon sec supérieur                                                                    </t>
  </si>
  <si>
    <t xml:space="preserve">Le Saloir du Périgord S.A.S                                                     </t>
  </si>
  <si>
    <t xml:space="preserve">Chewing gum sans sucre                                                                              </t>
  </si>
  <si>
    <t xml:space="preserve">roelli roelli                                                                   </t>
  </si>
  <si>
    <t xml:space="preserve">Chocolat noir sup. 74%                                                                              </t>
  </si>
  <si>
    <t xml:space="preserve">Kinder Surprise x3                                                                                  </t>
  </si>
  <si>
    <t xml:space="preserve">Trolli Number one                                                                                   </t>
  </si>
  <si>
    <t xml:space="preserve">Trolli GmbH                                                                     </t>
  </si>
  <si>
    <t xml:space="preserve">Bounty  x9                                                                                          </t>
  </si>
  <si>
    <t xml:space="preserve">Kinder Bueno T6                                                                                     </t>
  </si>
  <si>
    <t xml:space="preserve">Kinder Chocolat T16                                                                                 </t>
  </si>
  <si>
    <t xml:space="preserve">Carambar Fruits/Caramel                                                                             </t>
  </si>
  <si>
    <t xml:space="preserve">Carambar and Co. S.A.S.U.                                                       </t>
  </si>
  <si>
    <t xml:space="preserve">Mentos x 5                                                                                          </t>
  </si>
  <si>
    <t xml:space="preserve">Tic Tac 100                                                                                         </t>
  </si>
  <si>
    <t xml:space="preserve">Chocolat blanc assorti                                                                              </t>
  </si>
  <si>
    <t xml:space="preserve">Confiseries acides assorties                                                                        </t>
  </si>
  <si>
    <t xml:space="preserve">Crémant de Bourgogne AOP                                                                            </t>
  </si>
  <si>
    <t xml:space="preserve">Les Petits fils de Veuve                                                        </t>
  </si>
  <si>
    <t xml:space="preserve">10 Feuilles de brick                                                                                </t>
  </si>
  <si>
    <t xml:space="preserve">Les Mille et une Feuille                                                        </t>
  </si>
  <si>
    <t xml:space="preserve">Gewurztraminer AOC.                                                                                 </t>
  </si>
  <si>
    <t xml:space="preserve">Société Coopérative Vinicole                                                    </t>
  </si>
  <si>
    <t xml:space="preserve">Aude rosé IGP                                                                                       </t>
  </si>
  <si>
    <t xml:space="preserve">Vin d'Espagne blanc                                                                                 </t>
  </si>
  <si>
    <t xml:space="preserve">Felix Solis Avantis S. A.                                                       </t>
  </si>
  <si>
    <t xml:space="preserve">Haut-Médoc Château AOP                                                                              </t>
  </si>
  <si>
    <t xml:space="preserve">SOVEX GRANDSCHATEAUX SAS                                                        </t>
  </si>
  <si>
    <t xml:space="preserve">Vin d'Espagne rouge                                                                                 </t>
  </si>
  <si>
    <t xml:space="preserve">Omo Caps Fleurs Tropiques x24                                                                       </t>
  </si>
  <si>
    <t xml:space="preserve">Muscadet-Sèvre-et-Maine AOC                                                                         </t>
  </si>
  <si>
    <t xml:space="preserve">Castel Frères S.A.S.                                                            </t>
  </si>
  <si>
    <t xml:space="preserve">Crémant de Limoux AOC                                                                               </t>
  </si>
  <si>
    <t xml:space="preserve">Sieur d'Arques S.A.S.                                                           </t>
  </si>
  <si>
    <t xml:space="preserve">Côtes du Roussillon rosé AOP                                                                        </t>
  </si>
  <si>
    <t xml:space="preserve">Vignerons Catalans S.I.C.A.                                                     </t>
  </si>
  <si>
    <t xml:space="preserve">Liqueur de menthe 21%                                                                               </t>
  </si>
  <si>
    <t xml:space="preserve">Cherry Rocher Neyret Chavin                                                     </t>
  </si>
  <si>
    <t xml:space="preserve">Vico Curly Donuts cacahuète 2+1 grt                                                                 </t>
  </si>
  <si>
    <t xml:space="preserve">Tourteau entier pasteurisé                                                                          </t>
  </si>
  <si>
    <t xml:space="preserve">Errigal Bay                                                                     </t>
  </si>
  <si>
    <t xml:space="preserve">Soupe de poissons et langoustines                                                                   </t>
  </si>
  <si>
    <t xml:space="preserve">Les Délices de la Mer S.A.S.                                                    </t>
  </si>
  <si>
    <t xml:space="preserve">Pinces de tourteau précassées                                                                       </t>
  </si>
  <si>
    <t xml:space="preserve">Knorr Douceur de 8 Légumes                                                                          </t>
  </si>
  <si>
    <t xml:space="preserve">Lustucru Tagliatelles                                                                               </t>
  </si>
  <si>
    <t xml:space="preserve">Lustucru Frais SAS                                                              </t>
  </si>
  <si>
    <t xml:space="preserve">Head &amp; Shoulders Shampooing                                                                         </t>
  </si>
  <si>
    <t xml:space="preserve">Heinz Ketchup                                                                                       </t>
  </si>
  <si>
    <t xml:space="preserve">HJ Heinz France SASU                                                            </t>
  </si>
  <si>
    <t xml:space="preserve">Tahiti Gel douche                                                                                   </t>
  </si>
  <si>
    <t xml:space="preserve">Colgate-Palmolive S.A.S.                                                        </t>
  </si>
  <si>
    <t xml:space="preserve">Colgate Dentifrice                                                                                  </t>
  </si>
  <si>
    <t xml:space="preserve">LU Prince Chocolat                                                                                  </t>
  </si>
  <si>
    <t xml:space="preserve">Bénédicta Sauces top down                                                                           </t>
  </si>
  <si>
    <t xml:space="preserve">Mars/Snickers/Twix minis                                                                            </t>
  </si>
  <si>
    <t xml:space="preserve">Crème fraîche allégée 15 %                                                                          </t>
  </si>
  <si>
    <t xml:space="preserve">Président bûche fondante                                                                            </t>
  </si>
  <si>
    <t xml:space="preserve">Danone Velouté aux fruits x12                                                                       </t>
  </si>
  <si>
    <t xml:space="preserve">Nestlé Le Viennois chocolat                                                                         </t>
  </si>
  <si>
    <t xml:space="preserve">LNUF Marques S.A.                                                               </t>
  </si>
  <si>
    <t xml:space="preserve">Parmesan Reggiano (26572)                                                                           </t>
  </si>
  <si>
    <t xml:space="preserve">Consorzio Latterie Virgilio                                                     </t>
  </si>
  <si>
    <t xml:space="preserve">Comté AOP                                                                                           </t>
  </si>
  <si>
    <t xml:space="preserve">Monts &amp; Terroirs S.A.S.                                                         </t>
  </si>
  <si>
    <t xml:space="preserve">Cochonou Ros/Sauc. sec TSR                                                                          </t>
  </si>
  <si>
    <t xml:space="preserve">Mixa IPS Lait pour le corps                                                                         </t>
  </si>
  <si>
    <t xml:space="preserve">Caprice des Dieux                                                                                   </t>
  </si>
  <si>
    <t xml:space="preserve">Coeur de Lion Coulommiers                                                                           </t>
  </si>
  <si>
    <t xml:space="preserve">Fromage de chèvre en pyramide                                                                       </t>
  </si>
  <si>
    <t xml:space="preserve">FROMARSAC SAS                                                                   </t>
  </si>
  <si>
    <t xml:space="preserve">Chaussée aux Moines                                                                                 </t>
  </si>
  <si>
    <t xml:space="preserve">Le Rustique Camembert                                                                               </t>
  </si>
  <si>
    <t xml:space="preserve">Tomme de Montagne                                                                                   </t>
  </si>
  <si>
    <t xml:space="preserve">Yoplait Panier rouge                                                                                </t>
  </si>
  <si>
    <t xml:space="preserve">Yoplait France S.A.S.                                                           </t>
  </si>
  <si>
    <t xml:space="preserve">Yoplait Panier jaune                                                                                </t>
  </si>
  <si>
    <t xml:space="preserve">Yoplait Panier rouge 0%                                                                             </t>
  </si>
  <si>
    <t xml:space="preserve">Yoplait Panier jaune 0%                                                                             </t>
  </si>
  <si>
    <t xml:space="preserve">St Albray                                                                                           </t>
  </si>
  <si>
    <t xml:space="preserve">Epoisses affiné Marc Bourgogne AOP                                                                  </t>
  </si>
  <si>
    <t xml:space="preserve">Laiteries H. Triballat                                                          </t>
  </si>
  <si>
    <t xml:space="preserve">St Hubert 41 doux sans palme                                                                        </t>
  </si>
  <si>
    <t xml:space="preserve">LU Belvita Miel &amp; Chocolat                                                                          </t>
  </si>
  <si>
    <t xml:space="preserve">Hollywood Fresh sort.                                                                               </t>
  </si>
  <si>
    <t xml:space="preserve">Milka Tablettes de chocolat lait                                                                    </t>
  </si>
  <si>
    <t xml:space="preserve">Jus de citron ABC                                                                                   </t>
  </si>
  <si>
    <t xml:space="preserve">POLENGHI-LAS s.r.l.                                                             </t>
  </si>
  <si>
    <t xml:space="preserve">Eau de source 6x50cl                                                                                </t>
  </si>
  <si>
    <t xml:space="preserve">Coca Cola boîte 6x0,33l                                                                             </t>
  </si>
  <si>
    <t xml:space="preserve">Sirop de fraise                                                                                     </t>
  </si>
  <si>
    <t xml:space="preserve">Slaur Sardet S.A.S.                                                             </t>
  </si>
  <si>
    <t xml:space="preserve">Sirop de grenadine                                                                                  </t>
  </si>
  <si>
    <t xml:space="preserve">Sirop de pêche                                                                                      </t>
  </si>
  <si>
    <t xml:space="preserve">Mélange de jus de fruits ABC                                                                        </t>
  </si>
  <si>
    <t xml:space="preserve">riha WeserGold Getränke                                                         </t>
  </si>
  <si>
    <t xml:space="preserve">Nectar d'orange                                                                                     </t>
  </si>
  <si>
    <t xml:space="preserve">Niederrhein-Gold Tersteegen                                                     </t>
  </si>
  <si>
    <t xml:space="preserve">Pur Jus d'orange du Brésil                                                                          </t>
  </si>
  <si>
    <t xml:space="preserve">Jus pamplemousse rose                                                                               </t>
  </si>
  <si>
    <t xml:space="preserve">Fanta Orange                                                                                        </t>
  </si>
  <si>
    <t xml:space="preserve">Pur Jus 4 agrumes                                                                                   </t>
  </si>
  <si>
    <t xml:space="preserve">REFRESCO FRANCE S.A.S                                                           </t>
  </si>
  <si>
    <t xml:space="preserve">Nectar multivitaminé 12 fruits                                                                      </t>
  </si>
  <si>
    <t xml:space="preserve">Refresco Deutschland GmbH                                                       </t>
  </si>
  <si>
    <t xml:space="preserve">Sirop de menthe                                                                                     </t>
  </si>
  <si>
    <t xml:space="preserve">Joker pur jus d'orange                                                                              </t>
  </si>
  <si>
    <t xml:space="preserve">Eckes Granini France SNC                                                        </t>
  </si>
  <si>
    <t xml:space="preserve">Jus de pomme ABC                                                                                    </t>
  </si>
  <si>
    <t xml:space="preserve">Jus d'orange                                                                                        </t>
  </si>
  <si>
    <t xml:space="preserve">AGROZUMOS SA                                                                    </t>
  </si>
  <si>
    <t xml:space="preserve">Coca Cola Zero 6x0,33l                                                                              </t>
  </si>
  <si>
    <t xml:space="preserve">Red Bull Energy Drink                                                                               </t>
  </si>
  <si>
    <t xml:space="preserve">Red Bull off Premise                                                            </t>
  </si>
  <si>
    <t xml:space="preserve">Joker multifruits exotique pur jus                                                                  </t>
  </si>
  <si>
    <t xml:space="preserve">Bière 4,7%                                                                                          </t>
  </si>
  <si>
    <t xml:space="preserve">Brasserie Champigneulles SAS                                                    </t>
  </si>
  <si>
    <t xml:space="preserve">Bière 24x25cl Finkbrau                                                                              </t>
  </si>
  <si>
    <t xml:space="preserve">Brasserie de Saint Omer SAS                                                     </t>
  </si>
  <si>
    <t xml:space="preserve">Zinfandel Rosé Calif.                                                                               </t>
  </si>
  <si>
    <t xml:space="preserve">Vin mousseux demi-sec                                                                               </t>
  </si>
  <si>
    <t xml:space="preserve">Compagnie Française des                                                         </t>
  </si>
  <si>
    <t xml:space="preserve">Cabernet Sauvignon chili rouge                                                                      </t>
  </si>
  <si>
    <t xml:space="preserve">Côtes du Rhône AOP                                                                                  </t>
  </si>
  <si>
    <t xml:space="preserve">Jurançon Doux AOP 2015 AOP                                                                          </t>
  </si>
  <si>
    <t xml:space="preserve">Côtes du Roussillon rouge AOC                                                                       </t>
  </si>
  <si>
    <t xml:space="preserve">Bergerac rouge AOP 2016                                                                             </t>
  </si>
  <si>
    <t xml:space="preserve">VDP D'Oc Merlot                                                                                     </t>
  </si>
  <si>
    <t xml:space="preserve">ADVINI S.A. à directoire et                                                     </t>
  </si>
  <si>
    <t xml:space="preserve">Bourgueil AOP                                                                                       </t>
  </si>
  <si>
    <t xml:space="preserve">Lacheteau S.A.S.                                                                </t>
  </si>
  <si>
    <t xml:space="preserve">Montagne/Lussac Saint-Emilion AOP                                                                   </t>
  </si>
  <si>
    <t xml:space="preserve">Vin de Pays d'Oc Chardonnay IGP                                                                     </t>
  </si>
  <si>
    <t xml:space="preserve">Crémant d'Alsace AOC                                                                                </t>
  </si>
  <si>
    <t xml:space="preserve">Vin mousseux brut                                                                                   </t>
  </si>
  <si>
    <t xml:space="preserve">Panaché                                                                                             </t>
  </si>
  <si>
    <t xml:space="preserve">Bière forte 7,9° 50cl                                                                               </t>
  </si>
  <si>
    <t xml:space="preserve">Privatbrauerei Eichbaum                                                         </t>
  </si>
  <si>
    <t xml:space="preserve">BIB VDP d'Oc Merlot IGP                                                                             </t>
  </si>
  <si>
    <t xml:space="preserve">Bière Premium Pils                                                                                  </t>
  </si>
  <si>
    <t xml:space="preserve">Bourgogne aligoté AOP                                                                               </t>
  </si>
  <si>
    <t xml:space="preserve">grands vins sélection S.A.S.                                                    </t>
  </si>
  <si>
    <t xml:space="preserve">Corbières rouge AOP                                                                                 </t>
  </si>
  <si>
    <t xml:space="preserve">Cahors rouge AOP                                                                                    </t>
  </si>
  <si>
    <t xml:space="preserve">Bière d`abbaye 6,2%                                                                                 </t>
  </si>
  <si>
    <t xml:space="preserve">Cidre brut de Normandie                                                                             </t>
  </si>
  <si>
    <t xml:space="preserve">CSR S.A.                                                                        </t>
  </si>
  <si>
    <t xml:space="preserve">Bière Lager 5% vol.                                                                                 </t>
  </si>
  <si>
    <t xml:space="preserve">Muscat de Rivesaltes AOP                                                                            </t>
  </si>
  <si>
    <t xml:space="preserve">Nouvelle Société de                                                             </t>
  </si>
  <si>
    <t xml:space="preserve">Champagne brut AOP                                                                                  </t>
  </si>
  <si>
    <t xml:space="preserve">Champenoise des                                                                 </t>
  </si>
  <si>
    <t xml:space="preserve">Costières de Nîmes rouge AOP                                                                        </t>
  </si>
  <si>
    <t xml:space="preserve">Blaye Côtes de Bordeaux AOP                                                                         </t>
  </si>
  <si>
    <t xml:space="preserve">Bière Pils  4,9° 50cl                                                                               </t>
  </si>
  <si>
    <t xml:space="preserve">Oettinger Brauerei GmbH                                                         </t>
  </si>
  <si>
    <t xml:space="preserve">Cidre doux de Normandie                                                                             </t>
  </si>
  <si>
    <t xml:space="preserve">Côtes du Rhône Villages AOP                                                                         </t>
  </si>
  <si>
    <t xml:space="preserve">St Emilion Grand Cru AOP                                                                            </t>
  </si>
  <si>
    <t xml:space="preserve">Union de Producteurs                                                            </t>
  </si>
  <si>
    <t xml:space="preserve">Costières de Nîmes rosé AOP                                                                         </t>
  </si>
  <si>
    <t xml:space="preserve">Bordeaux blanc AOP [2016)                                                                           </t>
  </si>
  <si>
    <t xml:space="preserve">Bordeaux Supérieur AOP                                                                              </t>
  </si>
  <si>
    <t xml:space="preserve">Dulong-Calvet S.A.S.U.                                                          </t>
  </si>
  <si>
    <t xml:space="preserve">VDP D'Oc Cabernet Sauvignon rge IGP                                                                 </t>
  </si>
  <si>
    <t xml:space="preserve">VDP Comté Tolosan moell. blanc 2014                                                                 </t>
  </si>
  <si>
    <t xml:space="preserve">Rexona Déodorant en spray                                                                           </t>
  </si>
  <si>
    <t xml:space="preserve">Crème de cassis 15% vol.                                                                            </t>
  </si>
  <si>
    <t xml:space="preserve">Côtes du Rhône rouge AOC                                                                            </t>
  </si>
  <si>
    <t xml:space="preserve">Moncigale S.A.S.                                                                </t>
  </si>
  <si>
    <t xml:space="preserve">Lipton Yellow Label Thé noir x30                                                                    </t>
  </si>
  <si>
    <t xml:space="preserve">Lipton Green Tea Mint x30                                                                           </t>
  </si>
  <si>
    <t xml:space="preserve">Lipton Infusion Grand Sud x25                                                                       </t>
  </si>
  <si>
    <t xml:space="preserve">Amora Cornichons extra fins                                                                         </t>
  </si>
  <si>
    <t xml:space="preserve">Amora Moutarde Fine et Forte                                                                        </t>
  </si>
  <si>
    <t xml:space="preserve">Eléphant Infusions fr. rouges x25                                                                   </t>
  </si>
  <si>
    <t xml:space="preserve">Eléphant Inf. nuit tranquille x25                                                                   </t>
  </si>
  <si>
    <t xml:space="preserve">Magnum Amandes x4                                                                                   </t>
  </si>
  <si>
    <t xml:space="preserve">Carte d'Or Vanille de Madagascar                                                                    </t>
  </si>
  <si>
    <t xml:space="preserve">Rhum blanc 40% vol..                                                                                </t>
  </si>
  <si>
    <t xml:space="preserve">SVS La Martiniquaise                                                            </t>
  </si>
  <si>
    <t xml:space="preserve">Vico Curly l'Original Cacahuète                                                                     </t>
  </si>
  <si>
    <t xml:space="preserve">FM Bâtonnets de Surimi x27                                                                          </t>
  </si>
  <si>
    <t xml:space="preserve">Cif Spray Cuisine et salle de bain                                                                  </t>
  </si>
  <si>
    <t xml:space="preserve">Porto 19% vol.                                                                                      </t>
  </si>
  <si>
    <t xml:space="preserve">Porto blanc 19% vol.                                                                                </t>
  </si>
  <si>
    <t xml:space="preserve">Porto 10 ans d'âge 19% vol.                                                                         </t>
  </si>
  <si>
    <t xml:space="preserve">Apéritif rouge 14,4% vol.                                                                           </t>
  </si>
  <si>
    <t xml:space="preserve">TOSO S.p.A.                                                                     </t>
  </si>
  <si>
    <t xml:space="preserve">Apéritif blanc 14,4% vol.                                                                           </t>
  </si>
  <si>
    <t xml:space="preserve">Lapin découpé sans tête (5603060)                                                                   </t>
  </si>
  <si>
    <t xml:space="preserve">ABATTOIR DE CONDITIONNEMENT                                                     </t>
  </si>
  <si>
    <t xml:space="preserve">Ducros clous de girofles / 4 épices                                                                 </t>
  </si>
  <si>
    <t xml:space="preserve">Persil less. poudre Provence 85 lav                                                                 </t>
  </si>
  <si>
    <t xml:space="preserve">Gillette Blue II rasoirs jetables                                                                   </t>
  </si>
  <si>
    <t xml:space="preserve">Nestlé Nesquik                                                                                      </t>
  </si>
  <si>
    <t xml:space="preserve">Nestlé France S.A.S.                                                            </t>
  </si>
  <si>
    <t xml:space="preserve">Nestlé Ricoré                                                                                       </t>
  </si>
  <si>
    <t xml:space="preserve">Herta Knacki 8 x 35 g                                                                               </t>
  </si>
  <si>
    <t xml:space="preserve">Herta S.A.S.                                                                    </t>
  </si>
  <si>
    <t xml:space="preserve">Cuisse de dinde                                                                                     </t>
  </si>
  <si>
    <t xml:space="preserve">Liqueur à la crème 17% vol.                                                                         </t>
  </si>
  <si>
    <t xml:space="preserve">Pabst &amp; Richarz                                                                 </t>
  </si>
  <si>
    <t xml:space="preserve">Pastis 45% vol.                                                                                     </t>
  </si>
  <si>
    <t xml:space="preserve">Boisson spiritueuse 40% vol.                                                                        </t>
  </si>
  <si>
    <t xml:space="preserve">Whisky 40 % vol. 12 ans                                                                             </t>
  </si>
  <si>
    <t xml:space="preserve">Whisky canadien 40% vol.                                                                            </t>
  </si>
  <si>
    <t xml:space="preserve">Gin 37,5% vol.                                                                                      </t>
  </si>
  <si>
    <t xml:space="preserve">Eckert's Wacholder                                                              </t>
  </si>
  <si>
    <t xml:space="preserve">Scotch Whisky blended 40% vol.                                                                      </t>
  </si>
  <si>
    <t xml:space="preserve">Pastis 40% vol.                                                                                     </t>
  </si>
  <si>
    <t xml:space="preserve">Bourbon whisky 40% vol.                                                                             </t>
  </si>
  <si>
    <t xml:space="preserve">LPM Savon liquide                                                                                   </t>
  </si>
  <si>
    <t xml:space="preserve">Le Petit Marseillais Shampooing                                                                     </t>
  </si>
  <si>
    <t xml:space="preserve">Le Petit Marseilla Après-shampooing                                                                 </t>
  </si>
  <si>
    <t xml:space="preserve">Moules de bouchot                                                                                   </t>
  </si>
  <si>
    <t xml:space="preserve">Moule d'Armor S.A.R.L.                                                          </t>
  </si>
  <si>
    <t xml:space="preserve">Ducros Coriandre moulue                                                                             </t>
  </si>
  <si>
    <t xml:space="preserve">Signal Dentifrice anti-tartre                                                                       </t>
  </si>
  <si>
    <t xml:space="preserve">Danone Danette Liégeois vanille                                                                     </t>
  </si>
  <si>
    <t xml:space="preserve">Danone Danette Le Liégeois chocolat                                                                 </t>
  </si>
  <si>
    <t xml:space="preserve">Canelés de Bordeaux x6                                                                              </t>
  </si>
  <si>
    <t xml:space="preserve">Gironde Specialités S.A.R.L.                                                    </t>
  </si>
  <si>
    <t xml:space="preserve">Nouilles vietn. porc et crevettes                                                                   </t>
  </si>
  <si>
    <t xml:space="preserve">Prodisal S.A.S.                                                                 </t>
  </si>
  <si>
    <t xml:space="preserve">Nouilles chinoises au poulet                                                                        </t>
  </si>
  <si>
    <t xml:space="preserve">Assortiment vapeur                                                                                  </t>
  </si>
  <si>
    <t xml:space="preserve">Ariel Pods 3 en 1                                                                                   </t>
  </si>
  <si>
    <t xml:space="preserve">Farce à légumes                                                                                     </t>
  </si>
  <si>
    <t xml:space="preserve">Kinder Délice Cacao T10                                                                             </t>
  </si>
  <si>
    <t xml:space="preserve">Volvic Eau minérale                                                                                 </t>
  </si>
  <si>
    <t xml:space="preserve">Société Anonyme des Eaux                                                        </t>
  </si>
  <si>
    <t xml:space="preserve">Eau de Javel parfumée 2L vert                                                                       </t>
  </si>
  <si>
    <t xml:space="preserve">SACI Industrie S.p.A.                                                           </t>
  </si>
  <si>
    <t xml:space="preserve">Minidou adoucissant berlingots x3                                                                   </t>
  </si>
  <si>
    <t xml:space="preserve">Spray nettoyant javel 3 en 1                                                                        </t>
  </si>
  <si>
    <t xml:space="preserve">Air Wick Fresh Matic recharges                                                                      </t>
  </si>
  <si>
    <t xml:space="preserve">Lessive liquide spéciale                                                                            </t>
  </si>
  <si>
    <t xml:space="preserve">WIN COSMETIC GmbH &amp; Co. KG                                                      </t>
  </si>
  <si>
    <t xml:space="preserve">Airwick diffuseur recharge  19/24ml                                                                 </t>
  </si>
  <si>
    <t xml:space="preserve">Salvetat Eau gazeuse                                                                                </t>
  </si>
  <si>
    <t xml:space="preserve">Yoplait Perle de lait vanille                                                                       </t>
  </si>
  <si>
    <t xml:space="preserve">Yoplait Petits Filous pots panachés                                                                 </t>
  </si>
  <si>
    <t xml:space="preserve">FM Blanc de poulet doré au four                                                                     </t>
  </si>
  <si>
    <t xml:space="preserve">Mousline Purée de pommes de terre                                                                   </t>
  </si>
  <si>
    <t xml:space="preserve">FM Allumettes lardons VPF TSR                                                                       </t>
  </si>
  <si>
    <t xml:space="preserve">Sun Tout en 1 sort.                                                                                 </t>
  </si>
  <si>
    <t xml:space="preserve">CIF Crème à récurer standard                                                                        </t>
  </si>
  <si>
    <t xml:space="preserve">Ducros La Canelle moulue                                                                            </t>
  </si>
  <si>
    <t xml:space="preserve">Sacs poubelle 100 L                                                                                 </t>
  </si>
  <si>
    <t xml:space="preserve">ProHa Produktion +                                                              </t>
  </si>
  <si>
    <t xml:space="preserve">Nett surpuissant salle de bain                                                                      </t>
  </si>
  <si>
    <t xml:space="preserve">AVT Abfüll- und                                                                 </t>
  </si>
  <si>
    <t xml:space="preserve">Sel régénérant                                                                                      </t>
  </si>
  <si>
    <t xml:space="preserve">Südwestdeutsche Salzwerke AG                                                    </t>
  </si>
  <si>
    <t xml:space="preserve">Nettoyant ménager 1,5L                                                                              </t>
  </si>
  <si>
    <t xml:space="preserve">Désodorisant 3 sortes                                                                               </t>
  </si>
  <si>
    <t xml:space="preserve">TUC Classic                                                                                         </t>
  </si>
  <si>
    <t xml:space="preserve">Lingettes multiusages x 80                                                                          </t>
  </si>
  <si>
    <t xml:space="preserve">ALBAAD DEUTSCHLAND GmbH                                                         </t>
  </si>
  <si>
    <t xml:space="preserve">Signal dentifrice protection caries                                                                 </t>
  </si>
  <si>
    <t xml:space="preserve">Signal br. dents ultra performance                                                                  </t>
  </si>
  <si>
    <t xml:space="preserve">Liquide de rinçage                                                                                  </t>
  </si>
  <si>
    <t xml:space="preserve">Liquide vaisselle W5 conc. 3 sortes                                                                 </t>
  </si>
  <si>
    <t xml:space="preserve">Ultra Doux Après-shampooing                                                                         </t>
  </si>
  <si>
    <t xml:space="preserve">Sacs congel. moyens 3L 30µ X75                                                                      </t>
  </si>
  <si>
    <t xml:space="preserve">CeDo Folien und                                                                 </t>
  </si>
  <si>
    <t xml:space="preserve">Sacs poubelles 30LX40 - 25 Micro                                                                    </t>
  </si>
  <si>
    <t xml:space="preserve">Liquide vaisselle concentré 500ml                                                                   </t>
  </si>
  <si>
    <t xml:space="preserve">Destop Gel Express                                                                                  </t>
  </si>
  <si>
    <t xml:space="preserve">Fa Douche homme                                                                                     </t>
  </si>
  <si>
    <t xml:space="preserve">Fa Douche mixte                                                                                     </t>
  </si>
  <si>
    <t xml:space="preserve">Sacs poubelle poignées couli. 30L                                                                   </t>
  </si>
  <si>
    <t xml:space="preserve">Gel WC assorti                                                                                      </t>
  </si>
  <si>
    <t xml:space="preserve">Nestlé KitKat Chunky/Lion/Nuts                                                                      </t>
  </si>
  <si>
    <t xml:space="preserve">Eponges végétales sdb grattantes                                                                    </t>
  </si>
  <si>
    <t xml:space="preserve">Nicols International S. A.                                                      </t>
  </si>
  <si>
    <t xml:space="preserve">Eponges vegetales grattantes X4                                                                     </t>
  </si>
  <si>
    <t xml:space="preserve">LU Pim's orange                                                                                     </t>
  </si>
  <si>
    <t xml:space="preserve">Signal Brosse à dents pack famille                                                                  </t>
  </si>
  <si>
    <t xml:space="preserve">Deo Roller                                                                                          </t>
  </si>
  <si>
    <t xml:space="preserve">bellmira Cosmetic GmbH                                                          </t>
  </si>
  <si>
    <t xml:space="preserve">After shave assorti                                                                                 </t>
  </si>
  <si>
    <t xml:space="preserve">Mann &amp; Schröder GmbH                                                            </t>
  </si>
  <si>
    <t xml:space="preserve">Gel douche Cien                                                                                     </t>
  </si>
  <si>
    <t xml:space="preserve">Rasoir shave 20 plus                                                                                </t>
  </si>
  <si>
    <t xml:space="preserve">Feintechnik GmbH Eisfeld                                                        </t>
  </si>
  <si>
    <t xml:space="preserve">Brosse à dents enfants                                                                              </t>
  </si>
  <si>
    <t xml:space="preserve">Trisa AG                                                                        </t>
  </si>
  <si>
    <t xml:space="preserve">Shampooing doux assorti 500ml                                                                       </t>
  </si>
  <si>
    <t xml:space="preserve">Bordeaux Cour De Mandelotte AOP                                                                     </t>
  </si>
  <si>
    <t xml:space="preserve">Maison Ginestet S.A.                                                            </t>
  </si>
  <si>
    <t xml:space="preserve">Dentifrice assorti                                                                                  </t>
  </si>
  <si>
    <t xml:space="preserve">DENTAL-Kosmetik                                                                 </t>
  </si>
  <si>
    <t xml:space="preserve">Crème pour la peau assortie                                                                         </t>
  </si>
  <si>
    <t xml:space="preserve">Laque                                                                                               </t>
  </si>
  <si>
    <t xml:space="preserve">Brosse à dents professionelle                                                                       </t>
  </si>
  <si>
    <t xml:space="preserve">Graves Château Les Queyrats AOC                                                                     </t>
  </si>
  <si>
    <t xml:space="preserve">Vignobles Guignard Selection                                                    </t>
  </si>
  <si>
    <t xml:space="preserve">Bain de bouche assorti                                                                              </t>
  </si>
  <si>
    <t xml:space="preserve">Cosmolux Deutschland GmbH                                                       </t>
  </si>
  <si>
    <t xml:space="preserve">Axe gel douche                                                                                      </t>
  </si>
  <si>
    <t xml:space="preserve">Dentifrice sensitive/total care                                                                     </t>
  </si>
  <si>
    <t xml:space="preserve">Savons de toilette assortis                                                                         </t>
  </si>
  <si>
    <t xml:space="preserve">Kappus Seifen                                                                   </t>
  </si>
  <si>
    <t xml:space="preserve">Lingettes Démaquillantes/Nett.                                                                      </t>
  </si>
  <si>
    <t xml:space="preserve">Nice-Pak                                                                        </t>
  </si>
  <si>
    <t xml:space="preserve">Axe déodorant spray                                                                                 </t>
  </si>
  <si>
    <t xml:space="preserve">Serviettes hyg. Aloé Vera                                                                           </t>
  </si>
  <si>
    <t xml:space="preserve">Ontex Mayen GmbH                                                                </t>
  </si>
  <si>
    <t xml:space="preserve">Protège slips X32/45 Aloé/Avoc                                                                      </t>
  </si>
  <si>
    <t xml:space="preserve">HYSALMA Hygiene Sales                                                           </t>
  </si>
  <si>
    <t xml:space="preserve">Serviettes ultra Plus Aloé Véra&amp;Avo                                                                 </t>
  </si>
  <si>
    <t xml:space="preserve">Brosse à dents classique x2                                                                         </t>
  </si>
  <si>
    <t xml:space="preserve">Fructis shampooing                                                                                  </t>
  </si>
  <si>
    <t xml:space="preserve">Signal dentifrice integral white                                                                    </t>
  </si>
  <si>
    <t xml:space="preserve">Serviettes anatomiques extra                                                                        </t>
  </si>
  <si>
    <t xml:space="preserve">Curatex GmbH                                                                    </t>
  </si>
  <si>
    <t xml:space="preserve">Dop Shampooing                                                                                      </t>
  </si>
  <si>
    <t xml:space="preserve">Vivelle Dop gel en pot 4 sortes                                                                     </t>
  </si>
  <si>
    <t xml:space="preserve">Mixa Bébé shampooing                                                                                </t>
  </si>
  <si>
    <t xml:space="preserve">Ushuaia Deo spray 4 sortes                                                                          </t>
  </si>
  <si>
    <t xml:space="preserve">Narta Deodorant spray                                                                               </t>
  </si>
  <si>
    <t xml:space="preserve">Mixa Bébé lait de toilette                                                                          </t>
  </si>
  <si>
    <t xml:space="preserve">Always Ultra serviettes                                                                             </t>
  </si>
  <si>
    <t xml:space="preserve">Essuie tout 2 plis x 4 rouleaux                                                                     </t>
  </si>
  <si>
    <t xml:space="preserve">ESSITY France S.A.S.                                                            </t>
  </si>
  <si>
    <t xml:space="preserve">Mouchoirs papier 4 plis 18x10                                                                       </t>
  </si>
  <si>
    <t xml:space="preserve">Filtre à café No. 4, x100                                                                           </t>
  </si>
  <si>
    <t xml:space="preserve">Melitta Europa GmbH &amp; Co. KG                                                    </t>
  </si>
  <si>
    <t xml:space="preserve">3 plis papier toil. 8 U(200 FEUIL)                                                                  </t>
  </si>
  <si>
    <t xml:space="preserve">KARTOGROUP ESPANA S.L.                                                          </t>
  </si>
  <si>
    <t xml:space="preserve">Serv.pap.couleur 3 plis x30 assorti                                                                 </t>
  </si>
  <si>
    <t xml:space="preserve">WEPA France S.A.S                                                               </t>
  </si>
  <si>
    <t xml:space="preserve">Essuie tout multiusage                                                                              </t>
  </si>
  <si>
    <t xml:space="preserve">CARTIERE CARRARA S.p.A.                                                         </t>
  </si>
  <si>
    <t xml:space="preserve">4 plis papier toilette                                                                              </t>
  </si>
  <si>
    <t xml:space="preserve">Always protège slips                                                                                </t>
  </si>
  <si>
    <t xml:space="preserve">Gambas 30/40                                                                                        </t>
  </si>
  <si>
    <t xml:space="preserve">Gambastar, S.L.                                                                 </t>
  </si>
  <si>
    <t xml:space="preserve">Mouchoirs blancs 90 U 3 plis                                                                        </t>
  </si>
  <si>
    <t xml:space="preserve">Briquets électroniques x3                                                                           </t>
  </si>
  <si>
    <t xml:space="preserve">KM Zündholz International                                                       </t>
  </si>
  <si>
    <t xml:space="preserve">Piles LR6 super alcaline x8                                                                         </t>
  </si>
  <si>
    <t xml:space="preserve">Varta Consumer Batteries                                                        </t>
  </si>
  <si>
    <t xml:space="preserve">Piles LR03 super alcaline                                                                           </t>
  </si>
  <si>
    <t xml:space="preserve">LU Napolitain Classic                                                                               </t>
  </si>
  <si>
    <t xml:space="preserve">4 coupes au Marc de Champagne                                                                       </t>
  </si>
  <si>
    <t xml:space="preserve">XSurgelés           </t>
  </si>
  <si>
    <t xml:space="preserve">Erhard Pâtissier Glacier                                                        </t>
  </si>
  <si>
    <t xml:space="preserve">2 filets limande du Nord meunière                                                                   </t>
  </si>
  <si>
    <t xml:space="preserve">Gratin savoyard emmental de Savoie                                                                  </t>
  </si>
  <si>
    <t xml:space="preserve">Alpes Frais Production                                                          </t>
  </si>
  <si>
    <t xml:space="preserve">Saumon MSC en croûte petits légumes                                                                 </t>
  </si>
  <si>
    <t xml:space="preserve">Groupe Française de                                                             </t>
  </si>
  <si>
    <t xml:space="preserve">Pâté en croûte cocktail assorti                                                                     </t>
  </si>
  <si>
    <t xml:space="preserve">Boudins blancs truffe de la St Jean                                                                 </t>
  </si>
  <si>
    <t xml:space="preserve">Mir Liquide vaisselle citron/pomme                                                                  </t>
  </si>
  <si>
    <t xml:space="preserve">Pintade chaponnée Label Rouge                                                                       </t>
  </si>
  <si>
    <t xml:space="preserve">Feuilleté veau/caille                                                                               </t>
  </si>
  <si>
    <t xml:space="preserve">Oeufs de truite                                                                                     </t>
  </si>
  <si>
    <t xml:space="preserve">20 Mini Croque Monsieur                                                                             </t>
  </si>
  <si>
    <t xml:space="preserve">Mennen Déo Stick                                                                                    </t>
  </si>
  <si>
    <t xml:space="preserve">Lustucru Ravioli 4 fromages                                                                         </t>
  </si>
  <si>
    <t xml:space="preserve">Lu Pépito Pépites lot de trois                                                                      </t>
  </si>
  <si>
    <t xml:space="preserve">Fruit d'Or Pro Activ tartine                                                                        </t>
  </si>
  <si>
    <t xml:space="preserve">San Marco Pur Arabica 2x250g + 250g                                                                 </t>
  </si>
  <si>
    <t xml:space="preserve">Lutti Arlequin Original                                                                             </t>
  </si>
  <si>
    <t xml:space="preserve">Lutti S.A.S.                                                                    </t>
  </si>
  <si>
    <t xml:space="preserve">Pepsi Cola Max                                                                                      </t>
  </si>
  <si>
    <t xml:space="preserve">William Peel Blended Scotch                                                                         </t>
  </si>
  <si>
    <t xml:space="preserve">Marie Brizard Wine and                                                          </t>
  </si>
  <si>
    <t xml:space="preserve">Sobieski Vodka Pure Pologne                                                                         </t>
  </si>
  <si>
    <t xml:space="preserve">Gillette Fusion Lames                                                                               </t>
  </si>
  <si>
    <t xml:space="preserve">Maizena Fleur de Maïs                                                                               </t>
  </si>
  <si>
    <t xml:space="preserve">Yoplait Crème fraîche 30 % M.G.                                                                     </t>
  </si>
  <si>
    <t xml:space="preserve">Fruit d'Or Doux margarine                                                                           </t>
  </si>
  <si>
    <t xml:space="preserve">Amora Mayonnaise                                                                                    </t>
  </si>
  <si>
    <t xml:space="preserve">Magnum Amande x6                                                                                    </t>
  </si>
  <si>
    <t xml:space="preserve">Mennen Mousse à raser                                                                               </t>
  </si>
  <si>
    <t xml:space="preserve">Lipton Ice Tea pêche boîte                                                                          </t>
  </si>
  <si>
    <t xml:space="preserve">FM Jambon supérieur TSR BBC 4T                                                                      </t>
  </si>
  <si>
    <t xml:space="preserve">FM Filet de poulet doré 4T                                                                          </t>
  </si>
  <si>
    <t xml:space="preserve">Mars x5                                                                                             </t>
  </si>
  <si>
    <t xml:space="preserve">Mennen Gel à raser                                                                                  </t>
  </si>
  <si>
    <t xml:space="preserve">Snickers x5                                                                                         </t>
  </si>
  <si>
    <t xml:space="preserve">Kinder Schokobons                                                                                   </t>
  </si>
  <si>
    <t xml:space="preserve">PAQUETS TRACTS PUBLICITAIRES                                                                        </t>
  </si>
  <si>
    <t xml:space="preserve">Cacahuètes enrobées sucrées                                                                         </t>
  </si>
  <si>
    <t xml:space="preserve">Snack Connection B.V.                                                           </t>
  </si>
  <si>
    <t xml:space="preserve">DUMMY A NE PAS TOUCHER                                                                              </t>
  </si>
  <si>
    <t xml:space="preserve">Pintade PAC standard                                                                                </t>
  </si>
  <si>
    <t xml:space="preserve">Société d'Abattage de                                                           </t>
  </si>
  <si>
    <t xml:space="preserve">Raifort doux d'Alsace                                                                               </t>
  </si>
  <si>
    <t xml:space="preserve">Alélor S.A.S.                                                                   </t>
  </si>
  <si>
    <t xml:space="preserve">Tournedos de filet de dinde                                                                         </t>
  </si>
  <si>
    <t xml:space="preserve">Rôti de dinde farci morilles&amp;Armag.                                                                 </t>
  </si>
  <si>
    <t xml:space="preserve">Tartiflette Reblochon AOP                                                                           </t>
  </si>
  <si>
    <t xml:space="preserve">Taboulé au poulet                                                                                   </t>
  </si>
  <si>
    <t xml:space="preserve">Rôti de dinde farci aux marrons                                                                     </t>
  </si>
  <si>
    <t xml:space="preserve">Pintade farcie morilles Armagnac                                                                    </t>
  </si>
  <si>
    <t xml:space="preserve">Saucisson sec au sanglier                                                                           </t>
  </si>
  <si>
    <t xml:space="preserve">Bjorg lait d'amande sans sucre bio                                                                  </t>
  </si>
  <si>
    <t xml:space="preserve">BJORG ET COMPAGNIE S.A.S.                                                       </t>
  </si>
  <si>
    <t xml:space="preserve">Osso buco de dinde                                                                                  </t>
  </si>
  <si>
    <t xml:space="preserve">Biscuits salés au beurre fin                                                                        </t>
  </si>
  <si>
    <t xml:space="preserve">Van Doorn Bakkerijen B.V.                                                       </t>
  </si>
  <si>
    <t xml:space="preserve">Plateau fruits secs mélangés                                                                        </t>
  </si>
  <si>
    <t xml:space="preserve">Paupiettes de poulet x 4                                                                            </t>
  </si>
  <si>
    <t xml:space="preserve">Gousse vanille Bourbon                                                                              </t>
  </si>
  <si>
    <t xml:space="preserve">Eurovanille S.A.S.                                                              </t>
  </si>
  <si>
    <t xml:space="preserve">Terrines x6                                                                                         </t>
  </si>
  <si>
    <t xml:space="preserve">Jus de pomme gazéifié                                                                               </t>
  </si>
  <si>
    <t xml:space="preserve">Coopérative les Celliers                                                        </t>
  </si>
  <si>
    <t xml:space="preserve">Bjorg Flocons d'avoine bio                                                                          </t>
  </si>
  <si>
    <t xml:space="preserve">Blanquette de veau                                                                                  </t>
  </si>
  <si>
    <t xml:space="preserve">Chapon                                                                                              </t>
  </si>
  <si>
    <t xml:space="preserve">Canette farcie morilles Armagnac                                                                    </t>
  </si>
  <si>
    <t xml:space="preserve">Moelleux chocolat x2 coeur coulant                                                                  </t>
  </si>
  <si>
    <t xml:space="preserve">Traiteur de Paris S.A.S.U.                                                      </t>
  </si>
  <si>
    <t xml:space="preserve">Spécialité saucisson sec au jambon                                                                  </t>
  </si>
  <si>
    <t xml:space="preserve">Oeufs de caille x18                                                                                 </t>
  </si>
  <si>
    <t xml:space="preserve">Caillor la Caille des Landes                                                    </t>
  </si>
  <si>
    <t xml:space="preserve">Cèpes extra                                                                                         </t>
  </si>
  <si>
    <t xml:space="preserve">Sabarot Wassner S.A.                                                            </t>
  </si>
  <si>
    <t xml:space="preserve">Pains d'épices figues et noix                                                                       </t>
  </si>
  <si>
    <t xml:space="preserve">France Cake Tradition                                                           </t>
  </si>
  <si>
    <t xml:space="preserve">Pains d'épices figues raisins                                                                       </t>
  </si>
  <si>
    <t xml:space="preserve">Sauce aneth                                                                                         </t>
  </si>
  <si>
    <t xml:space="preserve">Confit de figues                                                                                    </t>
  </si>
  <si>
    <t xml:space="preserve">Lucien Georgelin S.A.R.L.                                                       </t>
  </si>
  <si>
    <t xml:space="preserve">Confit d'oignons                                                                                    </t>
  </si>
  <si>
    <t xml:space="preserve">Tarte aux petites gambas                                                                            </t>
  </si>
  <si>
    <t xml:space="preserve">Marie S.A.S.                                                                    </t>
  </si>
  <si>
    <t xml:space="preserve">Girolles (PNE: 185g)                                                                                </t>
  </si>
  <si>
    <t xml:space="preserve">Bjorg quinoa tomates olives bio                                                                     </t>
  </si>
  <si>
    <t xml:space="preserve">Mises en bouche saumon / amandes                                                                    </t>
  </si>
  <si>
    <t xml:space="preserve">Guyader Traiteur                                                                </t>
  </si>
  <si>
    <t xml:space="preserve">Mises en bouche rouget et poivrons                                                                  </t>
  </si>
  <si>
    <t xml:space="preserve">Mises en bouche St Jacques                                                                          </t>
  </si>
  <si>
    <t xml:space="preserve">Riz cantonais                                                                                       </t>
  </si>
  <si>
    <t xml:space="preserve">Rocamadour au lait cru AOP                                                                          </t>
  </si>
  <si>
    <t xml:space="preserve">Fromageries de l'Etoile                                                         </t>
  </si>
  <si>
    <t xml:space="preserve">Mini gratin assortis                                                                                </t>
  </si>
  <si>
    <t xml:space="preserve">Canelés de Bordeaux                                                                                 </t>
  </si>
  <si>
    <t xml:space="preserve">Hachés de porc savoyard                                                                             </t>
  </si>
  <si>
    <t xml:space="preserve">Fromage de chèvre frais                                                                             </t>
  </si>
  <si>
    <t xml:space="preserve">Fromagerie Guilloteau S.A.                                                      </t>
  </si>
  <si>
    <t xml:space="preserve">3 Boudins blancs aux cèpes                                                                          </t>
  </si>
  <si>
    <t xml:space="preserve">Crevettes cuites entières 60/80                                                                     </t>
  </si>
  <si>
    <t xml:space="preserve">Barre de nougat de Montélimar                                                                       </t>
  </si>
  <si>
    <t xml:space="preserve">Nougat Chabert et Guillot                                                       </t>
  </si>
  <si>
    <t xml:space="preserve">Calissons d'Aix                                                                                     </t>
  </si>
  <si>
    <t xml:space="preserve">Confiserie du Roy René S.A.                                                     </t>
  </si>
  <si>
    <t xml:space="preserve">Di'vin Mix Rosé pamplemousse BABV                                                                   </t>
  </si>
  <si>
    <t xml:space="preserve">NBRE PALETTES DUSSEL                                                                                </t>
  </si>
  <si>
    <t xml:space="preserve">NBRE PALETTES EUROPE                                                                                </t>
  </si>
  <si>
    <t xml:space="preserve">Crépinettes x 4                                                                                     </t>
  </si>
  <si>
    <t xml:space="preserve">Cooperl Arc Atlantique                                                          </t>
  </si>
  <si>
    <t xml:space="preserve">2 Magrets de canard en tournedos                                                                    </t>
  </si>
  <si>
    <t xml:space="preserve">Bulots cuits pasteurisés                                                                            </t>
  </si>
  <si>
    <t xml:space="preserve">Mer et Terroir S.A.R.L.                                                         </t>
  </si>
  <si>
    <t xml:space="preserve">Chapon fermier Label Rouge                                                                          </t>
  </si>
  <si>
    <t xml:space="preserve">Viande des grisons                                                                                  </t>
  </si>
  <si>
    <t xml:space="preserve">Cordon bleu de poulet                                                                               </t>
  </si>
  <si>
    <t xml:space="preserve">Curcuma                                                                                             </t>
  </si>
  <si>
    <t xml:space="preserve">Mosaïque S.A.R.L.                                                               </t>
  </si>
  <si>
    <t xml:space="preserve">Gingembre                                                                                           </t>
  </si>
  <si>
    <t xml:space="preserve">Arôme naturel vanille Bourb.                                                                        </t>
  </si>
  <si>
    <t xml:space="preserve">Bouchons du Quercy                                                                                  </t>
  </si>
  <si>
    <t xml:space="preserve">Sacla eliche tricolore bio                                                                          </t>
  </si>
  <si>
    <t xml:space="preserve">Sacla Italia S.A.S.U.                                                           </t>
  </si>
  <si>
    <t xml:space="preserve">Filet mignon Label Rouge(5604424)                                                                   </t>
  </si>
  <si>
    <t xml:space="preserve">Succès aux noix                                                                                     </t>
  </si>
  <si>
    <t xml:space="preserve">Tomates farcies x 4                                                                                 </t>
  </si>
  <si>
    <t xml:space="preserve">3 Boudins blancs aux morilles                                                                       </t>
  </si>
  <si>
    <t xml:space="preserve">Brochettes fromage frais et tomate                                                                  </t>
  </si>
  <si>
    <t xml:space="preserve">Brochettes de fromage frais saumon                                                                  </t>
  </si>
  <si>
    <t xml:space="preserve">Coquilles St-Jacques Baie St Brieuc                                                                 </t>
  </si>
  <si>
    <t xml:space="preserve">Aligot                                                                                              </t>
  </si>
  <si>
    <t xml:space="preserve">Union Fromagère                                                                 </t>
  </si>
  <si>
    <t xml:space="preserve">Sablés de l'Abbaye pur beurre                                                                       </t>
  </si>
  <si>
    <t xml:space="preserve">Biscuiterie de l'Abbaye                                                         </t>
  </si>
  <si>
    <t xml:space="preserve">Bière de garde la blonde de Ch'Nord                                                                 </t>
  </si>
  <si>
    <t xml:space="preserve">Knacks d'Alsace                                                                                     </t>
  </si>
  <si>
    <t xml:space="preserve">Crème de Munster                                                                                    </t>
  </si>
  <si>
    <t xml:space="preserve">Les Fromageries de Blâmont                                                      </t>
  </si>
  <si>
    <t xml:space="preserve">Tigex Sucette Color T2                                                                              </t>
  </si>
  <si>
    <t xml:space="preserve">ALLEGRE PUERICULTURE S.A.S.U                                                    </t>
  </si>
  <si>
    <t xml:space="preserve">Hollywood 2Fresh / Max Splash                                                                       </t>
  </si>
  <si>
    <t xml:space="preserve">Tigex Sucette Color T3                                                                              </t>
  </si>
  <si>
    <t xml:space="preserve">collecteur de vignettes                                                                             </t>
  </si>
  <si>
    <t xml:space="preserve">OWIM GmbH &amp; Co. KG                                                              </t>
  </si>
  <si>
    <t xml:space="preserve">Cadum Bébé eau nettoyante                                                                           </t>
  </si>
  <si>
    <t xml:space="preserve">Ritter Sport Nut Selection                                                                          </t>
  </si>
  <si>
    <t xml:space="preserve">Cadum Bébé Gel corps et cheveux                                                                     </t>
  </si>
  <si>
    <t xml:space="preserve">Mixa bébé crème change/hydra.                                                                       </t>
  </si>
  <si>
    <t xml:space="preserve">Panzani Sauce provençale                                                                            </t>
  </si>
  <si>
    <t xml:space="preserve">Mixa Soin des lèvres                                                                                </t>
  </si>
  <si>
    <t xml:space="preserve">Bjorg quinoa lentilles bio                                                                          </t>
  </si>
  <si>
    <t xml:space="preserve">FM Blanc de dinde fines tranches x6                                                                 </t>
  </si>
  <si>
    <t xml:space="preserve">Oreo Original                                                                                       </t>
  </si>
  <si>
    <t xml:space="preserve">Sensodyne Dentifrice Soin Quotidien                                                                 </t>
  </si>
  <si>
    <t xml:space="preserve">GlaxoSmithKline                                                                 </t>
  </si>
  <si>
    <t xml:space="preserve">Taft Power Gel                                                                                      </t>
  </si>
  <si>
    <t xml:space="preserve">Red Bull Energy Drink Regular x4                                                                    </t>
  </si>
  <si>
    <t xml:space="preserve">St Marc Lingettes maxi format x75                                                                   </t>
  </si>
  <si>
    <t xml:space="preserve">Carton écologistique                                                                                </t>
  </si>
  <si>
    <t xml:space="preserve">Nathan Livre Tchoupi                                                                                </t>
  </si>
  <si>
    <t xml:space="preserve">LDJ ÉDITION &amp; DIFFUSION                                                         </t>
  </si>
  <si>
    <t xml:space="preserve">Joker Pur Jus d'orange avec pulpe                                                                   </t>
  </si>
  <si>
    <t xml:space="preserve">Badoit Eau gazeuse                                                                                  </t>
  </si>
  <si>
    <t xml:space="preserve">Dr. Oetker Ristorante Royale                                                                        </t>
  </si>
  <si>
    <t xml:space="preserve">DR OETKER FRANCE SAS                                                            </t>
  </si>
  <si>
    <t xml:space="preserve">Grimbergen bière d'Abbaye 6,7%                                                                      </t>
  </si>
  <si>
    <t xml:space="preserve">Ariel Lessive liquide 33 dose                                                                       </t>
  </si>
  <si>
    <t xml:space="preserve">Lustucru Gnocchi à poêler                                                                           </t>
  </si>
  <si>
    <t xml:space="preserve">Elsève Masque                                                                                       </t>
  </si>
  <si>
    <t xml:space="preserve">St Agur Tranche / Crème                                                                             </t>
  </si>
  <si>
    <t xml:space="preserve">Dove Déodorant spray                                                                                </t>
  </si>
  <si>
    <t xml:space="preserve">Tampax Compak tampons avec app.                                                                     </t>
  </si>
  <si>
    <t xml:space="preserve">Ebly Blé tendre vrac                                                                                </t>
  </si>
  <si>
    <t xml:space="preserve">Danone Mousse Liègeoise                                                                             </t>
  </si>
  <si>
    <t xml:space="preserve">Kit Kat Mini x18                                                                                    </t>
  </si>
  <si>
    <t xml:space="preserve">Smarties Mini x18                                                                                   </t>
  </si>
  <si>
    <t xml:space="preserve">LU Pépito Choco pépites                                                                             </t>
  </si>
  <si>
    <t xml:space="preserve">Carambar Atomic                                                                                     </t>
  </si>
  <si>
    <t xml:space="preserve">Ducros Curcuma moulu                                                                                </t>
  </si>
  <si>
    <t xml:space="preserve">Ducros Echalote semoule                                                                             </t>
  </si>
  <si>
    <t xml:space="preserve">Vanish Oxi Action Poudre détachant                                                                  </t>
  </si>
  <si>
    <t xml:space="preserve">L'Or Intense Café moulu 100%Arabica                                                                 </t>
  </si>
  <si>
    <t xml:space="preserve">Mr Propre Nettoyant ménager                                                                         </t>
  </si>
  <si>
    <t xml:space="preserve">Tartare 10 portions                                                                                 </t>
  </si>
  <si>
    <t xml:space="preserve">Lays Chips barbecue                                                                                 </t>
  </si>
  <si>
    <t xml:space="preserve">Lustucru Gnocchi à poêler fromage                                                                   </t>
  </si>
  <si>
    <t xml:space="preserve">Lustucru Tortellini jambon cru                                                                      </t>
  </si>
  <si>
    <t xml:space="preserve">Père Dodu Cordon bleu de dinde                                                                      </t>
  </si>
  <si>
    <t xml:space="preserve">Galliance Elaborés S.A.                                                         </t>
  </si>
  <si>
    <t xml:space="preserve">JB Mini Bâton de Berger                                                                             </t>
  </si>
  <si>
    <t xml:space="preserve">Saucisse sèche droite aux noisettes                                                                 </t>
  </si>
  <si>
    <t xml:space="preserve">Saucisse de Morteau cuite IGP VPF                                                                   </t>
  </si>
  <si>
    <t xml:space="preserve">Vinaigre balsamique                                                                                 </t>
  </si>
  <si>
    <t xml:space="preserve">Acetifici Italiani Modena                                                       </t>
  </si>
  <si>
    <t xml:space="preserve">Jambon de Parme en tranches                                                                         </t>
  </si>
  <si>
    <t xml:space="preserve">Trebon s.r.l.                                                                   </t>
  </si>
  <si>
    <t xml:space="preserve">Saucisses fumées x 10                                                                               </t>
  </si>
  <si>
    <t xml:space="preserve">Choucroute Royale                                                                                   </t>
  </si>
  <si>
    <t xml:space="preserve">Huile de tournesol 3l-PET                                                                           </t>
  </si>
  <si>
    <t xml:space="preserve">Palette à la Diable                                                                                 </t>
  </si>
  <si>
    <t xml:space="preserve">Iller Alsacienne de                                                             </t>
  </si>
  <si>
    <t xml:space="preserve">Filet de dinde entier                                                                               </t>
  </si>
  <si>
    <t xml:space="preserve">Heidemark GmbH                                                                  </t>
  </si>
  <si>
    <t xml:space="preserve">Blanc de dinde/poulet rôti                                                                          </t>
  </si>
  <si>
    <t xml:space="preserve">XXL Jambon / Poitrine de dinde                                                                      </t>
  </si>
  <si>
    <t xml:space="preserve">H. Kemper GmbH &amp; Co. KG                                                         </t>
  </si>
  <si>
    <t xml:space="preserve">Paëlla Royale                                                                                       </t>
  </si>
  <si>
    <t xml:space="preserve">PAPRIKA 50G                                                                                         </t>
  </si>
  <si>
    <t xml:space="preserve">Mélange légumes vapeurs microondes                                                                  </t>
  </si>
  <si>
    <t xml:space="preserve">Crop's Vegetables NV                                                            </t>
  </si>
  <si>
    <t xml:space="preserve">Filets de poulet panés sauce épicée                                                                 </t>
  </si>
  <si>
    <t xml:space="preserve">Plukon Vertriebs GmbH                                                           </t>
  </si>
  <si>
    <t xml:space="preserve">Herbes de provence                                                                                  </t>
  </si>
  <si>
    <t xml:space="preserve">Oignons grillés                                                                                     </t>
  </si>
  <si>
    <t xml:space="preserve">Kley. Arlon FA      </t>
  </si>
  <si>
    <t xml:space="preserve">Top Taste B.V.                                                                  </t>
  </si>
  <si>
    <t xml:space="preserve">Beignets d'oignons                                                                                  </t>
  </si>
  <si>
    <t xml:space="preserve">Le Duc Fine Food B.V                                                            </t>
  </si>
  <si>
    <t xml:space="preserve">Préparation pour pancakes                                                                           </t>
  </si>
  <si>
    <t xml:space="preserve">Kley. Algolsheim FA </t>
  </si>
  <si>
    <t xml:space="preserve">Flechtorfer Mühle, Walter                                                       </t>
  </si>
  <si>
    <t xml:space="preserve">Canneberges sucrées séchées                                                                         </t>
  </si>
  <si>
    <t xml:space="preserve">Noix de pécan                                                                                       </t>
  </si>
  <si>
    <t xml:space="preserve">Noix de cajou                                                                                       </t>
  </si>
  <si>
    <t xml:space="preserve">Gaufrettes carrées noisettes choc.                                                                  </t>
  </si>
  <si>
    <t xml:space="preserve">Gel nettoyant pour canalisation                                                                     </t>
  </si>
  <si>
    <t xml:space="preserve">Cruspies paprika                                                                                    </t>
  </si>
  <si>
    <t xml:space="preserve">Pittjes                                                                         </t>
  </si>
  <si>
    <t xml:space="preserve">Cacahuètes grillées et salées                                                                       </t>
  </si>
  <si>
    <t xml:space="preserve">Tequila Silver 38% vol.                                                                             </t>
  </si>
  <si>
    <t xml:space="preserve">Mini biscuits assortis                                                                              </t>
  </si>
  <si>
    <t xml:space="preserve">Papier cuisson 30 feuilles                                                                          </t>
  </si>
  <si>
    <t xml:space="preserve">Metsä Tissue GmbH                                                               </t>
  </si>
  <si>
    <t xml:space="preserve">Pétales de blé choco                                                                                </t>
  </si>
  <si>
    <t xml:space="preserve">Lessive concentrée 28 lavages ass.                                                                  </t>
  </si>
  <si>
    <t xml:space="preserve">Galettes de riz Bio choco 3 sortes                                                                  </t>
  </si>
  <si>
    <t xml:space="preserve">Sanorice Italia S.R.L.                                                          </t>
  </si>
  <si>
    <t xml:space="preserve">Mini mozzarella                                                                                     </t>
  </si>
  <si>
    <t xml:space="preserve">Goldsteig Kaesereien                                                            </t>
  </si>
  <si>
    <t xml:space="preserve">Croquettes 10 kg chien                                                                              </t>
  </si>
  <si>
    <t xml:space="preserve">Partner in Pet Food NL B.V.                                                     </t>
  </si>
  <si>
    <t xml:space="preserve">Riz micro-ondable                                                                                   </t>
  </si>
  <si>
    <t xml:space="preserve">Van Sillevoldt Rijst B. V.                                                      </t>
  </si>
  <si>
    <t xml:space="preserve">Fruits de mer en chocolat                                                                           </t>
  </si>
  <si>
    <t xml:space="preserve">Chocolaterie Guylian NV                                                         </t>
  </si>
  <si>
    <t xml:space="preserve">Mouchoirs blanc 2 plis                                                                              </t>
  </si>
  <si>
    <t xml:space="preserve">Flocons d'avoine complets                                                                           </t>
  </si>
  <si>
    <t xml:space="preserve">Fortin Mühlenwerke                                                              </t>
  </si>
  <si>
    <t xml:space="preserve">Raclette en tranches                                                                                </t>
  </si>
  <si>
    <t xml:space="preserve">Compote de pomme Bio                                                                                </t>
  </si>
  <si>
    <t xml:space="preserve">ODW Lebensmittel GmbH                                                           </t>
  </si>
  <si>
    <t xml:space="preserve">Mélange de bonbons aux fruits                                                                       </t>
  </si>
  <si>
    <t xml:space="preserve">Mousse fondante sur lit de fruit                                                                    </t>
  </si>
  <si>
    <t xml:space="preserve">Milchfrisch Vertriebs-GmbH                                                      </t>
  </si>
  <si>
    <t xml:space="preserve">Bac crème glacée vani./caramel/rhum                                                                 </t>
  </si>
  <si>
    <t xml:space="preserve">Sucre vanilliné                                                                                     </t>
  </si>
  <si>
    <t xml:space="preserve">Galettes de pain rondes                                                                             </t>
  </si>
  <si>
    <t xml:space="preserve">COMMERCIALE EUROPA S. R. L.                                                     </t>
  </si>
  <si>
    <t xml:space="preserve">Cantuccini                                                                                          </t>
  </si>
  <si>
    <t xml:space="preserve">Asolo Dolce S.p.A.                                                              </t>
  </si>
  <si>
    <t xml:space="preserve">Spaghetti Tricolore                                                                                 </t>
  </si>
  <si>
    <t xml:space="preserve">Noix du Brésil                                                                                      </t>
  </si>
  <si>
    <t xml:space="preserve">Préparation pour risotto                                                                            </t>
  </si>
  <si>
    <t xml:space="preserve">Huile d'olive vierge extra Italie                                                                   </t>
  </si>
  <si>
    <t xml:space="preserve">FIORENTINI FIRENZE S.p.A.                                                       </t>
  </si>
  <si>
    <t xml:space="preserve">Tranches de pain à Bruschetta                                                                       </t>
  </si>
  <si>
    <t xml:space="preserve">Morato Pane S.p.a.                                                              </t>
  </si>
  <si>
    <t xml:space="preserve">Choco'Nours fourrés lait-noisette                                                                   </t>
  </si>
  <si>
    <t xml:space="preserve">Rübezahl Schokoladen GmbH                                                       </t>
  </si>
  <si>
    <t xml:space="preserve">Pâte à tartiner 13% noisettes                                                                       </t>
  </si>
  <si>
    <t xml:space="preserve">Wilhelm Reuss GmbH &amp; Co. KG                                                     </t>
  </si>
  <si>
    <t xml:space="preserve">Biscuits suisses                                                                                    </t>
  </si>
  <si>
    <t xml:space="preserve">Midor AG                                                                        </t>
  </si>
  <si>
    <t xml:space="preserve">Muesli croust. choc./noix de pecan                                                                  </t>
  </si>
  <si>
    <t xml:space="preserve">Mulder Natural Foods N. V.                                                      </t>
  </si>
  <si>
    <t xml:space="preserve">Mozzarella classic                                                                                  </t>
  </si>
  <si>
    <t xml:space="preserve">Zott SE &amp; Co. KG                                                                </t>
  </si>
  <si>
    <t xml:space="preserve">Pain de Mozzarella                                                                                  </t>
  </si>
  <si>
    <t xml:space="preserve">Milchwerk Jäger GmbH                                                            </t>
  </si>
  <si>
    <t xml:space="preserve">Maasdam en tranches                                                                                 </t>
  </si>
  <si>
    <t xml:space="preserve">FrieslandCampina Cheese GmbH                                                    </t>
  </si>
  <si>
    <t xml:space="preserve">Gouda jeune en tranches                                                                             </t>
  </si>
  <si>
    <t xml:space="preserve">DMK                                                                             </t>
  </si>
  <si>
    <t xml:space="preserve">Cerneaux de noix                                                                                    </t>
  </si>
  <si>
    <t xml:space="preserve">Chips craquantes salées                                                                             </t>
  </si>
  <si>
    <t xml:space="preserve">Agrarfrost GmbH &amp; Co. KG                                                        </t>
  </si>
  <si>
    <t xml:space="preserve">Pointe de Brie                                                                                      </t>
  </si>
  <si>
    <t xml:space="preserve">Côtes de Provence Domaines rosé AOC                                                                 </t>
  </si>
  <si>
    <t xml:space="preserve">Yaourt Bio assort. fruits rouges                                                                    </t>
  </si>
  <si>
    <t xml:space="preserve">Molkerei Gropper                                                                </t>
  </si>
  <si>
    <t xml:space="preserve">Mini mix classic                                                                                    </t>
  </si>
  <si>
    <t xml:space="preserve">Montepulciano d'Abruzzo DOC                                                                         </t>
  </si>
  <si>
    <t xml:space="preserve">Enoitalia S.p.A.                                                                </t>
  </si>
  <si>
    <t xml:space="preserve">Crème dessert caramel                                                                               </t>
  </si>
  <si>
    <t xml:space="preserve">NOVANDIE S.N.C.                                                                 </t>
  </si>
  <si>
    <t xml:space="preserve">Pays de l'Aude rouge IGP                                                                            </t>
  </si>
  <si>
    <t xml:space="preserve">Miel de fleurs                                                                                      </t>
  </si>
  <si>
    <t xml:space="preserve">Thon Albacore au naturel x3                                                                         </t>
  </si>
  <si>
    <t xml:space="preserve">Conservas Selectas de                                                           </t>
  </si>
  <si>
    <t xml:space="preserve">Sardines huile tournesol (PNE 90 g)                                                                 </t>
  </si>
  <si>
    <t xml:space="preserve"> Baguette céréales rustique                                                                         </t>
  </si>
  <si>
    <t xml:space="preserve">Boulangerie Neuhauser                                                           </t>
  </si>
  <si>
    <t xml:space="preserve"> Baguette 250g                                                                                      </t>
  </si>
  <si>
    <t xml:space="preserve">Herbes aromatiques pour salade                                                                      </t>
  </si>
  <si>
    <t xml:space="preserve">1 plus-Produkte                                                                 </t>
  </si>
  <si>
    <t xml:space="preserve">Choc.noir dég.pistache/fleur de sel                                                                 </t>
  </si>
  <si>
    <t xml:space="preserve">Camembert de caractère                                                                              </t>
  </si>
  <si>
    <t xml:space="preserve">Flips cacahuètes                                                                                    </t>
  </si>
  <si>
    <t xml:space="preserve">Flips au fromage                                                                                    </t>
  </si>
  <si>
    <t xml:space="preserve">Pur jus d'ananas                                                                                    </t>
  </si>
  <si>
    <t xml:space="preserve">Jus de pomme                                                                                        </t>
  </si>
  <si>
    <t xml:space="preserve">Jus multivitaminé 100 %                                                                             </t>
  </si>
  <si>
    <t xml:space="preserve">Noisettes en poudre                                                                                 </t>
  </si>
  <si>
    <t xml:space="preserve">Märsch Importhandels- GmbH                                                      </t>
  </si>
  <si>
    <t xml:space="preserve">Noix de coco râpée                                                                                  </t>
  </si>
  <si>
    <t xml:space="preserve">August Toepfer &amp; Co.                                                            </t>
  </si>
  <si>
    <t xml:space="preserve">Noisettes décortiquées                                                                              </t>
  </si>
  <si>
    <t xml:space="preserve">Amandes en poudre                                                                                   </t>
  </si>
  <si>
    <t xml:space="preserve">Thon à l'huile de tournesol PNE140g                                                                 </t>
  </si>
  <si>
    <t xml:space="preserve">Thon au naturel 195g  PNE 150g                                                                      </t>
  </si>
  <si>
    <t xml:space="preserve">Crème dessert vanille                                                                               </t>
  </si>
  <si>
    <t xml:space="preserve">Crème dessert chocolat                                                                              </t>
  </si>
  <si>
    <t xml:space="preserve">Aiguillettes de poulet                                                                              </t>
  </si>
  <si>
    <t xml:space="preserve"> Fruits rouges                                                                                      </t>
  </si>
  <si>
    <t xml:space="preserve">I. Schroeder KG (GmbH &amp; Co.)                                                    </t>
  </si>
  <si>
    <t xml:space="preserve">Marmelade orange                                                                                    </t>
  </si>
  <si>
    <t xml:space="preserve">Tomates pelées 400g / PNE 240g                                                                      </t>
  </si>
  <si>
    <t xml:space="preserve">Asperges vertes                                                                                     </t>
  </si>
  <si>
    <t xml:space="preserve">Cornichons extra fins PNE: 360g                                                                     </t>
  </si>
  <si>
    <t xml:space="preserve">Mamminger Konserven GmbH &amp;                                                      </t>
  </si>
  <si>
    <t xml:space="preserve">Vin d'Espagne Rosé                                                                                  </t>
  </si>
  <si>
    <t xml:space="preserve">Tarragona DO Gran Reserva                                                                           </t>
  </si>
  <si>
    <t xml:space="preserve">Reserva de la Tierra, S.L.                                                      </t>
  </si>
  <si>
    <t xml:space="preserve">Petits suisses nature 10,4%                                                                         </t>
  </si>
  <si>
    <t xml:space="preserve">Feta grecque                                                                                        </t>
  </si>
  <si>
    <t xml:space="preserve">HELLENIC DAIRIES S.A.                                                           </t>
  </si>
  <si>
    <t xml:space="preserve">Nettoyant salle de bain                                                                             </t>
  </si>
  <si>
    <t xml:space="preserve">Nettoyant vitres                                                                                    </t>
  </si>
  <si>
    <t xml:space="preserve">Ananas morc. au sirop léger PNE340g                                                                 </t>
  </si>
  <si>
    <t xml:space="preserve">Papier toilette recyclé 8x200 feuil                                                                 </t>
  </si>
  <si>
    <t xml:space="preserve">LUCART SAS                                                                      </t>
  </si>
  <si>
    <t xml:space="preserve">Raisins secs                                                                                        </t>
  </si>
  <si>
    <t xml:space="preserve">Heinrich Brüning GmbH                                                           </t>
  </si>
  <si>
    <t xml:space="preserve">Amandes entières                                                                                    </t>
  </si>
  <si>
    <t xml:space="preserve">Filet de colin d'Alaska MSC PNE950g                                                                 </t>
  </si>
  <si>
    <t xml:space="preserve">Frites au four                                                                                      </t>
  </si>
  <si>
    <t xml:space="preserve">Confiture extra d'abricots                                                                          </t>
  </si>
  <si>
    <t xml:space="preserve">Confiture extra de griottes                                                                         </t>
  </si>
  <si>
    <t xml:space="preserve">Confiture extra de framboises                                                                       </t>
  </si>
  <si>
    <t xml:space="preserve">Confiture 4 fruits                                                                                  </t>
  </si>
  <si>
    <t xml:space="preserve">Cônes multipack x 8                                                                                 </t>
  </si>
  <si>
    <t xml:space="preserve">Saumon fumé                                                                                         </t>
  </si>
  <si>
    <t xml:space="preserve">Champignons émincés 1er chx.PNE230g                                                                 </t>
  </si>
  <si>
    <t xml:space="preserve">Adoucissant concentré 30 lavages                                                                    </t>
  </si>
  <si>
    <t xml:space="preserve">Cacahuètes enrobées chocolat                                                                        </t>
  </si>
  <si>
    <t xml:space="preserve">Piasten GmbH                                                                    </t>
  </si>
  <si>
    <t xml:space="preserve">Chardonnay colombard AFS [2016]                                                                     </t>
  </si>
  <si>
    <t xml:space="preserve">Tampons périodiques assortis                                                                        </t>
  </si>
  <si>
    <t xml:space="preserve">Essuie-tout 3 plis                                                                                  </t>
  </si>
  <si>
    <t xml:space="preserve">Poivre noir moulu                                                                                   </t>
  </si>
  <si>
    <t xml:space="preserve">CURRY                                                                                               </t>
  </si>
  <si>
    <t xml:space="preserve">Thym                                                                                                </t>
  </si>
  <si>
    <t xml:space="preserve">Bouillon de boeuf                                                                                   </t>
  </si>
  <si>
    <t xml:space="preserve">Hügli Nahrungsmittel GmbH                                                       </t>
  </si>
  <si>
    <t xml:space="preserve">Bouillon de légumes                                                                                 </t>
  </si>
  <si>
    <t xml:space="preserve">Litière agglomérante parfumée                                                                       </t>
  </si>
  <si>
    <t xml:space="preserve">Sivomatic B. V.                                                                 </t>
  </si>
  <si>
    <t xml:space="preserve">Tagliatelles                                                                                        </t>
  </si>
  <si>
    <t xml:space="preserve">Jus multivitaminé 12 fruits ABC                                                                     </t>
  </si>
  <si>
    <t xml:space="preserve">Carrés chocolat/lait                                                                                </t>
  </si>
  <si>
    <t xml:space="preserve">Sticks friandise pour chat                                                                          </t>
  </si>
  <si>
    <t xml:space="preserve">Tiernahrung Deuerer GmbH                                                        </t>
  </si>
  <si>
    <t xml:space="preserve">Maïs doux PNE: 140gx3                                                                               </t>
  </si>
  <si>
    <t xml:space="preserve">Smoothie                                                                                            </t>
  </si>
  <si>
    <t xml:space="preserve">Allume feu x 32                                                                                     </t>
  </si>
  <si>
    <t xml:space="preserve">Boomex Produktions- und                                                         </t>
  </si>
  <si>
    <t xml:space="preserve">Mozzarella râpée                                                                                    </t>
  </si>
  <si>
    <t xml:space="preserve">Th. Vergeer en Zonen B.V.                                                       </t>
  </si>
  <si>
    <t xml:space="preserve">Sauces tomate bio assorties                                                                         </t>
  </si>
  <si>
    <t xml:space="preserve">Burkhardt Feinkostwerke GmbH                                                    </t>
  </si>
  <si>
    <t xml:space="preserve">Litiere chat 10kg                                                                                   </t>
  </si>
  <si>
    <t xml:space="preserve">Damolin Etrechy S.A.                                                            </t>
  </si>
  <si>
    <t xml:space="preserve">Désodorisant pour lave-vaisselle                                                                    </t>
  </si>
  <si>
    <t xml:space="preserve">SWIF GmbH                                                                       </t>
  </si>
  <si>
    <t xml:space="preserve">Party Chips paprika                                                                                 </t>
  </si>
  <si>
    <t xml:space="preserve">Fine chapelure de pain                                                                              </t>
  </si>
  <si>
    <t xml:space="preserve">Leimer KG                                                                       </t>
  </si>
  <si>
    <t xml:space="preserve">Fromage râpé fondant                                                                                </t>
  </si>
  <si>
    <t xml:space="preserve">Milchwerke Oberfranken                                                          </t>
  </si>
  <si>
    <t xml:space="preserve">Riz à risotto                                                                                       </t>
  </si>
  <si>
    <t xml:space="preserve">Sirop de citron                                                                                     </t>
  </si>
  <si>
    <t xml:space="preserve">Tortilla Wraps XXL                                                                                  </t>
  </si>
  <si>
    <t xml:space="preserve">Haricots verts E.F. bocal PNE 280g                                                                  </t>
  </si>
  <si>
    <t xml:space="preserve">Beaujolais Villages AOP                                                                             </t>
  </si>
  <si>
    <t xml:space="preserve">Infusions pyramides                                                                                 </t>
  </si>
  <si>
    <t xml:space="preserve">Thüringer Kräuterhof Gera                                                       </t>
  </si>
  <si>
    <t xml:space="preserve">Sapin Nordman 1er choix                                                                             </t>
  </si>
  <si>
    <t xml:space="preserve">Muscadet Sèvre&amp;Maine sur lie                                                                        </t>
  </si>
  <si>
    <t xml:space="preserve">Joseph Verdier S.A.                                                             </t>
  </si>
  <si>
    <t xml:space="preserve">Petits pois/carottes PNE 445/425g                                                                   </t>
  </si>
  <si>
    <t xml:space="preserve">Petits pois/pois car. PNE:130gx3                                                                    </t>
  </si>
  <si>
    <t xml:space="preserve">Bonbons pour la gorge assortis                                                                      </t>
  </si>
  <si>
    <t xml:space="preserve">Duo twists aromatisés                                                                               </t>
  </si>
  <si>
    <t xml:space="preserve">Biscuit nappé caramel                                                                               </t>
  </si>
  <si>
    <t xml:space="preserve">NATRA CHOCOLATE                                                                 </t>
  </si>
  <si>
    <t xml:space="preserve">Rasoir jetable pour homme                                                                           </t>
  </si>
  <si>
    <t xml:space="preserve">Rhum ambré traditionnel 40% vol.                                                                    </t>
  </si>
  <si>
    <t xml:space="preserve">FOSA Système mise sous vide 3 boite                                                                 </t>
  </si>
  <si>
    <t xml:space="preserve">ICD BRAND                                                                       </t>
  </si>
  <si>
    <t xml:space="preserve">Toasts ronds Nature                                                                                 </t>
  </si>
  <si>
    <t xml:space="preserve">Spécialité de fruits                                                                                </t>
  </si>
  <si>
    <t xml:space="preserve">Huile végétale spéciale friture XXL                                                                 </t>
  </si>
  <si>
    <t xml:space="preserve">Crème Brûlée                                                                                        </t>
  </si>
  <si>
    <t xml:space="preserve">Brioche tressée                                                                                     </t>
  </si>
  <si>
    <t xml:space="preserve">Ananas en tranches sir. lég.PNE340g                                                                 </t>
  </si>
  <si>
    <t xml:space="preserve">Crème de jour Q10                                                                                   </t>
  </si>
  <si>
    <t xml:space="preserve">Crème de nuit Q10                                                                                   </t>
  </si>
  <si>
    <t xml:space="preserve">Crème soin visage                                                                                   </t>
  </si>
  <si>
    <t xml:space="preserve">Petit pain bretzel                                                                                  </t>
  </si>
  <si>
    <t xml:space="preserve">ARYZTA Bakeries Deutschland                                                     </t>
  </si>
  <si>
    <t xml:space="preserve">Gouda en tranches XXL                                                                               </t>
  </si>
  <si>
    <t xml:space="preserve">Boisson lactée chocolatée                                                                           </t>
  </si>
  <si>
    <t xml:space="preserve">FrieslandCampina Belgium                                                        </t>
  </si>
  <si>
    <t xml:space="preserve">Biscottes 100 tranches                                                                              </t>
  </si>
  <si>
    <t xml:space="preserve">Lait de croissance                                                                                  </t>
  </si>
  <si>
    <t xml:space="preserve">Materna Operations S.A.S.                                                       </t>
  </si>
  <si>
    <t xml:space="preserve">Bulbes de fleurs standard                                                                           </t>
  </si>
  <si>
    <t xml:space="preserve">Roozen GmbH &amp; Co. KG                                                            </t>
  </si>
  <si>
    <t xml:space="preserve">XXL Papier toilette 3 plis                                                                          </t>
  </si>
  <si>
    <t xml:space="preserve">Pizza américaineHawaï/Suprême                                                                       </t>
  </si>
  <si>
    <t xml:space="preserve">Tonic                                                                                               </t>
  </si>
  <si>
    <t xml:space="preserve">Mitteldeutsche                                                                  </t>
  </si>
  <si>
    <t xml:space="preserve"> Petit pain special au fromage                                                                      </t>
  </si>
  <si>
    <t xml:space="preserve">Harry-Brot GmbH                                                                 </t>
  </si>
  <si>
    <t xml:space="preserve">Bière aromatisée à la Tequila 5,9%                                                                  </t>
  </si>
  <si>
    <t xml:space="preserve">BRASSERIE LICORNE SAS                                                           </t>
  </si>
  <si>
    <t xml:space="preserve">Confiture bio assorties                                                                             </t>
  </si>
  <si>
    <t xml:space="preserve">Yum Yum Nouilles instantanées ass.                                                                  </t>
  </si>
  <si>
    <t xml:space="preserve">Heuschen &amp; Schrouff Oriental                                                    </t>
  </si>
  <si>
    <t xml:space="preserve">Croquettes chien adulte/light                                                                       </t>
  </si>
  <si>
    <t xml:space="preserve">Essuie-tout                                                                                         </t>
  </si>
  <si>
    <t xml:space="preserve">Champ. 1er choix ent. PNE 3 x 115 g                                                                 </t>
  </si>
  <si>
    <t xml:space="preserve">Fines escalopes de poulet paprika                                                                   </t>
  </si>
  <si>
    <t xml:space="preserve">Vin de Pays d'Oc Gris                                                                               </t>
  </si>
  <si>
    <t xml:space="preserve">XXL Brosse à dents                                                                                  </t>
  </si>
  <si>
    <t xml:space="preserve">Cônes x 6                                                                                           </t>
  </si>
  <si>
    <t xml:space="preserve">XXL Rasoir +5 lames gratuites                                                                       </t>
  </si>
  <si>
    <t xml:space="preserve">Sacs poubelle 120 L x 20                                                                            </t>
  </si>
  <si>
    <t xml:space="preserve">Emmental français râpé 3x70g                                                                        </t>
  </si>
  <si>
    <t xml:space="preserve">Entremont Alliance S.A.S.                                                       </t>
  </si>
  <si>
    <t xml:space="preserve">Anthurium 17cm                                                                                      </t>
  </si>
  <si>
    <t xml:space="preserve">VAN DIJK FLORA BV                                                               </t>
  </si>
  <si>
    <t xml:space="preserve">Hellebore                                                                                           </t>
  </si>
  <si>
    <t xml:space="preserve">Jacinthe en corbeille                                                                               </t>
  </si>
  <si>
    <t xml:space="preserve">Jacinthe en pot céramique                                                                           </t>
  </si>
  <si>
    <t xml:space="preserve">Coupe de jacinthes céramique                                                                        </t>
  </si>
  <si>
    <t xml:space="preserve">Petit sapin lumineux, en vase                                                                       </t>
  </si>
  <si>
    <t xml:space="preserve">Plantes fleuries en pot Noël                                                                        </t>
  </si>
  <si>
    <t xml:space="preserve">Centre table / Plante de Noël                                                                       </t>
  </si>
  <si>
    <t xml:space="preserve">Sapin enneigé                                                                                       </t>
  </si>
  <si>
    <t xml:space="preserve">Philalhe S.A.S.                                                                 </t>
  </si>
  <si>
    <t xml:space="preserve">Plante fleurie nouvel an                                                                            </t>
  </si>
  <si>
    <t xml:space="preserve">XXL Boisson au yaourt                                                                               </t>
  </si>
  <si>
    <t xml:space="preserve">Biscuits sablés amandes/coco/vanill                                                                 </t>
  </si>
  <si>
    <t xml:space="preserve">XXL Riz basmati                                                                                     </t>
  </si>
  <si>
    <t xml:space="preserve">XXL Filets de hareng sauce tomate                                                                   </t>
  </si>
  <si>
    <t xml:space="preserve">Appel Feinkost                                                                  </t>
  </si>
  <si>
    <t xml:space="preserve">XXL bouchées chat sachet                                                                            </t>
  </si>
  <si>
    <t xml:space="preserve">Sticks friandise pour chien                                                                         </t>
  </si>
  <si>
    <t xml:space="preserve">Mimolette jeune                                                                                     </t>
  </si>
  <si>
    <t xml:space="preserve">XXL Mini chinois fourrés crème                                                                      </t>
  </si>
  <si>
    <t xml:space="preserve">Bonbons à la crème                                                                                  </t>
  </si>
  <si>
    <t xml:space="preserve"> Escargots aux raisins                                                                              </t>
  </si>
  <si>
    <t xml:space="preserve">Bulbes de fleurs en pot                                                                             </t>
  </si>
  <si>
    <t xml:space="preserve">Kalanchoe en coupe XXL                                                                              </t>
  </si>
  <si>
    <t xml:space="preserve">Calathea crocata                                                                                    </t>
  </si>
  <si>
    <t xml:space="preserve">Anthurium                                                                                           </t>
  </si>
  <si>
    <t xml:space="preserve">Plantes fleuries en pot déco                                                                        </t>
  </si>
  <si>
    <t xml:space="preserve">Rosier ou Kalanchoé                                                                                 </t>
  </si>
  <si>
    <t xml:space="preserve">Mini rosier                                                                                         </t>
  </si>
  <si>
    <t xml:space="preserve">Boisson au café                                                                                     </t>
  </si>
  <si>
    <t xml:space="preserve">Noix de cajou grillées salées VRAC                                                                  </t>
  </si>
  <si>
    <t xml:space="preserve">Snack 4 Friends                                                                                     </t>
  </si>
  <si>
    <t xml:space="preserve">Europe Snacks S.A.S.U.                                                          </t>
  </si>
  <si>
    <t xml:space="preserve">Choco Rings / Céréales Cookies                                                                      </t>
  </si>
  <si>
    <t xml:space="preserve">Le moelleux                                                                                         </t>
  </si>
  <si>
    <t xml:space="preserve">Chipita Germany GmbH                                                            </t>
  </si>
  <si>
    <t xml:space="preserve">Pizza américaine salami/fromage                                                                     </t>
  </si>
  <si>
    <t xml:space="preserve">Bouquet Seduction                                                                                   </t>
  </si>
  <si>
    <t xml:space="preserve">Flower Direct                                                                   </t>
  </si>
  <si>
    <t xml:space="preserve">Savon liquide pour les mains                                                                        </t>
  </si>
  <si>
    <t xml:space="preserve">Pop-corn caramélisé                                                                                 </t>
  </si>
  <si>
    <t xml:space="preserve">Lingettes nettoyantes optiques                                                                      </t>
  </si>
  <si>
    <t xml:space="preserve">Victor                                                                          </t>
  </si>
  <si>
    <t xml:space="preserve">Mélange 4 huiles                                                                                    </t>
  </si>
  <si>
    <t xml:space="preserve">Rustichips pap/salé/oignon                                                                          </t>
  </si>
  <si>
    <t xml:space="preserve">Recharge savon liquide                                                                              </t>
  </si>
  <si>
    <t xml:space="preserve">ZS Cosmetics GmbH                                                               </t>
  </si>
  <si>
    <t xml:space="preserve">Spe. From. ail &amp; Fines herbes                                                                       </t>
  </si>
  <si>
    <t xml:space="preserve">Karwendel-Werke                                                                 </t>
  </si>
  <si>
    <t xml:space="preserve">Filets de cabillaud MSC (PNE: 540g)                                                                 </t>
  </si>
  <si>
    <t xml:space="preserve">Plante verte mix 17 cm                                                                              </t>
  </si>
  <si>
    <t xml:space="preserve">Calla en céramique                                                                                  </t>
  </si>
  <si>
    <t xml:space="preserve">Plante aromatique vivace                                                                            </t>
  </si>
  <si>
    <t xml:space="preserve">Déodorant spray femme                                                                               </t>
  </si>
  <si>
    <t xml:space="preserve">Déodorant spray homme                                                                               </t>
  </si>
  <si>
    <t xml:space="preserve">Eau de parfum Madame Glamour                                                                        </t>
  </si>
  <si>
    <t xml:space="preserve">Fromage frais sous mousse de crème                                                                  </t>
  </si>
  <si>
    <t xml:space="preserve">Lessive liq. laine/text. délicats                                                                   </t>
  </si>
  <si>
    <t xml:space="preserve">Bouillon de poulet                                                                                  </t>
  </si>
  <si>
    <t xml:space="preserve">Pâtes courtes bio assorties                                                                         </t>
  </si>
  <si>
    <t xml:space="preserve">Petit beurre choco pocket mousse                                                                    </t>
  </si>
  <si>
    <t xml:space="preserve">Saumon fumé origine Ecosse                                                                          </t>
  </si>
  <si>
    <t xml:space="preserve">Tiramisu premium                                                                                    </t>
  </si>
  <si>
    <t xml:space="preserve">SOLO ITALIA srl                                                                 </t>
  </si>
  <si>
    <t xml:space="preserve">Pavés de saumon x4 avec peau                                                                        </t>
  </si>
  <si>
    <t xml:space="preserve">Bakkafrost Sales P/F                                                            </t>
  </si>
  <si>
    <t xml:space="preserve">Salade de Thon                                                                                      </t>
  </si>
  <si>
    <t xml:space="preserve">KM Matches Allumettes 4 x 100                                                                       </t>
  </si>
  <si>
    <t xml:space="preserve">Chausson aux pommes                                                                                 </t>
  </si>
  <si>
    <t xml:space="preserve">VANDEMOORTELE BAKERY                                                            </t>
  </si>
  <si>
    <t xml:space="preserve">Pizza bolognaise cuite sur pierre                                                                   </t>
  </si>
  <si>
    <t xml:space="preserve">XXL Jus de pomme                                                                                    </t>
  </si>
  <si>
    <t xml:space="preserve">XXL Flips cacahuète / fromage                                                                       </t>
  </si>
  <si>
    <t xml:space="preserve">XXL Nuggets poulet nature/fromage                                                                   </t>
  </si>
  <si>
    <t xml:space="preserve">Sprehe Geflügel und                                                             </t>
  </si>
  <si>
    <t xml:space="preserve">XXL Pain au lait au beurre                                                                          </t>
  </si>
  <si>
    <t xml:space="preserve">Bellona gaufrettes enr. choc. lait                                                                  </t>
  </si>
  <si>
    <t xml:space="preserve">Saucisse fumée cuite XXL                                                                            </t>
  </si>
  <si>
    <t xml:space="preserve">Desodorisant longue durée                                                                           </t>
  </si>
  <si>
    <t xml:space="preserve">ORO-Produkte Marketing                                                          </t>
  </si>
  <si>
    <t xml:space="preserve">Jus d'orange du Brésil avec pulpe                                                                   </t>
  </si>
  <si>
    <t xml:space="preserve">Crème mains hydratante/anti-age                                                                     </t>
  </si>
  <si>
    <t xml:space="preserve">Dissolvant ongles avec/sans acetone                                                                 </t>
  </si>
  <si>
    <t xml:space="preserve">Jambon Forêt Noire XXL                                                                              </t>
  </si>
  <si>
    <t xml:space="preserve">Travers de porc cuits doux/épicés                                                                   </t>
  </si>
  <si>
    <t xml:space="preserve">Gel nett./Gel gommage quotidien                                                                     </t>
  </si>
  <si>
    <t xml:space="preserve">Gâteau de riz nappé caramel                                                                         </t>
  </si>
  <si>
    <t xml:space="preserve">Tartes citron merin./moelleux choc.                                                                 </t>
  </si>
  <si>
    <t xml:space="preserve">Saucisse de Lyon en tranches                                                                        </t>
  </si>
  <si>
    <t xml:space="preserve">Herbes lyophilisées                                                                                 </t>
  </si>
  <si>
    <t xml:space="preserve">XXL Jus d'orange 100%                                                                               </t>
  </si>
  <si>
    <t xml:space="preserve">Huile d'olive vierge extra                                                                          </t>
  </si>
  <si>
    <t xml:space="preserve">XXL Fricadelles assortiment                                                                         </t>
  </si>
  <si>
    <t xml:space="preserve">Gâteau de riz/crème caramel                                                                         </t>
  </si>
  <si>
    <t xml:space="preserve">Bouquet de roses                                                                                    </t>
  </si>
  <si>
    <t xml:space="preserve">Bouquet de grandes roses                                                                            </t>
  </si>
  <si>
    <t xml:space="preserve">Bouquet de pivoines                                                                                 </t>
  </si>
  <si>
    <t xml:space="preserve">Bouquet de Lisianthus                                                                               </t>
  </si>
  <si>
    <t xml:space="preserve">Ombre à paupières                                                                                   </t>
  </si>
  <si>
    <t xml:space="preserve"> Croissant pur beurre                                                                               </t>
  </si>
  <si>
    <t xml:space="preserve"> Pain au chocolat pur beurre (21%)                                                                  </t>
  </si>
  <si>
    <t xml:space="preserve">4 tranches de colin d'Alaska MSC                                                                    </t>
  </si>
  <si>
    <t xml:space="preserve">Parmesan Reggiano                                                                                   </t>
  </si>
  <si>
    <t xml:space="preserve">Tortellini/Gnocchi                                                                                  </t>
  </si>
  <si>
    <t xml:space="preserve">Steinhaus GmbH                                                                  </t>
  </si>
  <si>
    <t xml:space="preserve">Levure boulangère                                                                                   </t>
  </si>
  <si>
    <t xml:space="preserve">Mâcon Villages 2015 AOP                                                                             </t>
  </si>
  <si>
    <t xml:space="preserve">La Compagnie de Burgondie                                                       </t>
  </si>
  <si>
    <t xml:space="preserve">Yaourt à la grecque lit fraise                                                                      </t>
  </si>
  <si>
    <t xml:space="preserve">Yaourt à la grecque nature                                                                          </t>
  </si>
  <si>
    <t xml:space="preserve">XXL Lingettes multi usages                                                                          </t>
  </si>
  <si>
    <t xml:space="preserve">Pur jus multifruits                                                                                 </t>
  </si>
  <si>
    <t xml:space="preserve">Bonbons aux plantes sans sucre                                                                      </t>
  </si>
  <si>
    <t xml:space="preserve">Assortiment d'épices                                                                                </t>
  </si>
  <si>
    <t xml:space="preserve">Merschbrock-Wiese Gewürz                                                        </t>
  </si>
  <si>
    <t xml:space="preserve">Thé bio commerce EQ                                                                                 </t>
  </si>
  <si>
    <t xml:space="preserve">Sauces froides assorties                                                                            </t>
  </si>
  <si>
    <t xml:space="preserve">Préparation pour fondant chocolat                                                                   </t>
  </si>
  <si>
    <t xml:space="preserve">Prép. pour moelleux SK2 435g                                                                        </t>
  </si>
  <si>
    <t xml:space="preserve">Pur jus de pomme                                                                                    </t>
  </si>
  <si>
    <t xml:space="preserve">Adoucissant concentré                                                                               </t>
  </si>
  <si>
    <t xml:space="preserve">Goûter Gourmand                                                                                     </t>
  </si>
  <si>
    <t xml:space="preserve">XXL Pistaches grillées/salées                                                                       </t>
  </si>
  <si>
    <t xml:space="preserve">XXL Cacahuètes enrobées assorties                                                                   </t>
  </si>
  <si>
    <t xml:space="preserve">Verrines dessert                                                                                    </t>
  </si>
  <si>
    <t xml:space="preserve">Nettoyant WC avec javel                                                                             </t>
  </si>
  <si>
    <t xml:space="preserve">Flips géants                                                                                        </t>
  </si>
  <si>
    <t xml:space="preserve">Antipasti grecs (PNE 650g)                                                                          </t>
  </si>
  <si>
    <t xml:space="preserve">Ari S.A.                                                                        </t>
  </si>
  <si>
    <t xml:space="preserve">Yaourts brassés aux fruits mixés                                                                    </t>
  </si>
  <si>
    <t xml:space="preserve">Yaourt brassé 3.5%                                                                                  </t>
  </si>
  <si>
    <t xml:space="preserve">Mousse à la liégeoise choc/vanille                                                                  </t>
  </si>
  <si>
    <t xml:space="preserve">Café grains UTZ XXL                                                                                 </t>
  </si>
  <si>
    <t xml:space="preserve">Saumon fumé salé à la main XXL                                                                      </t>
  </si>
  <si>
    <t xml:space="preserve">Jus d'orange frais sans pulpe 100%                                                                  </t>
  </si>
  <si>
    <t xml:space="preserve">Emince de filet de poulet                                                                           </t>
  </si>
  <si>
    <t xml:space="preserve">Pâtes Arcobaleno                                                                                    </t>
  </si>
  <si>
    <t xml:space="preserve">Pastificio Di Bari                                                              </t>
  </si>
  <si>
    <t xml:space="preserve">Sauvignon Blanc Pays d'OC IGP                                                                       </t>
  </si>
  <si>
    <t xml:space="preserve">Lingettes anti-décoloration                                                                         </t>
  </si>
  <si>
    <t xml:space="preserve">Lait bio 1/2 écrémé bouteille                                                                       </t>
  </si>
  <si>
    <t xml:space="preserve">Thon SANS DCP au naturel PNE 150g                                                                   </t>
  </si>
  <si>
    <t xml:space="preserve">Croissants fourrés choco-noisette                                                                   </t>
  </si>
  <si>
    <t xml:space="preserve">Conditess-Feine Kuchen GmbH                                                     </t>
  </si>
  <si>
    <t xml:space="preserve">Eau de source mont. bouchon sport                                                                   </t>
  </si>
  <si>
    <t xml:space="preserve">Biscuits cuillers                                                                                   </t>
  </si>
  <si>
    <t xml:space="preserve">Soin visage pour homme                                                                              </t>
  </si>
  <si>
    <t xml:space="preserve">Dos de cabillaud x3, (PNE : 337g)                                                                   </t>
  </si>
  <si>
    <t xml:space="preserve">Bergerac AOP blanc 2016                                                                             </t>
  </si>
  <si>
    <t xml:space="preserve">Chewing-gum dragées                                                                                 </t>
  </si>
  <si>
    <t xml:space="preserve">Gumlink Confectionery                                                           </t>
  </si>
  <si>
    <t xml:space="preserve">Chewing-gum mini sticks                                                                             </t>
  </si>
  <si>
    <t xml:space="preserve">Tab. lave-vais. All in 1 sans phos.                                                                 </t>
  </si>
  <si>
    <t xml:space="preserve">Crackers emmen.-mini pizza-multimix                                                                 </t>
  </si>
  <si>
    <t xml:space="preserve">Jus de fruits assortis pomme/orange                                                                 </t>
  </si>
  <si>
    <t xml:space="preserve">Jambon cuit doré                                                                                    </t>
  </si>
  <si>
    <t xml:space="preserve">Papier aluminium 30m x 30cm [12µ]                                                                   </t>
  </si>
  <si>
    <t xml:space="preserve">Gaufrettes framboise/choco                                                                          </t>
  </si>
  <si>
    <t xml:space="preserve">Petite Orchidée 2 tiges en vase                                                                     </t>
  </si>
  <si>
    <t xml:space="preserve">Palmiers                                                                                            </t>
  </si>
  <si>
    <t xml:space="preserve">Madeleines coquilles                                                                                </t>
  </si>
  <si>
    <t xml:space="preserve">Yaourt à la grecque                                                                                 </t>
  </si>
  <si>
    <t xml:space="preserve">Coeurs d'artichauts PNE 225g                                                                        </t>
  </si>
  <si>
    <t xml:space="preserve">Olives assorties                                                                                    </t>
  </si>
  <si>
    <t xml:space="preserve">Funny Fruit Drinks 14 x 0.2 l                                                                       </t>
  </si>
  <si>
    <t xml:space="preserve">Capri Sun Vertriebs GmbH                                                        </t>
  </si>
  <si>
    <t xml:space="preserve">Ketchup                                                                                             </t>
  </si>
  <si>
    <t xml:space="preserve">Ratatouille cuisinée                                                                                </t>
  </si>
  <si>
    <t xml:space="preserve">Bouquet de Lys Oriental                                                                             </t>
  </si>
  <si>
    <t xml:space="preserve">Pomelo                                                                                              </t>
  </si>
  <si>
    <t xml:space="preserve">Terragaïa S.A.S.                                                                </t>
  </si>
  <si>
    <t xml:space="preserve">Marché des Fruits Nagel SARL                                                    </t>
  </si>
  <si>
    <t xml:space="preserve">Pamplemousse géant                                                                                  </t>
  </si>
  <si>
    <t xml:space="preserve">Citron vert                                                                                         </t>
  </si>
  <si>
    <t xml:space="preserve">Clémentine                                                                                          </t>
  </si>
  <si>
    <t xml:space="preserve">Clémentine caissette                                                                                </t>
  </si>
  <si>
    <t xml:space="preserve">Clémentine Corse barquette                                                                          </t>
  </si>
  <si>
    <t xml:space="preserve">Orange à jus 1.5 kg                                                                                 </t>
  </si>
  <si>
    <t xml:space="preserve">Orange à Jus 2 kg                                                                                   </t>
  </si>
  <si>
    <t xml:space="preserve">Citron 500g                                                                                         </t>
  </si>
  <si>
    <t xml:space="preserve">Citron 1kg                                                                                          </t>
  </si>
  <si>
    <t xml:space="preserve">Pomme Golden vrac                                                                                   </t>
  </si>
  <si>
    <t xml:space="preserve">Pomme Golden 2 Kg                                                                                   </t>
  </si>
  <si>
    <t xml:space="preserve">Pomme Golden du Limousin                                                                            </t>
  </si>
  <si>
    <t xml:space="preserve">Limdor S.C.A.                                                                   </t>
  </si>
  <si>
    <t xml:space="preserve">Pomme Pink Lady ®                                                                                   </t>
  </si>
  <si>
    <t xml:space="preserve">Gerfrui S.A.                                                                    </t>
  </si>
  <si>
    <t xml:space="preserve">Pomme Bicolore Vrac                                                                                 </t>
  </si>
  <si>
    <t xml:space="preserve">Pommes bicolores  2 kg                                                                              </t>
  </si>
  <si>
    <t xml:space="preserve">Poire Vrac                                                                                          </t>
  </si>
  <si>
    <t xml:space="preserve">VILTIFRUITS S.A.R.L.                                                            </t>
  </si>
  <si>
    <t xml:space="preserve">Ortolan S.A.                                                                    </t>
  </si>
  <si>
    <t xml:space="preserve">Creno Impex S.A.S.                                                              </t>
  </si>
  <si>
    <t xml:space="preserve">Coccolo G. S.A.R.L.                                                             </t>
  </si>
  <si>
    <t xml:space="preserve">Poire 1 Kg                                                                                          </t>
  </si>
  <si>
    <t xml:space="preserve">JOUFFRUIT SARL                                                                  </t>
  </si>
  <si>
    <t xml:space="preserve">AZ FRANCE S.A. - MED                                                            </t>
  </si>
  <si>
    <t xml:space="preserve">Nectarine plate française 500g                                                                      </t>
  </si>
  <si>
    <t xml:space="preserve">GIE CORSICA COMPTOIR                                                            </t>
  </si>
  <si>
    <t xml:space="preserve">Raisin rosé vrac                                                                                    </t>
  </si>
  <si>
    <t xml:space="preserve">Ananas Victoria                                                                                     </t>
  </si>
  <si>
    <t xml:space="preserve">Avocat                                                                                              </t>
  </si>
  <si>
    <t xml:space="preserve">SÉLECTION IMPORT-EXPORT SA                                                      </t>
  </si>
  <si>
    <t xml:space="preserve">JC Fruits S.A.R.L.                                                              </t>
  </si>
  <si>
    <t xml:space="preserve">Kaki                                                                                                </t>
  </si>
  <si>
    <t xml:space="preserve">OGL FOOD TRADE                                                                  </t>
  </si>
  <si>
    <t xml:space="preserve">Greenyard Fresh France                                                          </t>
  </si>
  <si>
    <t xml:space="preserve">Kaki 1 kg                                                                                           </t>
  </si>
  <si>
    <t xml:space="preserve">Carambole                                                                                           </t>
  </si>
  <si>
    <t xml:space="preserve">Kiwi                                                                                                </t>
  </si>
  <si>
    <t xml:space="preserve">Sud Provence S.A.S.                                                             </t>
  </si>
  <si>
    <t xml:space="preserve">Kiwi 1 kg                                                                                           </t>
  </si>
  <si>
    <t xml:space="preserve">Patate douce                                                                                        </t>
  </si>
  <si>
    <t xml:space="preserve">Topinambour vrac                                                                                    </t>
  </si>
  <si>
    <t xml:space="preserve">Noix sèches                                                                                         </t>
  </si>
  <si>
    <t xml:space="preserve">Ville S.A.S.                                                                    </t>
  </si>
  <si>
    <t xml:space="preserve">Banane bio fairtrade                                                                                </t>
  </si>
  <si>
    <t xml:space="preserve">Fruidor S.A.S.                                                                  </t>
  </si>
  <si>
    <t xml:space="preserve">Fruidor S.A.S                                                                   </t>
  </si>
  <si>
    <t xml:space="preserve">Compagnie Fruitière France                                                      </t>
  </si>
  <si>
    <t xml:space="preserve">Clémentine corse bio                                                                                </t>
  </si>
  <si>
    <t xml:space="preserve">AGRU CORSE                                                                      </t>
  </si>
  <si>
    <t xml:space="preserve">Orange bio                                                                                          </t>
  </si>
  <si>
    <t xml:space="preserve">Pomme bio                                                                                           </t>
  </si>
  <si>
    <t xml:space="preserve">Le Vieux Pointet S.A.R.L.                                                       </t>
  </si>
  <si>
    <t xml:space="preserve">Batavia                                                                                             </t>
  </si>
  <si>
    <t xml:space="preserve">Primeurs de la Manche                                                           </t>
  </si>
  <si>
    <t xml:space="preserve">Moreau S.A.S.                                                                   </t>
  </si>
  <si>
    <t xml:space="preserve">Endive 5 fruits                                                                                     </t>
  </si>
  <si>
    <t xml:space="preserve">Salade iceberg                                                                                      </t>
  </si>
  <si>
    <t xml:space="preserve">Mâche 150 g                                                                                         </t>
  </si>
  <si>
    <t xml:space="preserve">La Grugière de Pernes S.A.S.                                                    </t>
  </si>
  <si>
    <t xml:space="preserve">Laitue                                                                                              </t>
  </si>
  <si>
    <t xml:space="preserve">Priméale Provence S.A.S.                                                        </t>
  </si>
  <si>
    <t xml:space="preserve">Roquette                                                                                            </t>
  </si>
  <si>
    <t xml:space="preserve">Sucrine                                                                                             </t>
  </si>
  <si>
    <t xml:space="preserve">Jeunes Pousses                                                                                      </t>
  </si>
  <si>
    <t xml:space="preserve">Aubergine vrac                                                                                      </t>
  </si>
  <si>
    <t xml:space="preserve">Les Jardins de Calixte                                                          </t>
  </si>
  <si>
    <t xml:space="preserve">Concombre                                                                                           </t>
  </si>
  <si>
    <t xml:space="preserve">Poireaux Botte                                                                                      </t>
  </si>
  <si>
    <t xml:space="preserve">Radis roses équeutés                                                                                </t>
  </si>
  <si>
    <t xml:space="preserve">Primeurs de France S.A.S.                                                       </t>
  </si>
  <si>
    <t xml:space="preserve">Epinard 400g                                                                                        </t>
  </si>
  <si>
    <t xml:space="preserve">Courgette vrac                                                                                      </t>
  </si>
  <si>
    <t xml:space="preserve">Tomate Cerise Grappe 200g                                                                           </t>
  </si>
  <si>
    <t xml:space="preserve">Tomwest S.A.R.L.                                                                </t>
  </si>
  <si>
    <t xml:space="preserve">Tomate cocktail 500 g                                                                               </t>
  </si>
  <si>
    <t xml:space="preserve">Tomate cerise 1 kg                                                                                  </t>
  </si>
  <si>
    <t xml:space="preserve">Tomate cerise 250g                                                                                  </t>
  </si>
  <si>
    <t xml:space="preserve">Tomate ronde 1kg import                                                                             </t>
  </si>
  <si>
    <t xml:space="preserve">RFV Fruits BVBA                                                                 </t>
  </si>
  <si>
    <t xml:space="preserve">Tomate ronde grappe                                                                                 </t>
  </si>
  <si>
    <t xml:space="preserve">Poivron Mix 500g                                                                                    </t>
  </si>
  <si>
    <t xml:space="preserve">Poivron rouge vrac                                                                                  </t>
  </si>
  <si>
    <t xml:space="preserve">Fenouil                                                                                             </t>
  </si>
  <si>
    <t xml:space="preserve">Ail 250 g                                                                                           </t>
  </si>
  <si>
    <t xml:space="preserve">JARDINS DU MIDI S.A.S.                                                          </t>
  </si>
  <si>
    <t xml:space="preserve">Céleri rave                                                                                         </t>
  </si>
  <si>
    <t xml:space="preserve">Ail rosé 3 têtes                                                                                    </t>
  </si>
  <si>
    <t xml:space="preserve">Courge en tranche                                                                                   </t>
  </si>
  <si>
    <t xml:space="preserve">Cama Services S.A.R.L.                                                          </t>
  </si>
  <si>
    <t xml:space="preserve">Navet 1 Kg                                                                                          </t>
  </si>
  <si>
    <t xml:space="preserve">JACOB SA                                                                        </t>
  </si>
  <si>
    <t xml:space="preserve">Carotte                                                                                             </t>
  </si>
  <si>
    <t xml:space="preserve">Carottes 2 Kg                                                                                       </t>
  </si>
  <si>
    <t xml:space="preserve">Panais 500g                                                                                         </t>
  </si>
  <si>
    <t xml:space="preserve">Echalote Traditionnelle                                                                             </t>
  </si>
  <si>
    <t xml:space="preserve">JDM DISTRIBUTION SA                                                             </t>
  </si>
  <si>
    <t xml:space="preserve">Butternut                                                                                           </t>
  </si>
  <si>
    <t xml:space="preserve">Potimarron                                                                                          </t>
  </si>
  <si>
    <t xml:space="preserve">Chou Fleur                                                                                          </t>
  </si>
  <si>
    <t xml:space="preserve">Fleurette de chou fleur                                                                             </t>
  </si>
  <si>
    <t xml:space="preserve">Fernand Paugam S.A.R.L.                                                         </t>
  </si>
  <si>
    <t xml:space="preserve">Brocoli                                                                                             </t>
  </si>
  <si>
    <t xml:space="preserve">Chou de Bruxelles                                                                                   </t>
  </si>
  <si>
    <t xml:space="preserve">Chou dou                                                                                            </t>
  </si>
  <si>
    <t xml:space="preserve">Champignon blanc 250 g                                                                              </t>
  </si>
  <si>
    <t xml:space="preserve">Ruol Distribution S.A.R.L.                                                      </t>
  </si>
  <si>
    <t xml:space="preserve">Champignon blanc 500 g                                                                              </t>
  </si>
  <si>
    <t xml:space="preserve">Eurochampignon B.V.B.A.                                                         </t>
  </si>
  <si>
    <t xml:space="preserve">Champignon à farcir                                                                                 </t>
  </si>
  <si>
    <t xml:space="preserve">Persil botte                                                                                        </t>
  </si>
  <si>
    <t xml:space="preserve">Oignon doux                                                                                         </t>
  </si>
  <si>
    <t xml:space="preserve">Top Alliance S.A.S.                                                             </t>
  </si>
  <si>
    <t xml:space="preserve">SCA Origine Cévennes                                                            </t>
  </si>
  <si>
    <t xml:space="preserve">Pomme de terre Amandine 1.5kg                                                                       </t>
  </si>
  <si>
    <t xml:space="preserve">Pomme de terre à chair ferme 2.5kg                                                                  </t>
  </si>
  <si>
    <t xml:space="preserve">Pomme de terre Belle de Fontenay                                                                    </t>
  </si>
  <si>
    <t xml:space="preserve">Pomme de terre 5 Kg                                                                                 </t>
  </si>
  <si>
    <t xml:space="preserve">Dissaux S.A.                                                                    </t>
  </si>
  <si>
    <t xml:space="preserve">Pomme de terre rouge 2.5kg                                                                          </t>
  </si>
  <si>
    <t xml:space="preserve">Pomme de terre Minute 750g                                                                          </t>
  </si>
  <si>
    <t xml:space="preserve">Oignon jaune 1 Kg                                                                                   </t>
  </si>
  <si>
    <t xml:space="preserve">Asperge verte bio                                                                                   </t>
  </si>
  <si>
    <t xml:space="preserve">Pro Natura S.A.S.                                                               </t>
  </si>
  <si>
    <t xml:space="preserve">Tomate grappe bio                                                                                   </t>
  </si>
  <si>
    <t xml:space="preserve">Sapré Mayousse S.A.R.L.                                                         </t>
  </si>
  <si>
    <t xml:space="preserve">Carotte Bio 1 kg                                                                                    </t>
  </si>
  <si>
    <t xml:space="preserve">Ail bio 250g                                                                                        </t>
  </si>
  <si>
    <t xml:space="preserve">Echalote bio 250g                                                                                   </t>
  </si>
  <si>
    <t xml:space="preserve">Ferme De la Motte S.A.R.L.                                                      </t>
  </si>
  <si>
    <t xml:space="preserve">Etablissement Basmaison                                                         </t>
  </si>
  <si>
    <t xml:space="preserve">Pomme de terre bio                                                                                  </t>
  </si>
  <si>
    <t xml:space="preserve">Oignon jaune bio 500g                                                                               </t>
  </si>
  <si>
    <t xml:space="preserve">Cornichons très fins PNE : 360g                                                                     </t>
  </si>
  <si>
    <t xml:space="preserve">Sacs congélation zipp                                                                               </t>
  </si>
  <si>
    <t xml:space="preserve">Bouquet Noël                                                                                        </t>
  </si>
  <si>
    <t xml:space="preserve">Chocolat noir                                                                                       </t>
  </si>
  <si>
    <t xml:space="preserve">Plats cuisinés asiatiques                                                                           </t>
  </si>
  <si>
    <t xml:space="preserve">Ospelt food AG                                                                  </t>
  </si>
  <si>
    <t xml:space="preserve"> Torsade aux pépites de chocolat                                                                    </t>
  </si>
  <si>
    <t xml:space="preserve"> Mini-Viennoiseries                                                                                 </t>
  </si>
  <si>
    <t xml:space="preserve"> Brioche nature pur beurre                                                                          </t>
  </si>
  <si>
    <t xml:space="preserve">Lavette/chiffon microfibre                                                                          </t>
  </si>
  <si>
    <t xml:space="preserve">Transsana Grabarits GmbH                                                        </t>
  </si>
  <si>
    <t xml:space="preserve">Petits pois extra fins                                                                              </t>
  </si>
  <si>
    <t xml:space="preserve">ARDO GmbH                                                                       </t>
  </si>
  <si>
    <t xml:space="preserve">Pain d'épices aux fruits                                                                            </t>
  </si>
  <si>
    <t xml:space="preserve">Vondelmolen NV                                                                  </t>
  </si>
  <si>
    <t xml:space="preserve">Limonade agrumes light                                                                              </t>
  </si>
  <si>
    <t xml:space="preserve">Chanterelles / Cèpes / Champignons                                                                  </t>
  </si>
  <si>
    <t xml:space="preserve">BWF Beeren-, Wild-,                                                             </t>
  </si>
  <si>
    <t xml:space="preserve">Vodka 37.5% Vol.                                                                                    </t>
  </si>
  <si>
    <t xml:space="preserve">Chips de légumes                                                                                    </t>
  </si>
  <si>
    <t xml:space="preserve">Corkers Crisps Ltd                                                              </t>
  </si>
  <si>
    <t xml:space="preserve">Plateau noix &amp; fruits enrobés choco                                                                 </t>
  </si>
  <si>
    <t xml:space="preserve">Mini feuilletés au fromage                                                                          </t>
  </si>
  <si>
    <t xml:space="preserve">Dutch Bakery Group B.V.                                                         </t>
  </si>
  <si>
    <t xml:space="preserve">Sauce tomate, assortiments                                                                          </t>
  </si>
  <si>
    <t xml:space="preserve">Sacs poubelle 25l x 30 -14µ                                                                         </t>
  </si>
  <si>
    <t xml:space="preserve">Comco Plast Comco Commercial                                                    </t>
  </si>
  <si>
    <t xml:space="preserve">Mini-Fondue                                                                                         </t>
  </si>
  <si>
    <t xml:space="preserve">Frites Steakhouse                                                                                   </t>
  </si>
  <si>
    <t xml:space="preserve">Saumon fumé de Norvège bio                                                                          </t>
  </si>
  <si>
    <t xml:space="preserve">Norfisk Berlin GmbH                                                             </t>
  </si>
  <si>
    <t xml:space="preserve">Premium Profiteroles                                                                                </t>
  </si>
  <si>
    <t xml:space="preserve">Chocolat au lait raisins-noisettes                                                                  </t>
  </si>
  <si>
    <t xml:space="preserve">Shampooing anti-pelliculaire                                                                        </t>
  </si>
  <si>
    <t xml:space="preserve">Fondue aux trois fromages                                                                           </t>
  </si>
  <si>
    <t xml:space="preserve">Compote de pomme en gourde                                                                          </t>
  </si>
  <si>
    <t xml:space="preserve">Chocolat noir noisettes/amandes                                                                     </t>
  </si>
  <si>
    <t xml:space="preserve">Filets de saumon x 3                                                                                </t>
  </si>
  <si>
    <t xml:space="preserve">Pâtes cuisson rapide                                                                                </t>
  </si>
  <si>
    <t xml:space="preserve">Bougie parfumée                                                                                     </t>
  </si>
  <si>
    <t xml:space="preserve">GALA Kerzen GmbH                                                                </t>
  </si>
  <si>
    <t xml:space="preserve">Côtes du Rhône BIO AOP                                                                              </t>
  </si>
  <si>
    <t xml:space="preserve">Union des Vignerons des                                                         </t>
  </si>
  <si>
    <t xml:space="preserve">Cocktail de fruits au sirop léger                                                                   </t>
  </si>
  <si>
    <t xml:space="preserve">Pastilles de javel 40-48                                                                            </t>
  </si>
  <si>
    <t xml:space="preserve">EUROTAB OPERATIONS                                                              </t>
  </si>
  <si>
    <t xml:space="preserve">Disque à démaquiller ovale                                                                          </t>
  </si>
  <si>
    <t xml:space="preserve">LEMOINE France S.A.S.                                                           </t>
  </si>
  <si>
    <t xml:space="preserve">Nettoyant WC Power                                                                                  </t>
  </si>
  <si>
    <t xml:space="preserve">Chocolat lait noisettes / raisins                                                                   </t>
  </si>
  <si>
    <t xml:space="preserve">Ketchup Hot/Light                                                                                   </t>
  </si>
  <si>
    <t xml:space="preserve">Papier toilette humidifié                                                                           </t>
  </si>
  <si>
    <t xml:space="preserve">Homme gel douche shampoing 2 en 1                                                                   </t>
  </si>
  <si>
    <t xml:space="preserve">Yaourts crémeux aux fruits                                                                          </t>
  </si>
  <si>
    <t xml:space="preserve">Yaourt nature 0%                                                                                    </t>
  </si>
  <si>
    <t xml:space="preserve">Flan caramel                                                                                        </t>
  </si>
  <si>
    <t xml:space="preserve">Bifidus nature                                                                                      </t>
  </si>
  <si>
    <t xml:space="preserve">Yaourt aux fruits 0%                                                                                </t>
  </si>
  <si>
    <t xml:space="preserve">Bifidus vanille                                                                                     </t>
  </si>
  <si>
    <t xml:space="preserve">Cônes pistache/3 chocolats                                                                          </t>
  </si>
  <si>
    <t xml:space="preserve">YSCO NV                                                                         </t>
  </si>
  <si>
    <t xml:space="preserve"> Pain de campagne                                                                                   </t>
  </si>
  <si>
    <t xml:space="preserve"> Pain spécial graines céréales                                                                      </t>
  </si>
  <si>
    <t xml:space="preserve">Bonback GmbH &amp; Co. KG                                                           </t>
  </si>
  <si>
    <t xml:space="preserve"> Petit pain graines et céréales                                                                     </t>
  </si>
  <si>
    <t xml:space="preserve">Baba au Rhum                                                                                        </t>
  </si>
  <si>
    <t xml:space="preserve">Iles Flottantes                                                                                     </t>
  </si>
  <si>
    <t xml:space="preserve">Culottes d'incontinence medium                                                                      </t>
  </si>
  <si>
    <t xml:space="preserve">Attends Healthcare AB                                                           </t>
  </si>
  <si>
    <t xml:space="preserve">Chips ondulées salées (Multipack)                                                                   </t>
  </si>
  <si>
    <t xml:space="preserve">Thon au naturel PNE 2x150g                                                                          </t>
  </si>
  <si>
    <t xml:space="preserve">Shampooing professionnel kératine                                                                   </t>
  </si>
  <si>
    <t xml:space="preserve">Après-shampooing prof. kératine                                                                     </t>
  </si>
  <si>
    <t xml:space="preserve">Petit Conifère enneigé en Céramique                                                                 </t>
  </si>
  <si>
    <t xml:space="preserve">Kalanchoé en pot de Noël                                                                            </t>
  </si>
  <si>
    <t xml:space="preserve">Thon à huile de tournesol PNE 650g                                                                  </t>
  </si>
  <si>
    <t xml:space="preserve">Croissants fourrés noisette                                                                         </t>
  </si>
  <si>
    <t xml:space="preserve">Farmer Cookies Choc/Cranberry/Noise                                                                 </t>
  </si>
  <si>
    <t xml:space="preserve">Banketbakkerij Merba B.V.                                                       </t>
  </si>
  <si>
    <t xml:space="preserve">Tortelloni/Gnocchi XXL                                                                              </t>
  </si>
  <si>
    <t xml:space="preserve">Boîte de mouchoirs                                                                                  </t>
  </si>
  <si>
    <t xml:space="preserve">Film étirable PVC 2 en 1                                                                            </t>
  </si>
  <si>
    <t xml:space="preserve">Confiserie gélifiée animaux                                                                         </t>
  </si>
  <si>
    <t xml:space="preserve">Café doux 2x250g                                                                                    </t>
  </si>
  <si>
    <t xml:space="preserve">Boisson aux fruits                                                                                  </t>
  </si>
  <si>
    <t xml:space="preserve">Préparation pour chocolat chaud                                                                     </t>
  </si>
  <si>
    <t xml:space="preserve">Tuiles bacon, épicé, barbecue                                                                       </t>
  </si>
  <si>
    <t xml:space="preserve">Bouquet Champêtre                                                                                   </t>
  </si>
  <si>
    <t xml:space="preserve">Pizza mozza/4 fromage SK10                                                                          </t>
  </si>
  <si>
    <t xml:space="preserve">Pizza au jambon cuite sur pierre                                                                    </t>
  </si>
  <si>
    <t xml:space="preserve">Pizza Spéciale                                                                                      </t>
  </si>
  <si>
    <t xml:space="preserve">Pizza au thon                                                                                       </t>
  </si>
  <si>
    <t xml:space="preserve">Coton-tiges x300                                                                                    </t>
  </si>
  <si>
    <t xml:space="preserve">Yaourt sucré aromatisé 1,9%                                                                         </t>
  </si>
  <si>
    <t xml:space="preserve">Bio Muesli BA                                                                                       </t>
  </si>
  <si>
    <t xml:space="preserve">H. &amp; J. Brüggen KG                                                              </t>
  </si>
  <si>
    <t xml:space="preserve">Demi-poires au sirop léger PNE:460g                                                                 </t>
  </si>
  <si>
    <t xml:space="preserve">Amandes grillées et salées VRAC                                                                     </t>
  </si>
  <si>
    <t xml:space="preserve">Pistaches grillées et salées VRAC                                                                   </t>
  </si>
  <si>
    <t xml:space="preserve">Ireco Trading and                                                               </t>
  </si>
  <si>
    <t xml:space="preserve">XXL Bouillon viande, volaille, lég.                                                                 </t>
  </si>
  <si>
    <t xml:space="preserve">Légumes vapeurs surgelés                                                                            </t>
  </si>
  <si>
    <t xml:space="preserve">Greenyard Frozen UK Limited                                                     </t>
  </si>
  <si>
    <t xml:space="preserve">Bouchées chat sachet BA                                                                             </t>
  </si>
  <si>
    <t xml:space="preserve">Sushi BA                                                                                            </t>
  </si>
  <si>
    <t xml:space="preserve">Natsu Foods GmbH &amp; Co. KG                                                       </t>
  </si>
  <si>
    <t xml:space="preserve">Orchidée en verre à Cognac                                                                          </t>
  </si>
  <si>
    <t xml:space="preserve">Kalanchoé avec figurine Nöel                                                                        </t>
  </si>
  <si>
    <t xml:space="preserve">BB crème visage                                                                                     </t>
  </si>
  <si>
    <t xml:space="preserve">Riz thaï jasmin long grain                                                                          </t>
  </si>
  <si>
    <t xml:space="preserve">Syrah Pays d'Oc IGP rosé 2016                                                                       </t>
  </si>
  <si>
    <t xml:space="preserve">Pinot Noir                                                                                          </t>
  </si>
  <si>
    <t xml:space="preserve">Chocolat lait amande/bisc. cacaoté                                                                  </t>
  </si>
  <si>
    <t xml:space="preserve">Prosecco Vino Spumante DOP                                                                          </t>
  </si>
  <si>
    <t xml:space="preserve">Mini gel main hydroalcoolique                                                                       </t>
  </si>
  <si>
    <t xml:space="preserve">Liquide vaisselle écologique                                                                        </t>
  </si>
  <si>
    <t xml:space="preserve">Truite fumée                                                                                        </t>
  </si>
  <si>
    <t xml:space="preserve">Cruspies                                                                                            </t>
  </si>
  <si>
    <t xml:space="preserve"> Focaccia chèvre                                                                                    </t>
  </si>
  <si>
    <t xml:space="preserve">Boboli Benelux B.V.                                                             </t>
  </si>
  <si>
    <t xml:space="preserve">Haricots blancs à la sauce tomate                                                                   </t>
  </si>
  <si>
    <t xml:space="preserve">Galettes de riz                                                                                     </t>
  </si>
  <si>
    <t xml:space="preserve">TEUTO Markenvertrieb GmbH                                                       </t>
  </si>
  <si>
    <t xml:space="preserve">Gel cheveux homme                                                                                   </t>
  </si>
  <si>
    <t xml:space="preserve">Eau micellaire/lait démaquillant                                                                    </t>
  </si>
  <si>
    <t xml:space="preserve">Lentilles vertes                                                                                    </t>
  </si>
  <si>
    <t xml:space="preserve">Soufflet Alimentaire S.A.S.                                                     </t>
  </si>
  <si>
    <t xml:space="preserve">Château Potensac                                                                                    </t>
  </si>
  <si>
    <t xml:space="preserve">Tranches de cornichons PNE 400 g                                                                    </t>
  </si>
  <si>
    <t xml:space="preserve">Stangl GmbH &amp; Co. Gemüse KG                                                     </t>
  </si>
  <si>
    <t xml:space="preserve">Less. liqu. universelle 40 L sort.                                                                  </t>
  </si>
  <si>
    <t xml:space="preserve">Noix de cajou grillées salées                                                                       </t>
  </si>
  <si>
    <t xml:space="preserve">Assortiment fruits secs                                                                             </t>
  </si>
  <si>
    <t xml:space="preserve">V. Besana S.p.A.                                                                </t>
  </si>
  <si>
    <t xml:space="preserve">Camembert de Normandie AOP lait cru                                                                 </t>
  </si>
  <si>
    <t xml:space="preserve">Jus d'orange XXL                                                                                    </t>
  </si>
  <si>
    <t xml:space="preserve">Choux-fleurs en fleurette                                                                           </t>
  </si>
  <si>
    <t xml:space="preserve">Dipladenia pyramide                                                                                 </t>
  </si>
  <si>
    <t xml:space="preserve">Huile d'olive bio vierge extra                                                                      </t>
  </si>
  <si>
    <t xml:space="preserve">Sirop d'érable                                                                                      </t>
  </si>
  <si>
    <t xml:space="preserve">Riz de Camargue                                                                                     </t>
  </si>
  <si>
    <t xml:space="preserve">Terre de Bruyère                                                                                    </t>
  </si>
  <si>
    <t xml:space="preserve">Florentaise SA                                                                  </t>
  </si>
  <si>
    <t xml:space="preserve">Norland S.A.                                                                    </t>
  </si>
  <si>
    <t xml:space="preserve">Bouchées chat sachet                                                                                </t>
  </si>
  <si>
    <t xml:space="preserve">Herbert Ospelt Anstalt                                                          </t>
  </si>
  <si>
    <t xml:space="preserve">Pâtes fraîches Cappelletti/Tortelli                                                                 </t>
  </si>
  <si>
    <t xml:space="preserve">Lentilles - PNE 530 g                                                                               </t>
  </si>
  <si>
    <t xml:space="preserve"> Champignons émincés                                                                                </t>
  </si>
  <si>
    <t xml:space="preserve">Scelta Mushrooms B.V.                                                           </t>
  </si>
  <si>
    <t xml:space="preserve">Yaourts aux fruits pâtissiers                                                                       </t>
  </si>
  <si>
    <t xml:space="preserve">Pommes rissolées                                                                                    </t>
  </si>
  <si>
    <t xml:space="preserve">Eau de source de montagne                                                                           </t>
  </si>
  <si>
    <t xml:space="preserve">Ogeu Groupe S.A.S.                                                              </t>
  </si>
  <si>
    <t xml:space="preserve">Morceaux de poulet                                                                                  </t>
  </si>
  <si>
    <t xml:space="preserve">GEKA frisch + frost                                                             </t>
  </si>
  <si>
    <t xml:space="preserve">Margarine Omega 3 54%                                                                               </t>
  </si>
  <si>
    <t xml:space="preserve">Cacahuètes grillées sans sel                                                                        </t>
  </si>
  <si>
    <t xml:space="preserve">Rhum blanc tradit. des Antilles                                                                     </t>
  </si>
  <si>
    <t xml:space="preserve">Pains Hamburger X6, Maxi Burger X4                                                                  </t>
  </si>
  <si>
    <t xml:space="preserve">Wback GmbH                                                                      </t>
  </si>
  <si>
    <t xml:space="preserve">Eaux aromatisées assorties                                                                          </t>
  </si>
  <si>
    <t xml:space="preserve">Serviette microfibre cuisine                                                                        </t>
  </si>
  <si>
    <t xml:space="preserve">a&amp;n&amp;a GmbH &amp; Co. KG                                                             </t>
  </si>
  <si>
    <t xml:space="preserve">Maasdam en tranches assortiment                                                                     </t>
  </si>
  <si>
    <t xml:space="preserve">Sucre en poudre                                                                                     </t>
  </si>
  <si>
    <t xml:space="preserve">Sauce tomate à l'italienne                                                                          </t>
  </si>
  <si>
    <t xml:space="preserve">Sablés fourrés assortis                                                                             </t>
  </si>
  <si>
    <t xml:space="preserve">Yaourt brassé nature 3,2%                                                                           </t>
  </si>
  <si>
    <t xml:space="preserve">Lipgloss BA                                                                                         </t>
  </si>
  <si>
    <t xml:space="preserve">Premium Cosmetics GmbH                                                          </t>
  </si>
  <si>
    <t xml:space="preserve">Rouge à lèvres BA                                                                                   </t>
  </si>
  <si>
    <t xml:space="preserve">Mascara BA                                                                                          </t>
  </si>
  <si>
    <t xml:space="preserve">Oeufs de saumon                                                                                     </t>
  </si>
  <si>
    <t xml:space="preserve">Rasoir 5 lames                                                                                      </t>
  </si>
  <si>
    <t xml:space="preserve">Recharges pour rasoir 5 lames                                                                       </t>
  </si>
  <si>
    <t xml:space="preserve">Champignons pieds et morceaux                                                                       </t>
  </si>
  <si>
    <t xml:space="preserve">Pêches au sirop léger PNE 480 g                                                                     </t>
  </si>
  <si>
    <t xml:space="preserve">Mortadella Bologna IGP                                                                              </t>
  </si>
  <si>
    <t xml:space="preserve">Grandi Salumifici                                                               </t>
  </si>
  <si>
    <t xml:space="preserve">Lessive cap. class./coul. 20 lav.                                                                   </t>
  </si>
  <si>
    <t xml:space="preserve">Chemolux Germany GmbH                                                           </t>
  </si>
  <si>
    <t xml:space="preserve">Disques à démaquiller x 140                                                                         </t>
  </si>
  <si>
    <t xml:space="preserve">CMC Consumer                                                                    </t>
  </si>
  <si>
    <t xml:space="preserve">Assortiments de caramels                                                                            </t>
  </si>
  <si>
    <t xml:space="preserve">Yucca                                                                                               </t>
  </si>
  <si>
    <t xml:space="preserve">Chocolat fourré                                                                                     </t>
  </si>
  <si>
    <t xml:space="preserve">Farine fluide                                                                                       </t>
  </si>
  <si>
    <t xml:space="preserve">Karl Bindewald                                                                  </t>
  </si>
  <si>
    <t xml:space="preserve">Sac poubelle SDB 10L                                                                                </t>
  </si>
  <si>
    <t xml:space="preserve">FIPP Handelsmarken                                                              </t>
  </si>
  <si>
    <t xml:space="preserve">Yaourt nature 1,1 %                                                                                 </t>
  </si>
  <si>
    <t xml:space="preserve">Yaourt nature sucre de canne 3,5%                                                                   </t>
  </si>
  <si>
    <t xml:space="preserve">Tampons avec applicateur compact                                                                    </t>
  </si>
  <si>
    <t xml:space="preserve">Noix de Saint Jacques avec corail                                                                   </t>
  </si>
  <si>
    <t xml:space="preserve">XXL Jambon cru fumé                                                                                 </t>
  </si>
  <si>
    <t xml:space="preserve">Nuggets de poulet avec sauce                                                                        </t>
  </si>
  <si>
    <t xml:space="preserve">SK Meat-Vertriebs GmbH                                                          </t>
  </si>
  <si>
    <t xml:space="preserve">Fromage fondu en tranches                                                                           </t>
  </si>
  <si>
    <t xml:space="preserve">Bonifaz Kohler GmbH                                                             </t>
  </si>
  <si>
    <t xml:space="preserve">Snacks Vampire BA                                                                                   </t>
  </si>
  <si>
    <t xml:space="preserve">Mozzarella bio                                                                                      </t>
  </si>
  <si>
    <t xml:space="preserve">Bayernland eG                                                                   </t>
  </si>
  <si>
    <t xml:space="preserve">Orchidée en fête                                                                                    </t>
  </si>
  <si>
    <t xml:space="preserve">Lessive liquide Moment de bien-être                                                                 </t>
  </si>
  <si>
    <t xml:space="preserve">Lessive class. / coul. 65 lavages                                                                   </t>
  </si>
  <si>
    <t xml:space="preserve"> Beignet fourré aux fruits                                                                          </t>
  </si>
  <si>
    <t xml:space="preserve">Thon albacore à l'huile d'olive                                                                     </t>
  </si>
  <si>
    <t xml:space="preserve">Flakers choco/fruits rouges                                                                         </t>
  </si>
  <si>
    <t xml:space="preserve">Plume de lait                                                                                       </t>
  </si>
  <si>
    <t xml:space="preserve">Flan chocolat                                                                                       </t>
  </si>
  <si>
    <t xml:space="preserve">Sac poignées souples                                                                                </t>
  </si>
  <si>
    <t xml:space="preserve">Papier-Mettler KG                                                               </t>
  </si>
  <si>
    <t xml:space="preserve">Fourrés vanille                                                                                     </t>
  </si>
  <si>
    <t xml:space="preserve">Epinards à la crème fraîche                                                                         </t>
  </si>
  <si>
    <t xml:space="preserve">Peter Mertes KG                                                                 </t>
  </si>
  <si>
    <t xml:space="preserve">Riz au lait saveur vanille                                                                          </t>
  </si>
  <si>
    <t xml:space="preserve">Skyr yaourts brassés aux fruits                                                                     </t>
  </si>
  <si>
    <t xml:space="preserve">Naabtaler Milchwerke                                                            </t>
  </si>
  <si>
    <t xml:space="preserve">Gants de ménage                                                                                     </t>
  </si>
  <si>
    <t xml:space="preserve">Branflakes/fruit'n fibre/multigrain                                                                 </t>
  </si>
  <si>
    <t xml:space="preserve">Moutarde de Dijon 440g                                                                              </t>
  </si>
  <si>
    <t xml:space="preserve">Européenne de Condiments                                                        </t>
  </si>
  <si>
    <t xml:space="preserve">Pays d'Oc Cabernet Sauvignon IGP                                                                    </t>
  </si>
  <si>
    <t xml:space="preserve">Méditerranée Rosé IGP 3l-BOX                                                                        </t>
  </si>
  <si>
    <t xml:space="preserve">Lait demi-écrémé 50 cl                                                                              </t>
  </si>
  <si>
    <t xml:space="preserve">Gel à raser femme                                                                                   </t>
  </si>
  <si>
    <t xml:space="preserve">Beurrier tendre doux 82% MG                                                                         </t>
  </si>
  <si>
    <t xml:space="preserve">Vernis à ongles                                                                                     </t>
  </si>
  <si>
    <t xml:space="preserve">Gelée mûre/groseille                                                                                </t>
  </si>
  <si>
    <t xml:space="preserve">Fromage frais fruits                                                                                </t>
  </si>
  <si>
    <t xml:space="preserve">Pizza Royale pâte crue                                                                              </t>
  </si>
  <si>
    <t xml:space="preserve">Spray dégraissant savon Marseille                                                                   </t>
  </si>
  <si>
    <t xml:space="preserve">Disques fraîcheur pour WC                                                                           </t>
  </si>
  <si>
    <t xml:space="preserve">Tablettes anticlaicaire                                                                             </t>
  </si>
  <si>
    <t xml:space="preserve">Mini packs de céréales x8                                                                           </t>
  </si>
  <si>
    <t xml:space="preserve">Crème de jour cellular anti-âge                                                                     </t>
  </si>
  <si>
    <t xml:space="preserve">Crème de nuit cellular anti-âge                                                                     </t>
  </si>
  <si>
    <t xml:space="preserve">Soin oeil cellular anti-âge                                                                         </t>
  </si>
  <si>
    <t xml:space="preserve">Sérum visage cellular anti-âge                                                                      </t>
  </si>
  <si>
    <t xml:space="preserve">Sardines à l'huile d'olive vierge                                                                   </t>
  </si>
  <si>
    <t xml:space="preserve">Compote pomme-poire/pom.pêche                                                                       </t>
  </si>
  <si>
    <t xml:space="preserve">Mini orchidée en vase                                                                               </t>
  </si>
  <si>
    <t xml:space="preserve">Yaourt à boire assortis                                                                             </t>
  </si>
  <si>
    <t xml:space="preserve">Mousse au marron                                                                                    </t>
  </si>
  <si>
    <t xml:space="preserve">Coeur fondant au chocolat                                                                           </t>
  </si>
  <si>
    <t xml:space="preserve">Pizzas Premium                                                                                      </t>
  </si>
  <si>
    <t xml:space="preserve">Girone &amp; Sohn                                                                   </t>
  </si>
  <si>
    <t xml:space="preserve">Campanule Get Mee                                                                                   </t>
  </si>
  <si>
    <t xml:space="preserve">XXL Tablette lave vaisselle                                                                         </t>
  </si>
  <si>
    <t xml:space="preserve">Lessive liquide Ocean Breeze                                                                        </t>
  </si>
  <si>
    <t xml:space="preserve">P'tit choco dessert enfant                                                                          </t>
  </si>
  <si>
    <t xml:space="preserve"> Ciabatta classic                                                                                   </t>
  </si>
  <si>
    <t xml:space="preserve"> Pain aux noix                                                                                      </t>
  </si>
  <si>
    <t xml:space="preserve">Liquide vaiselle                                                                                    </t>
  </si>
  <si>
    <t xml:space="preserve">Yaourt aux fruits rouges                                                                            </t>
  </si>
  <si>
    <t xml:space="preserve">Yaourt aux fruits jaunes                                                                            </t>
  </si>
  <si>
    <t xml:space="preserve">Moutarde mi-forte/à l'ancienne ass.                                                                 </t>
  </si>
  <si>
    <t xml:space="preserve">Pralinés liqueur cerise                                                                             </t>
  </si>
  <si>
    <t xml:space="preserve">Raclette sans croûte                                                                                </t>
  </si>
  <si>
    <t xml:space="preserve">Grand Sapin Nordman 1er choix                                                                       </t>
  </si>
  <si>
    <t xml:space="preserve">Brocolis en fleurette                                                                               </t>
  </si>
  <si>
    <t xml:space="preserve">Oignons émincés                                                                                     </t>
  </si>
  <si>
    <t xml:space="preserve">Galette rois frangip./pépites choco                                                                 </t>
  </si>
  <si>
    <t xml:space="preserve">Pommes Dauphine                                                                                     </t>
  </si>
  <si>
    <t xml:space="preserve">Mydibel N.V.                                                                    </t>
  </si>
  <si>
    <t xml:space="preserve">Huile de friture                                                                                    </t>
  </si>
  <si>
    <t xml:space="preserve">Légumes pour Couscous Potage                                                                        </t>
  </si>
  <si>
    <t xml:space="preserve">Crayon Kajal                                                                                        </t>
  </si>
  <si>
    <t xml:space="preserve">Jus d'orange BIO ABC                                                                                </t>
  </si>
  <si>
    <t xml:space="preserve">Sucre de canne blond bio                                                                            </t>
  </si>
  <si>
    <t xml:space="preserve">Iscal Sugar B.V.                                                                </t>
  </si>
  <si>
    <t xml:space="preserve">Sac en papier                                                                                       </t>
  </si>
  <si>
    <t xml:space="preserve">Sac isotherme                                                                                       </t>
  </si>
  <si>
    <t xml:space="preserve">Sac cabas 4 anses                                                                                   </t>
  </si>
  <si>
    <t xml:space="preserve">Mini stick à lèvres                                                                                 </t>
  </si>
  <si>
    <t xml:space="preserve">Mélange fruits secs Bio                                                                             </t>
  </si>
  <si>
    <t xml:space="preserve">Noberasco S.p.A.                                                                </t>
  </si>
  <si>
    <t xml:space="preserve">Bio Tropical Mix                                                                                    </t>
  </si>
  <si>
    <t xml:space="preserve">Noix de cajou Bio                                                                                   </t>
  </si>
  <si>
    <t xml:space="preserve">Amandes nature Bio                                                                                  </t>
  </si>
  <si>
    <t xml:space="preserve">Cerneaux de Noix Bio                                                                                </t>
  </si>
  <si>
    <t xml:space="preserve">Thé vert assorti                                                                                    </t>
  </si>
  <si>
    <t xml:space="preserve">Chips Barbecue - Fromage SK19                                                                       </t>
  </si>
  <si>
    <t xml:space="preserve">Chips Moutarde-Bolognaise SK20                                                                      </t>
  </si>
  <si>
    <t xml:space="preserve">Biscuits sablés chocolat au lait                                                                    </t>
  </si>
  <si>
    <t xml:space="preserve">Gouda jeune                                                                                         </t>
  </si>
  <si>
    <t xml:space="preserve">Crème légère liquide 12%                                                                            </t>
  </si>
  <si>
    <t xml:space="preserve">Arla Foods Deutschland                                                          </t>
  </si>
  <si>
    <t xml:space="preserve">Muesli croust. Fraises/4 noix                                                                       </t>
  </si>
  <si>
    <t xml:space="preserve">Tarte aux pommes au caramel                                                                         </t>
  </si>
  <si>
    <t xml:space="preserve">Chips                                                                                               </t>
  </si>
  <si>
    <t xml:space="preserve">Crème dessert assortie                                                                              </t>
  </si>
  <si>
    <t xml:space="preserve">Purée de pommes de terre                                                                            </t>
  </si>
  <si>
    <t xml:space="preserve">Conf. gélifiée cola/souris/fraise                                                                   </t>
  </si>
  <si>
    <t xml:space="preserve">Yaourt sur lit de fraise pot verre                                                                  </t>
  </si>
  <si>
    <t xml:space="preserve">Eau de toilette homme assorti                                                                       </t>
  </si>
  <si>
    <t xml:space="preserve">Edam                                                                                                </t>
  </si>
  <si>
    <t xml:space="preserve">La Boîte à Champignons                                                                              </t>
  </si>
  <si>
    <t xml:space="preserve">UpCycle                                                                         </t>
  </si>
  <si>
    <t xml:space="preserve">Café soluble décaféiné UTZ                                                                          </t>
  </si>
  <si>
    <t xml:space="preserve">Seda Outspan Iberia, S.L.                                                       </t>
  </si>
  <si>
    <t xml:space="preserve">Bourgogne Côteaux Bourguignons AOP                                                                  </t>
  </si>
  <si>
    <t xml:space="preserve">Super Alkaline AA XXL                                                                               </t>
  </si>
  <si>
    <t xml:space="preserve">Super Alkaline Microzellen AAAA XXL                                                                 </t>
  </si>
  <si>
    <t xml:space="preserve">Mozzarella sans OGM                                                                                 </t>
  </si>
  <si>
    <t xml:space="preserve">Oeufs de lompe noirs                                                                                </t>
  </si>
  <si>
    <t xml:space="preserve">Chocolat noir menthe                                                                                </t>
  </si>
  <si>
    <t xml:space="preserve">Noix de Californie XXL                                                                              </t>
  </si>
  <si>
    <t xml:space="preserve">Noix Royales XXL                                                                                    </t>
  </si>
  <si>
    <t xml:space="preserve">Cranberries séchées                                                                                 </t>
  </si>
  <si>
    <t xml:space="preserve">Compote pomme-abricot/pomme-rhub.                                                                   </t>
  </si>
  <si>
    <t xml:space="preserve">Compote en gourde all./SSA/fraise                                                                   </t>
  </si>
  <si>
    <t xml:space="preserve">Compote en gourde poire/bana./abric                                                                 </t>
  </si>
  <si>
    <t xml:space="preserve">Compotes en pot x16                                                                                 </t>
  </si>
  <si>
    <t xml:space="preserve">Compote de pomme gourde Multipack                                                                   </t>
  </si>
  <si>
    <t xml:space="preserve">Boisson au yaourt                                                                                   </t>
  </si>
  <si>
    <t xml:space="preserve">Côtes du Ventoux rouge                                                                              </t>
  </si>
  <si>
    <t xml:space="preserve">Nouilles                                                                                            </t>
  </si>
  <si>
    <t xml:space="preserve">Composition Amaryllis colibri                                                                       </t>
  </si>
  <si>
    <t xml:space="preserve">Helexine de Noël                                                                                    </t>
  </si>
  <si>
    <t xml:space="preserve">Noix de cajou et Cranberries                                                                        </t>
  </si>
  <si>
    <t xml:space="preserve">Amandes de Californie                                                                               </t>
  </si>
  <si>
    <t xml:space="preserve">Mélange de noix et fruits secs                                                                      </t>
  </si>
  <si>
    <t xml:space="preserve">Chocolat noir noisettes entières                                                                    </t>
  </si>
  <si>
    <t xml:space="preserve">Graine de potiron Bio                                                                               </t>
  </si>
  <si>
    <t xml:space="preserve">Mélange de graines                                                                                  </t>
  </si>
  <si>
    <t xml:space="preserve">Saucisses de Strasbourg XXL                                                                         </t>
  </si>
  <si>
    <t xml:space="preserve">Ketchup bio                                                                                         </t>
  </si>
  <si>
    <t xml:space="preserve">Essuie-tout 3 plis recyclage 23x24                                                                  </t>
  </si>
  <si>
    <t xml:space="preserve">Purio Sac Poubelle haute 50l                                                                        </t>
  </si>
  <si>
    <t xml:space="preserve">SPHERE GROUP SPAIN S.L.                                                         </t>
  </si>
  <si>
    <t xml:space="preserve">Choco sticks lait/noir                                                                              </t>
  </si>
  <si>
    <t xml:space="preserve">Sacs poubelle avec poignées 50L                                                                     </t>
  </si>
  <si>
    <t xml:space="preserve">Chocolat n. dégustation car/fram/or                                                                 </t>
  </si>
  <si>
    <t xml:space="preserve">Jus de Fruit Petit Déjeuner 1L PET                                                                  </t>
  </si>
  <si>
    <t xml:space="preserve">Boulettes pour chien 4x400g                                                                         </t>
  </si>
  <si>
    <t xml:space="preserve">Bouchées pour chat                                                                                  </t>
  </si>
  <si>
    <t xml:space="preserve">Assortiment céréales Bio                                                                            </t>
  </si>
  <si>
    <t xml:space="preserve">Estyria Naturprodukte                                                           </t>
  </si>
  <si>
    <t xml:space="preserve">Fruit Blast Tropical                                                                                </t>
  </si>
  <si>
    <t xml:space="preserve">Fruit Blast Multivitaminé                                                                           </t>
  </si>
  <si>
    <t xml:space="preserve">Fruit Blast Fruits Rouges                                                                           </t>
  </si>
  <si>
    <t xml:space="preserve">Chocolat noir dégustation origine                                                                   </t>
  </si>
  <si>
    <t xml:space="preserve">Mini goûters fourrés chocolat/frais                                                                 </t>
  </si>
  <si>
    <t xml:space="preserve">Demi-lune cèpes                                                                                     </t>
  </si>
  <si>
    <t xml:space="preserve">Biscuits cacaotés Neo                                                                               </t>
  </si>
  <si>
    <t xml:space="preserve">Ail semoule                                                                                         </t>
  </si>
  <si>
    <t xml:space="preserve">Biscuits crémeux                                                                                    </t>
  </si>
  <si>
    <t xml:space="preserve">Dolciaria Ambrosiana S.r.l.                                                     </t>
  </si>
  <si>
    <t xml:space="preserve">Bière blonde Pur Malt 5%                                                                            </t>
  </si>
  <si>
    <t xml:space="preserve">Jacinthe en tasse                                                                                   </t>
  </si>
  <si>
    <t xml:space="preserve">Kalanchoé en pot couleur                                                                            </t>
  </si>
  <si>
    <t xml:space="preserve">Purée de tomates Bio                                                                                </t>
  </si>
  <si>
    <t xml:space="preserve">Liégeois chocolat                                                                                   </t>
  </si>
  <si>
    <t xml:space="preserve">Tiramisu classique                                                                                  </t>
  </si>
  <si>
    <t xml:space="preserve">DE.MA DESSERT S.R.L.                                                            </t>
  </si>
  <si>
    <t xml:space="preserve">Composition de Noël à offrir                                                                        </t>
  </si>
  <si>
    <t xml:space="preserve">Jacinthe en coupe                                                                                   </t>
  </si>
  <si>
    <t xml:space="preserve">Galettes de riz/maïs Bio                                                                            </t>
  </si>
  <si>
    <t xml:space="preserve">Liégeois assorti                                                                                    </t>
  </si>
  <si>
    <t xml:space="preserve">Nuggets de poulet                                                                                   </t>
  </si>
  <si>
    <t xml:space="preserve">Compote en gourde Bio SSA                                                                           </t>
  </si>
  <si>
    <t xml:space="preserve">Obst- und Gemüseverarbeitung                                                    </t>
  </si>
  <si>
    <t xml:space="preserve">Colin d'Alaska pané 8 portions                                                                      </t>
  </si>
  <si>
    <t xml:space="preserve">Bain dissolvant                                                                                     </t>
  </si>
  <si>
    <t xml:space="preserve">Sushis Family Box                                                                                   </t>
  </si>
  <si>
    <t xml:space="preserve">Petit pot de crème vanille                                                                          </t>
  </si>
  <si>
    <t xml:space="preserve">English Breakfast Thé                                                                               </t>
  </si>
  <si>
    <t xml:space="preserve">Fromage frais framboise                                                                             </t>
  </si>
  <si>
    <t xml:space="preserve">Boisson végétale soja sucrée Bio                                                                    </t>
  </si>
  <si>
    <t xml:space="preserve">Alpro Comm.VA                                                                   </t>
  </si>
  <si>
    <t xml:space="preserve">Papier toilette blanc 2 plis 12 rlx                                                                 </t>
  </si>
  <si>
    <t xml:space="preserve">Spaghetti bio SK1                                                                                   </t>
  </si>
  <si>
    <t xml:space="preserve">Pavés de saumon ASC avec peau x4                                                                    </t>
  </si>
  <si>
    <t xml:space="preserve">Mountone                                                                                            </t>
  </si>
  <si>
    <t xml:space="preserve">WAWI-Euro GmbH                                                                  </t>
  </si>
  <si>
    <t xml:space="preserve">Maasdam                                                                                             </t>
  </si>
  <si>
    <t xml:space="preserve">Sachsenmilch                                                                    </t>
  </si>
  <si>
    <t xml:space="preserve">Blocs WC actifs                                                                                     </t>
  </si>
  <si>
    <t xml:space="preserve">RE.LE.VI. S.p.A.                                                                </t>
  </si>
  <si>
    <t xml:space="preserve"> Baguette "Croustille"                                                                              </t>
  </si>
  <si>
    <t xml:space="preserve">Riz Basmati Traditionnel                                                                            </t>
  </si>
  <si>
    <t xml:space="preserve">Crevettes ASC assorties                                                                             </t>
  </si>
  <si>
    <t xml:space="preserve">Bio Flan Caramel                                                                                    </t>
  </si>
  <si>
    <t xml:space="preserve">Fromage frais aux fruits                                                                            </t>
  </si>
  <si>
    <t xml:space="preserve">Crème dessert Bio                                                                                   </t>
  </si>
  <si>
    <t xml:space="preserve">Yaourts brassés aux fruits Bio                                                                      </t>
  </si>
  <si>
    <t xml:space="preserve">Riz long grain parboiled 8x125g                                                                     </t>
  </si>
  <si>
    <t xml:space="preserve">Purée de pomme dt. sav. d'autrefois                                                                 </t>
  </si>
  <si>
    <t xml:space="preserve">Orchidée 2 Tiges                                                                                    </t>
  </si>
  <si>
    <t xml:space="preserve">Miel bio en squeezer                                                                                </t>
  </si>
  <si>
    <t xml:space="preserve">Gel à raser homme                                                                                   </t>
  </si>
  <si>
    <t xml:space="preserve">Ma Tradition crème main                                                                             </t>
  </si>
  <si>
    <t xml:space="preserve">Ma Tradition savon liquide                                                                          </t>
  </si>
  <si>
    <t xml:space="preserve">Ma Tradition lotion pour le corps                                                                   </t>
  </si>
  <si>
    <t xml:space="preserve">Ma Tradition Crème douche                                                                           </t>
  </si>
  <si>
    <t xml:space="preserve">Ma Tradition gel douche                                                                             </t>
  </si>
  <si>
    <t xml:space="preserve">Tartines craquantes Bio                                                                             </t>
  </si>
  <si>
    <t xml:space="preserve">WEPU-Brot GmbH                                                                  </t>
  </si>
  <si>
    <t xml:space="preserve">Frites de patates douce                                                                             </t>
  </si>
  <si>
    <t xml:space="preserve">Pizza familiale Regina                                                                              </t>
  </si>
  <si>
    <t xml:space="preserve">Freiberger Lebensmittel GmbH                                                    </t>
  </si>
  <si>
    <t xml:space="preserve">Café soluble corsé express UTZ                                                                      </t>
  </si>
  <si>
    <t xml:space="preserve">Deutsche Extrakt-Kaffee GmbH                                                    </t>
  </si>
  <si>
    <t xml:space="preserve">Déodorant bille pour homme                                                                          </t>
  </si>
  <si>
    <t xml:space="preserve">Fromage fondu XXL                                                                                   </t>
  </si>
  <si>
    <t xml:space="preserve">Chicorée café soluble UTZ                                                                           </t>
  </si>
  <si>
    <t xml:space="preserve">Café chicoré au lait Bon Matin UTZ                                                                  </t>
  </si>
  <si>
    <t xml:space="preserve">Café soluble gold UTZ                                                                               </t>
  </si>
  <si>
    <t xml:space="preserve">Pistaches de Californie non salées                                                                  </t>
  </si>
  <si>
    <t xml:space="preserve">Cacahuète grillée à sec                                                                             </t>
  </si>
  <si>
    <t xml:space="preserve">Riz Basmati bio                                                                                     </t>
  </si>
  <si>
    <t xml:space="preserve"> Pastel de Nata                                                                                     </t>
  </si>
  <si>
    <t xml:space="preserve"> Demi Baguette Rustique                                                                             </t>
  </si>
  <si>
    <t xml:space="preserve">Pain 400g                                                                                           </t>
  </si>
  <si>
    <t xml:space="preserve">Bonbons acidulés ARC'andy                                                                           </t>
  </si>
  <si>
    <t xml:space="preserve">5 Mélanges arachides,raisins secs                                                                   </t>
  </si>
  <si>
    <t xml:space="preserve">Biscuits petit déj. allég.Multicér.                                                                 </t>
  </si>
  <si>
    <t xml:space="preserve">Friandises fourrées pour chat                                                                       </t>
  </si>
  <si>
    <t xml:space="preserve">Café classic UTZ en dosettes                                                                        </t>
  </si>
  <si>
    <t xml:space="preserve">Beyers Koffie N. V. / S. A.                                                     </t>
  </si>
  <si>
    <t xml:space="preserve">Chocolat noir pep. café/écl. cacao                                                                  </t>
  </si>
  <si>
    <t xml:space="preserve">Roquefort bio                                                                                       </t>
  </si>
  <si>
    <t xml:space="preserve">Choco surprise                                                                                      </t>
  </si>
  <si>
    <t xml:space="preserve">Hamlet NV                                                                       </t>
  </si>
  <si>
    <t xml:space="preserve">Cappuccino UTZ SK10                                                                                 </t>
  </si>
  <si>
    <t xml:space="preserve">Krüger GmbH &amp; Co. KG                                                            </t>
  </si>
  <si>
    <t xml:space="preserve">Infusions bien-être assorties                                                                       </t>
  </si>
  <si>
    <t xml:space="preserve">Whisky Speyside Single Malt 40%                                                                     </t>
  </si>
  <si>
    <t xml:space="preserve">Barres de céréales assorties                                                                        </t>
  </si>
  <si>
    <t xml:space="preserve">Nutrisun GmbH &amp; Co. KG                                                          </t>
  </si>
  <si>
    <t xml:space="preserve">Lardons                                                                                             </t>
  </si>
  <si>
    <t xml:space="preserve">Handl Tyrol GmbH                                                                </t>
  </si>
  <si>
    <t xml:space="preserve">Amandes grillées salées                                                                             </t>
  </si>
  <si>
    <t xml:space="preserve"> Baguette Rustique                                                                                  </t>
  </si>
  <si>
    <t xml:space="preserve">Vin blanc pour cuisiner                                                                             </t>
  </si>
  <si>
    <t xml:space="preserve">Eau minérale nat. gaz. aromatisée                                                                   </t>
  </si>
  <si>
    <t xml:space="preserve">Crème entière liquide 30%                                                                           </t>
  </si>
  <si>
    <t xml:space="preserve">Préparation en grain expresso Fairt                                                                 </t>
  </si>
  <si>
    <t xml:space="preserve">Barres choco fourrées lait                                                                          </t>
  </si>
  <si>
    <t xml:space="preserve">Barquettes chien assorties                                                                          </t>
  </si>
  <si>
    <t xml:space="preserve">Lingettes bébé refermables                                                                          </t>
  </si>
  <si>
    <t xml:space="preserve">Snacks pour chiens                                                                                  </t>
  </si>
  <si>
    <t xml:space="preserve">Sticks dentaires pour chien                                                                         </t>
  </si>
  <si>
    <t xml:space="preserve">Double Burger SK1                                                                                   </t>
  </si>
  <si>
    <t xml:space="preserve">Couscous légumes bio micro-ondables                                                                 </t>
  </si>
  <si>
    <t xml:space="preserve">Quinoa légumes bio micro-ondables                                                                   </t>
  </si>
  <si>
    <t xml:space="preserve">Démaquillant pour les yeux bi-phasé                                                                 </t>
  </si>
  <si>
    <t xml:space="preserve">Carré coton bébé                                                                                    </t>
  </si>
  <si>
    <t xml:space="preserve">Couches apprentissage Junior13/20kg                                                                 </t>
  </si>
  <si>
    <t xml:space="preserve">Couches apprentissage junior 16/30k                                                                 </t>
  </si>
  <si>
    <t xml:space="preserve">Couches mini3/6kg                                                                                   </t>
  </si>
  <si>
    <t xml:space="preserve">Couches nouveau-né 2/5kg                                                                            </t>
  </si>
  <si>
    <t xml:space="preserve">Couches midi 4/9kg                                                                                  </t>
  </si>
  <si>
    <t xml:space="preserve">Couches junior 11/25kg                                                                              </t>
  </si>
  <si>
    <t xml:space="preserve">Couches Maxi 7/18 kg                                                                                </t>
  </si>
  <si>
    <t xml:space="preserve">Couches XL                                                                                          </t>
  </si>
  <si>
    <t xml:space="preserve">Couches culotte midi                                                                                </t>
  </si>
  <si>
    <t xml:space="preserve">Couches culotte Maxi                                                                                </t>
  </si>
  <si>
    <t xml:space="preserve">Couches culotte junior                                                                              </t>
  </si>
  <si>
    <t xml:space="preserve">Muesli bio basique / multicéréales                                                                  </t>
  </si>
  <si>
    <t xml:space="preserve">distributeur graines pour oiseaux                                                                   </t>
  </si>
  <si>
    <t xml:space="preserve">Christoph &amp; Franz Erdtmann                                                      </t>
  </si>
  <si>
    <t xml:space="preserve">Orchidée Couleur Céramique                                                                          </t>
  </si>
  <si>
    <t xml:space="preserve">Mini Sapin Disney                                                                                   </t>
  </si>
  <si>
    <t xml:space="preserve">Boule de Noël Orchidée                                                                              </t>
  </si>
  <si>
    <t xml:space="preserve">Petit sapin décoré                                                                                  </t>
  </si>
  <si>
    <t xml:space="preserve">Glace Bio                                                                                           </t>
  </si>
  <si>
    <t xml:space="preserve">Carré chocolat au lait                                                                              </t>
  </si>
  <si>
    <t xml:space="preserve">Emincés de poulet                                                                                   </t>
  </si>
  <si>
    <t xml:space="preserve">Diffuseur d'ambiance avec tige                                                                      </t>
  </si>
  <si>
    <t xml:space="preserve">Capsules Espresso (DG)                                                                              </t>
  </si>
  <si>
    <t xml:space="preserve">Capsules Lungo (DG)                                                                                 </t>
  </si>
  <si>
    <t xml:space="preserve">Capsules Cappuccino (DG)                                                                            </t>
  </si>
  <si>
    <t xml:space="preserve">Jasmin Pyramide                                                                                     </t>
  </si>
  <si>
    <t xml:space="preserve">Thon Albacore entier au naturel                                                                     </t>
  </si>
  <si>
    <t xml:space="preserve">Muffins au beurre x 4                                                                               </t>
  </si>
  <si>
    <t xml:space="preserve"> Kebab                                                                                              </t>
  </si>
  <si>
    <t xml:space="preserve">Dentifrice pour enfants                                                                             </t>
  </si>
  <si>
    <t xml:space="preserve">Désodorisant mèche                                                                                  </t>
  </si>
  <si>
    <t xml:space="preserve">Chips craquantes paysannes                                                                          </t>
  </si>
  <si>
    <t xml:space="preserve">Côtes de Gascogne Colombard IGP                                                                     </t>
  </si>
  <si>
    <t xml:space="preserve">PLAIMONT PRODUCTEURS Union                                                      </t>
  </si>
  <si>
    <t xml:space="preserve">Aspartame                                                                                           </t>
  </si>
  <si>
    <t xml:space="preserve">Yaourt nature au lait de brebis                                                                     </t>
  </si>
  <si>
    <t xml:space="preserve">Litière cristaux de sillicat                                                                        </t>
  </si>
  <si>
    <t xml:space="preserve">Cruspies SK1 BBQ/Mexicain                                                                           </t>
  </si>
  <si>
    <t xml:space="preserve">Bolsius Deutschland GmbH                                                        </t>
  </si>
  <si>
    <t xml:space="preserve">Aprés-shampooing spécialisé SK3                                                                     </t>
  </si>
  <si>
    <t xml:space="preserve">Shampooing spécialisé SK1                                                                           </t>
  </si>
  <si>
    <t xml:space="preserve">Terrines premium chat aux poissons                                                                  </t>
  </si>
  <si>
    <t xml:space="preserve">Pot premium                                                                                         </t>
  </si>
  <si>
    <t xml:space="preserve">DMK Eis GmbH                                                                    </t>
  </si>
  <si>
    <t xml:space="preserve">Desserts italiens assortis                                                                          </t>
  </si>
  <si>
    <t xml:space="preserve">Bonbons à l'eucalyptus                                                                              </t>
  </si>
  <si>
    <t xml:space="preserve">Slips d'incontinence medium                                                                         </t>
  </si>
  <si>
    <t xml:space="preserve">Chocolat fourré Tiramisu/crème brul                                                                 </t>
  </si>
  <si>
    <t xml:space="preserve">Cookie gros éclats chocolat                                                                         </t>
  </si>
  <si>
    <t xml:space="preserve">Lingettes bébés avec lotion                                                                         </t>
  </si>
  <si>
    <t xml:space="preserve">Papier toilette enfants                                                                             </t>
  </si>
  <si>
    <t xml:space="preserve">Mousse au chocolat avec coulis                                                                      </t>
  </si>
  <si>
    <t xml:space="preserve">XXL Lingettes imprégnées pour bébé                                                                  </t>
  </si>
  <si>
    <t xml:space="preserve">Noix de Cajou XXL                                                                                   </t>
  </si>
  <si>
    <t xml:space="preserve">Infusions verveine/fruits assorties                                                                 </t>
  </si>
  <si>
    <t xml:space="preserve">Dosettes café corsé UTZ x36                                                                         </t>
  </si>
  <si>
    <t xml:space="preserve">Dosettes café classique UTZ x36                                                                     </t>
  </si>
  <si>
    <t xml:space="preserve">Dosettes café doux/décaféiné UTZx36                                                                 </t>
  </si>
  <si>
    <t xml:space="preserve">Bouquet de roses arlequin                                                                           </t>
  </si>
  <si>
    <t xml:space="preserve">Epinards PNE 530 g                                                                                  </t>
  </si>
  <si>
    <t xml:space="preserve">Haricots beurre très fins PNE 440g                                                                  </t>
  </si>
  <si>
    <t xml:space="preserve">Chocolat noir Bio 70%                                                                               </t>
  </si>
  <si>
    <t xml:space="preserve">Infusions tilleul/camomille assort.                                                                 </t>
  </si>
  <si>
    <t xml:space="preserve">Choux-fleurs précuits vapeur                                                                        </t>
  </si>
  <si>
    <t xml:space="preserve">Brocolis précuits vapeur                                                                            </t>
  </si>
  <si>
    <t xml:space="preserve">Haricots verts précuits vapeur                                                                      </t>
  </si>
  <si>
    <t xml:space="preserve">Confiserie gélifiée Party Mix                                                                       </t>
  </si>
  <si>
    <t xml:space="preserve">Rasoir jetable 3 lames femme                                                                        </t>
  </si>
  <si>
    <t xml:space="preserve">Personna International CZ                                                       </t>
  </si>
  <si>
    <t xml:space="preserve">Masque professionnel                                                                                </t>
  </si>
  <si>
    <t xml:space="preserve">Vodka Premium 40%                                                                                   </t>
  </si>
  <si>
    <t xml:space="preserve">Mousse à raser assortie                                                                             </t>
  </si>
  <si>
    <t xml:space="preserve">Sucettes Mix                                                                                        </t>
  </si>
  <si>
    <t xml:space="preserve">Golden Puffs / Frosted Flakes                                                                       </t>
  </si>
  <si>
    <t xml:space="preserve">Choco Rice/Honey Rings                                                                              </t>
  </si>
  <si>
    <t xml:space="preserve">Choco Moons / Honey Balls                                                                           </t>
  </si>
  <si>
    <t xml:space="preserve">Nuggets étoile avec sauce                                                                           </t>
  </si>
  <si>
    <t xml:space="preserve">Moulins à épices                                                                                    </t>
  </si>
  <si>
    <t xml:space="preserve">Cumin                                                                                               </t>
  </si>
  <si>
    <t xml:space="preserve">Jambon cru italien 11 mois                                                                          </t>
  </si>
  <si>
    <t xml:space="preserve">ALCAR UNO S.p.A.                                                                </t>
  </si>
  <si>
    <t xml:space="preserve">Juliénas AOP                                                                                        </t>
  </si>
  <si>
    <t xml:space="preserve">Entre deux mers AOP                                                                                 </t>
  </si>
  <si>
    <t xml:space="preserve">Nectar Bio Multi Gold                                                                               </t>
  </si>
  <si>
    <t xml:space="preserve">Hermann Pfanner                                                                 </t>
  </si>
  <si>
    <t xml:space="preserve">Bio Organic Multi Rosso                                                                             </t>
  </si>
  <si>
    <t xml:space="preserve">Bouquet fleuriste                                                                                   </t>
  </si>
  <si>
    <t xml:space="preserve">Jambon de Paris -25% de sel                                                                         </t>
  </si>
  <si>
    <t xml:space="preserve">Pur jus de citron Bio                                                                               </t>
  </si>
  <si>
    <t xml:space="preserve">Chardonnay Pays d'Oc IGP                                                                            </t>
  </si>
  <si>
    <t xml:space="preserve">Café noir 4er XXL                                                                                   </t>
  </si>
  <si>
    <t xml:space="preserve">Café Familial 2er XXL                                                                               </t>
  </si>
  <si>
    <t xml:space="preserve">Truite fumée nature XXL ASC                                                                         </t>
  </si>
  <si>
    <t xml:space="preserve">Danforel A/S                                                                    </t>
  </si>
  <si>
    <t xml:space="preserve">Minervois AOP                                                                                       </t>
  </si>
  <si>
    <t xml:space="preserve">Languedoc rouge AOP                                                                                 </t>
  </si>
  <si>
    <t xml:space="preserve">Gants jetables en nitrile                                                                           </t>
  </si>
  <si>
    <t xml:space="preserve">Riz basmati                                                                                         </t>
  </si>
  <si>
    <t xml:space="preserve">Brouilly Domaine AOP                                                                                </t>
  </si>
  <si>
    <t xml:space="preserve">Schtrumpf fleuri                                                                                    </t>
  </si>
  <si>
    <t xml:space="preserve">Campanule pot zinc                                                                                  </t>
  </si>
  <si>
    <t xml:space="preserve">Macon Villages Domaines AOP                                                                         </t>
  </si>
  <si>
    <t xml:space="preserve">Jus d'orange ABC                                                                                    </t>
  </si>
  <si>
    <t xml:space="preserve">Après-shampooing Nature's Beauty                                                                    </t>
  </si>
  <si>
    <t xml:space="preserve">Emil Kiessling GmbH                                                             </t>
  </si>
  <si>
    <t xml:space="preserve">Shampooing doux Nature's Beauty                                                                     </t>
  </si>
  <si>
    <t xml:space="preserve">Bâtonnets vanille/chocolat                                                                          </t>
  </si>
  <si>
    <t xml:space="preserve">Froneri France SAS                                                              </t>
  </si>
  <si>
    <t xml:space="preserve">Huile d'Olive vierge extra (non EU)                                                                 </t>
  </si>
  <si>
    <t xml:space="preserve">Côtes du Rhône Villages Valreas                                                                     </t>
  </si>
  <si>
    <t xml:space="preserve">Spray anti-calcaire                                                                                 </t>
  </si>
  <si>
    <t xml:space="preserve">Pignons de pin                                                                                      </t>
  </si>
  <si>
    <t xml:space="preserve">Soins dentaires                                                                                     </t>
  </si>
  <si>
    <t xml:space="preserve">Defontaine Champagne brut AOP                                                                       </t>
  </si>
  <si>
    <t xml:space="preserve">Champagne AOP Brut Millesime                                                                        </t>
  </si>
  <si>
    <t xml:space="preserve">Gyozas fourrés au poulet et porc                                                                    </t>
  </si>
  <si>
    <t xml:space="preserve">Vichiunai Europe NV                                                             </t>
  </si>
  <si>
    <t xml:space="preserve">Spécialités asiatiques                                                                              </t>
  </si>
  <si>
    <t xml:space="preserve">Crème dessert chocolat Smarties                                                                     </t>
  </si>
  <si>
    <t xml:space="preserve">Liquide vaisselle fruits                                                                            </t>
  </si>
  <si>
    <t xml:space="preserve">Chocolat lait éclats noisettes                                                                      </t>
  </si>
  <si>
    <t xml:space="preserve">Chocolat lait noisettes entières                                                                    </t>
  </si>
  <si>
    <t xml:space="preserve">Chocolat noir 3x100g                                                                                </t>
  </si>
  <si>
    <t xml:space="preserve">Chocolat blanc 2x100g                                                                               </t>
  </si>
  <si>
    <t xml:space="preserve">Crusti Choc 2x100g                                                                                  </t>
  </si>
  <si>
    <t xml:space="preserve">Pavés de saumon x4 ASC                                                                              </t>
  </si>
  <si>
    <t xml:space="preserve">Marine Harvest Boulogne                                                         </t>
  </si>
  <si>
    <t xml:space="preserve">Brosse à dents enfant / junior                                                                      </t>
  </si>
  <si>
    <t xml:space="preserve">Eau de Parfum Diamonds                                                                              </t>
  </si>
  <si>
    <t xml:space="preserve">Crème de douche soin                                                                                </t>
  </si>
  <si>
    <t xml:space="preserve">Soda Lemon Lime                                                                                     </t>
  </si>
  <si>
    <t xml:space="preserve">Jus frais Orange-Mango                                                                              </t>
  </si>
  <si>
    <t xml:space="preserve">Jus frais orange-kiwi                                                                               </t>
  </si>
  <si>
    <t xml:space="preserve">Jus frais mélange tropical                                                                          </t>
  </si>
  <si>
    <t xml:space="preserve">Jus frais pommes-fruits rouges                                                                      </t>
  </si>
  <si>
    <t xml:space="preserve">Jus frais groseille myrtille canneb                                                                 </t>
  </si>
  <si>
    <t xml:space="preserve">Crème pour les mains Sensual                                                                        </t>
  </si>
  <si>
    <t xml:space="preserve">Spray corporel Sensual                                                                              </t>
  </si>
  <si>
    <t xml:space="preserve">Huile de douche Sensual                                                                             </t>
  </si>
  <si>
    <t xml:space="preserve">Crème pour le corps paillettes Sen.                                                                 </t>
  </si>
  <si>
    <t xml:space="preserve">Kong Strong Energy Drink                                                                          </t>
  </si>
  <si>
    <t xml:space="preserve">Cola                                                                                                </t>
  </si>
  <si>
    <t xml:space="preserve">Fil dentaire                                                                                        </t>
  </si>
  <si>
    <t xml:space="preserve">XXL tête glaçage au chocolat                                                                        </t>
  </si>
  <si>
    <t xml:space="preserve">Continental Bakeries B.V.                                                       </t>
  </si>
  <si>
    <t xml:space="preserve">Filet de saumon ASC                                                                                 </t>
  </si>
  <si>
    <t xml:space="preserve">Pavé de saumon Bio                                                                                  </t>
  </si>
  <si>
    <t xml:space="preserve">Carpaccio de saumon ASC parmesan                                                                    </t>
  </si>
  <si>
    <t xml:space="preserve">Etoile de Noël céramique                                                                            </t>
  </si>
  <si>
    <t xml:space="preserve">Hellebore en pot déco                                                                               </t>
  </si>
  <si>
    <t xml:space="preserve">Muesli croustillant aux fruits                                                                      </t>
  </si>
  <si>
    <t xml:space="preserve">Gouda hollandais vieux                                                                              </t>
  </si>
  <si>
    <t xml:space="preserve">Zuivelcoöperatie DeltaMilk                                                      </t>
  </si>
  <si>
    <t xml:space="preserve">Capsules expresso C'est la vie                                                                      </t>
  </si>
  <si>
    <t xml:space="preserve">Capsules expresso Oh La La                                                                          </t>
  </si>
  <si>
    <t xml:space="preserve">Filets de poisson cuisinés                                                                          </t>
  </si>
  <si>
    <t xml:space="preserve">Filets de poisson cuisinés MSC                                                                      </t>
  </si>
  <si>
    <t xml:space="preserve">Quinoa Bio                                                                                          </t>
  </si>
  <si>
    <t xml:space="preserve">Capsules Café au lait                                                                               </t>
  </si>
  <si>
    <t xml:space="preserve">Maquereaux MSC au vin blanc                                                                         </t>
  </si>
  <si>
    <t xml:space="preserve">Maquereaux MSC à la moutarde                                                                        </t>
  </si>
  <si>
    <t xml:space="preserve">Maquereaux MSC tomate / escabèche                                                                   </t>
  </si>
  <si>
    <t xml:space="preserve">Huile pour le corps Sensual                                                                         </t>
  </si>
  <si>
    <t xml:space="preserve">Mousse de douche Sensual                                                                            </t>
  </si>
  <si>
    <t xml:space="preserve">Emincé de filet de dinde                                                                            </t>
  </si>
  <si>
    <t xml:space="preserve">Fourrés chocolat                                                                                    </t>
  </si>
  <si>
    <t xml:space="preserve">Maasdam sans OGM                                                                                    </t>
  </si>
  <si>
    <t xml:space="preserve">Fromage frais mon p'tit plaisir                                                                     </t>
  </si>
  <si>
    <t xml:space="preserve">Palmier Bio                                                                                         </t>
  </si>
  <si>
    <t xml:space="preserve">Barres choco fourrées au lait                                                                       </t>
  </si>
  <si>
    <t xml:space="preserve">Soda Orange pulpe 12 2%                                                                             </t>
  </si>
  <si>
    <t xml:space="preserve">Soda Orange 10 + 2 %                                                                                </t>
  </si>
  <si>
    <t xml:space="preserve">Limonade                                                                                            </t>
  </si>
  <si>
    <t xml:space="preserve">Boisson aux fruits Tropical                                                                         </t>
  </si>
  <si>
    <t xml:space="preserve">Boisson Instantanée chocolatée                                                                      </t>
  </si>
  <si>
    <t xml:space="preserve">Cola 6x0,33l-DS                                                                                     </t>
  </si>
  <si>
    <t xml:space="preserve">Barres céréales enfant                                                                              </t>
  </si>
  <si>
    <t xml:space="preserve">Farfalle/Penne                                                                                      </t>
  </si>
  <si>
    <t xml:space="preserve">Azalées de fêtes                                                                                    </t>
  </si>
  <si>
    <t xml:space="preserve">Oeuf géant décore avec poussin                                                                      </t>
  </si>
  <si>
    <t xml:space="preserve">Confiserie Rohan S.A.                                                           </t>
  </si>
  <si>
    <t xml:space="preserve">Café familial Robusta                                                                               </t>
  </si>
  <si>
    <t xml:space="preserve">Boisson aux fruits rouges/Orange                                                                    </t>
  </si>
  <si>
    <t xml:space="preserve">Figurines de pâques emb. rigide                                                                     </t>
  </si>
  <si>
    <t xml:space="preserve">Lessive savon de Marseille                                                                          </t>
  </si>
  <si>
    <t xml:space="preserve">Lessive liquide 40 lavages                                                                          </t>
  </si>
  <si>
    <t xml:space="preserve">Capsules expresso viola                                                                             </t>
  </si>
  <si>
    <t xml:space="preserve">Capsules expresso ristretto                                                                         </t>
  </si>
  <si>
    <t xml:space="preserve">Capsules expresso classico                                                                          </t>
  </si>
  <si>
    <t xml:space="preserve">Capsules Forte Lungo                                                                                </t>
  </si>
  <si>
    <t xml:space="preserve">Capsules expresso Viola décaf                                                                       </t>
  </si>
  <si>
    <t xml:space="preserve">Capsules Modena Lungo                                                                               </t>
  </si>
  <si>
    <t xml:space="preserve">Nectar Goyave / banane                                                                              </t>
  </si>
  <si>
    <t xml:space="preserve">Nectar Abricot/Mangue                                                                               </t>
  </si>
  <si>
    <t xml:space="preserve">Jus de fr.frais oran./orange sangu.                                                                 </t>
  </si>
  <si>
    <t xml:space="preserve">Jus de fruits frais pomme/multifr.                                                                  </t>
  </si>
  <si>
    <t xml:space="preserve">Lapin en peluche musical                                                                            </t>
  </si>
  <si>
    <t xml:space="preserve">Windel GmbH &amp; Co. KG                                                            </t>
  </si>
  <si>
    <t xml:space="preserve">Tiger Crunch / Turtle Crousti                                                                       </t>
  </si>
  <si>
    <t xml:space="preserve">Milk Pillows XXL                                                                                    </t>
  </si>
  <si>
    <t xml:space="preserve">Choco Shells XXL                                                                                    </t>
  </si>
  <si>
    <t xml:space="preserve">Choco Rice XXL                                                                                      </t>
  </si>
  <si>
    <t xml:space="preserve">Tiger Crunch XXL                                                                                    </t>
  </si>
  <si>
    <t xml:space="preserve">Nougat Bits XXL                                                                                     </t>
  </si>
  <si>
    <t xml:space="preserve">Milk-Choco-Bits XXL                                                                                 </t>
  </si>
  <si>
    <t xml:space="preserve">Curcuma moulu                                                                                       </t>
  </si>
  <si>
    <t xml:space="preserve">Farine Bio T65                                                                                      </t>
  </si>
  <si>
    <t xml:space="preserve">Elbland Bio-Mühle GmbH                                                          </t>
  </si>
  <si>
    <t xml:space="preserve">Farine T45                                                                                          </t>
  </si>
  <si>
    <t xml:space="preserve">Frießinger Mühle GmbH                                                           </t>
  </si>
  <si>
    <t xml:space="preserve">Perlembourg Pils 4.2%                                                                               </t>
  </si>
  <si>
    <t xml:space="preserve">Papier toilette rose 12 rouleaux                                                                    </t>
  </si>
  <si>
    <t xml:space="preserve">SOFIDEL FRANCE SAS                                                              </t>
  </si>
  <si>
    <t xml:space="preserve">Capsules espresso  classico x20 XXL                                                                 </t>
  </si>
  <si>
    <t xml:space="preserve">Capsules x20 modena XXL                                                                             </t>
  </si>
  <si>
    <t xml:space="preserve">Capsules espresso x20 Intenso XXL                                                                   </t>
  </si>
  <si>
    <t xml:space="preserve">Cafetière capsules 1260 W                                                                           </t>
  </si>
  <si>
    <t xml:space="preserve">Chaussures enfant                                                                                   </t>
  </si>
  <si>
    <t xml:space="preserve">Chaussures homme                                                                                    </t>
  </si>
  <si>
    <t xml:space="preserve">Ferro Footwear B.V.                                                             </t>
  </si>
  <si>
    <t xml:space="preserve">Housses de siège auto 14 p.                                                                         </t>
  </si>
  <si>
    <t xml:space="preserve">Couette avec Polygiene 140x200 cm                                                                   </t>
  </si>
  <si>
    <t xml:space="preserve">Poêle alu induction 28 cm                                                                           </t>
  </si>
  <si>
    <t xml:space="preserve">Batterie externe Powerbank 5000mAh                                                                  </t>
  </si>
  <si>
    <t xml:space="preserve">KWB Ensemble tourillonneur-gabarit                                                                  </t>
  </si>
  <si>
    <t xml:space="preserve">kwb Germany GmbH                                                                </t>
  </si>
  <si>
    <t xml:space="preserve">Sanitas Bottes de pressothérapie                                                                    </t>
  </si>
  <si>
    <t xml:space="preserve">Beurer GmbH                                                                     </t>
  </si>
  <si>
    <t xml:space="preserve">Coussin massage Shiatsu dos/nuque                                                                   </t>
  </si>
  <si>
    <t xml:space="preserve">Pièces fixation et raccordement                                                                     </t>
  </si>
  <si>
    <t xml:space="preserve">Medisana Thermomètre à infrarouge                                                                   </t>
  </si>
  <si>
    <t xml:space="preserve">Medisana AG                                                                     </t>
  </si>
  <si>
    <t xml:space="preserve">Extracteur de jus                                                                                   </t>
  </si>
  <si>
    <t xml:space="preserve">Lidl Polska Sklepy Spozywcze                                                    </t>
  </si>
  <si>
    <t xml:space="preserve">Set de manucure 217p                                                                                </t>
  </si>
  <si>
    <t xml:space="preserve">Étagère spéciale charges lourdes                                                                    </t>
  </si>
  <si>
    <t xml:space="preserve">Protège pare-brise isotherme                                                                        </t>
  </si>
  <si>
    <t xml:space="preserve">Inter-Union Technohandel                                                        </t>
  </si>
  <si>
    <t xml:space="preserve">Couvre-siège massant                                                                                </t>
  </si>
  <si>
    <t xml:space="preserve">Parure de lit enfant 140x200 cm fla                                                                 </t>
  </si>
  <si>
    <t xml:space="preserve">Drap-housse en flanelle 90-100 x 20                                                                 </t>
  </si>
  <si>
    <t xml:space="preserve">Parure de lit coton bio 240x220cm                                                                   </t>
  </si>
  <si>
    <t xml:space="preserve">Parure de lit coton bio 260x240cm                                                                   </t>
  </si>
  <si>
    <t xml:space="preserve">Tondeuse barbe et cheveux 3,7 V                                                                     </t>
  </si>
  <si>
    <t xml:space="preserve">Drap-housse coton bio 140 - 160 x20                                                                 </t>
  </si>
  <si>
    <t xml:space="preserve">Drap-housse coton bio 180 - 200 x20                                                                 </t>
  </si>
  <si>
    <t xml:space="preserve">Plaid en tricot 130x170 cm                                                                          </t>
  </si>
  <si>
    <t xml:space="preserve">Couette en microfibre 140x200 cm                                                                    </t>
  </si>
  <si>
    <t xml:space="preserve">Couette en microfibre 240x220 cm                                                                    </t>
  </si>
  <si>
    <t xml:space="preserve">Couette en microfibre 260x240 cm                                                                    </t>
  </si>
  <si>
    <t xml:space="preserve">Écouteurs ou chargeur powerbank                                                                     </t>
  </si>
  <si>
    <t xml:space="preserve">Drap-housse jersey 180-200x200x25cm                                                                 </t>
  </si>
  <si>
    <t xml:space="preserve">Balai vapeur                                                                                        </t>
  </si>
  <si>
    <t xml:space="preserve">Sonnette sans fil                                                                                   </t>
  </si>
  <si>
    <t xml:space="preserve">Matériel d'entraînement sportif d'e                                                                 </t>
  </si>
  <si>
    <t xml:space="preserve">Sanitas Thermomètre multifonction                                                                   </t>
  </si>
  <si>
    <t xml:space="preserve">Baladeuse LED rechargeable                                                                          </t>
  </si>
  <si>
    <t xml:space="preserve">Brosse spécial pare-brise                                                                           </t>
  </si>
  <si>
    <t xml:space="preserve">Dirt Devil Aspirateur PICK UP 800W                                                                  </t>
  </si>
  <si>
    <t xml:space="preserve">Royal Appliance                                                                 </t>
  </si>
  <si>
    <t xml:space="preserve">Étagère de douche télescopique                                                                      </t>
  </si>
  <si>
    <t xml:space="preserve">Bloc à dessin A4 100 pages                                                                          </t>
  </si>
  <si>
    <t xml:space="preserve">Hamelin GmbH                                                                    </t>
  </si>
  <si>
    <t xml:space="preserve">Ponceuse à bande 600 W                                                                              </t>
  </si>
  <si>
    <t xml:space="preserve">Vis en acier inoxydable                                                                             </t>
  </si>
  <si>
    <t xml:space="preserve">Suki International GmbH                                                         </t>
  </si>
  <si>
    <t xml:space="preserve">Cric hydraulique 2 T                                                                                </t>
  </si>
  <si>
    <t xml:space="preserve">Accessoire de nettoyage                                                                             </t>
  </si>
  <si>
    <t xml:space="preserve">Parapluie                                                                                           </t>
  </si>
  <si>
    <t xml:space="preserve">Dr. Neuser Import GmbH                                                          </t>
  </si>
  <si>
    <t xml:space="preserve">Pyjama flanelle homme                                                                               </t>
  </si>
  <si>
    <t xml:space="preserve">Chargeur de batterie pour voiture                                                                   </t>
  </si>
  <si>
    <t xml:space="preserve">Sweat zippé garçon                                                                                  </t>
  </si>
  <si>
    <t xml:space="preserve">Parure de lit 140x200 cm                                                                            </t>
  </si>
  <si>
    <t xml:space="preserve">Parure de lit double face 240x220cm                                                                 </t>
  </si>
  <si>
    <t xml:space="preserve">Parure double face 260x240cm                                                                        </t>
  </si>
  <si>
    <t xml:space="preserve">Drap-housse jersey 140-160x200cm                                                                    </t>
  </si>
  <si>
    <t xml:space="preserve">Drap-housse jersey 180-200x200cm                                                                    </t>
  </si>
  <si>
    <t xml:space="preserve">Oreiller anti-acariens 60x60cm                                                                      </t>
  </si>
  <si>
    <t xml:space="preserve">Oreiller cervical 55 x 35 cm                                                                        </t>
  </si>
  <si>
    <t xml:space="preserve">Couette anti-acariens 140x200cm                                                                     </t>
  </si>
  <si>
    <t xml:space="preserve">Couette anti-acariens 240x220cm                                                                     </t>
  </si>
  <si>
    <t xml:space="preserve">Couette anti-acariens 260x240cm                                                                     </t>
  </si>
  <si>
    <t xml:space="preserve">Chemise fille                                                                                       </t>
  </si>
  <si>
    <t xml:space="preserve">Parure de lit 240x220 cm                                                                            </t>
  </si>
  <si>
    <t xml:space="preserve">Parure de lit 260 x 240 cm                                                                          </t>
  </si>
  <si>
    <t xml:space="preserve">Drap-housse en jersey 140-160x200cm                                                                 </t>
  </si>
  <si>
    <t xml:space="preserve">Drap-housse en jersey 180-200x200cm                                                                 </t>
  </si>
  <si>
    <t xml:space="preserve">Plaid microfibre 200x150cm                                                                          </t>
  </si>
  <si>
    <t xml:space="preserve">Combinaison peluche femme                                                                           </t>
  </si>
  <si>
    <t xml:space="preserve">Pyjama flanelle femme                                                                               </t>
  </si>
  <si>
    <t xml:space="preserve">Seau ou cuvette env. 12 l                                                                           </t>
  </si>
  <si>
    <t xml:space="preserve">Rotho Advanced Solutions AG                                                     </t>
  </si>
  <si>
    <t xml:space="preserve">Brosse ou goupillons                                                                                </t>
  </si>
  <si>
    <t xml:space="preserve">Pyjama fille                                                                                        </t>
  </si>
  <si>
    <t xml:space="preserve">Pyjama garçon                                                                                       </t>
  </si>
  <si>
    <t xml:space="preserve">Boîtes de rangement 2 ou 4p                                                                         </t>
  </si>
  <si>
    <t xml:space="preserve">Peinture cuisine/salle de bains 5 l                                                                 </t>
  </si>
  <si>
    <t xml:space="preserve">Peinture anti-moisissures 2,5 l                                                                     </t>
  </si>
  <si>
    <t xml:space="preserve">Coussins de montage gonflables                                                                      </t>
  </si>
  <si>
    <t xml:space="preserve">Draisienne ou cheval à bascule bois                                                                 </t>
  </si>
  <si>
    <t xml:space="preserve">Accessoires pour perceuse                                                                           </t>
  </si>
  <si>
    <t xml:space="preserve">Accessoire de fitness                                                                               </t>
  </si>
  <si>
    <t xml:space="preserve">Tapis de fitness                                                                                    </t>
  </si>
  <si>
    <t xml:space="preserve">Bandes élastiques de fitness                                                                        </t>
  </si>
  <si>
    <t xml:space="preserve">Film appareil de mise sous vide                                                                     </t>
  </si>
  <si>
    <t xml:space="preserve">Ponceuse multifonction 3 en 1                                                                       </t>
  </si>
  <si>
    <t xml:space="preserve">Aspirateur balai et à main                                                                          </t>
  </si>
  <si>
    <t xml:space="preserve">Boîte à outils                                                                                      </t>
  </si>
  <si>
    <t xml:space="preserve">Diable pliant 50 kg                                                                                 </t>
  </si>
  <si>
    <t xml:space="preserve">Panneau à outils 30p                                                                                </t>
  </si>
  <si>
    <t xml:space="preserve">Manilles ou mousquetons                                                                             </t>
  </si>
  <si>
    <t xml:space="preserve">Équerre ou niveau à bulle                                                                           </t>
  </si>
  <si>
    <t xml:space="preserve">Aspirateur à main eau et poussière                                                                  </t>
  </si>
  <si>
    <t xml:space="preserve">Serre-câbles 250 p                                                                                  </t>
  </si>
  <si>
    <t xml:space="preserve">Clé à cliquet                                                                                       </t>
  </si>
  <si>
    <t xml:space="preserve">Set d'outils                                                                                        </t>
  </si>
  <si>
    <t xml:space="preserve">Corde multi-usage                                                                                   </t>
  </si>
  <si>
    <t xml:space="preserve">Ecrous/rondelles/crochets et pitons                                                                 </t>
  </si>
  <si>
    <t xml:space="preserve">Set de crochets 12p                                                                                 </t>
  </si>
  <si>
    <t xml:space="preserve">Outil multifonction 310 W                                                                           </t>
  </si>
  <si>
    <t xml:space="preserve">Baladeuse LED                                                                                       </t>
  </si>
  <si>
    <t xml:space="preserve">Ponceuse à disque                                                                                   </t>
  </si>
  <si>
    <t xml:space="preserve">Ansmann Veilleuse enfant ciel                                                                       </t>
  </si>
  <si>
    <t xml:space="preserve">ANSMANN AG                                                                      </t>
  </si>
  <si>
    <t xml:space="preserve">Balance de cuisine                                                                                  </t>
  </si>
  <si>
    <t xml:space="preserve">Bol mélangeur avec couvercle 5l                                                                     </t>
  </si>
  <si>
    <t xml:space="preserve">Batteur à main 300 W                                                                                </t>
  </si>
  <si>
    <t xml:space="preserve">Support pour perceuse                                                                               </t>
  </si>
  <si>
    <t xml:space="preserve">Perceuse à percussion 750 W                                                                         </t>
  </si>
  <si>
    <t xml:space="preserve">Thermomètre numérique                                                                               </t>
  </si>
  <si>
    <t xml:space="preserve">Anaf Extincteur pression                                                                            </t>
  </si>
  <si>
    <t xml:space="preserve">ANAF FIRE PROTECTION S.p.A.                                                     </t>
  </si>
  <si>
    <t xml:space="preserve">Chargeur allume-cigare USB                                                                          </t>
  </si>
  <si>
    <t xml:space="preserve">Pyjama flanelle garçon                                                                              </t>
  </si>
  <si>
    <t xml:space="preserve">Pyjama flanelle fille                                                                               </t>
  </si>
  <si>
    <t xml:space="preserve">Set de tapis de voiture universels                                                                  </t>
  </si>
  <si>
    <t xml:space="preserve">Matelas confort 7 zones simple                                                                      </t>
  </si>
  <si>
    <t xml:space="preserve">Matelas confort 7 zones double                                                                      </t>
  </si>
  <si>
    <t xml:space="preserve">Chaussettes antidérapantes fille                                                                    </t>
  </si>
  <si>
    <t xml:space="preserve">EWS Textilvertrieb                                                              </t>
  </si>
  <si>
    <t xml:space="preserve">Chaussettes antidérapantes garçon                                                                   </t>
  </si>
  <si>
    <t xml:space="preserve">Sac de coffre ou tapis de coffre                                                                    </t>
  </si>
  <si>
    <t xml:space="preserve">Medisana Ceinture abdominale                                                                        </t>
  </si>
  <si>
    <t xml:space="preserve">Ballon de gymnastique                                                                               </t>
  </si>
  <si>
    <t xml:space="preserve">Bottines femme                                                                                      </t>
  </si>
  <si>
    <t xml:space="preserve">Theo Henkelman Schoenen B.V.                                                    </t>
  </si>
  <si>
    <t xml:space="preserve">Chaussons garçon                                                                                    </t>
  </si>
  <si>
    <t xml:space="preserve">Chaussons fille                                                                                     </t>
  </si>
  <si>
    <t xml:space="preserve">Chaussons homme                                                                                     </t>
  </si>
  <si>
    <t xml:space="preserve">Chaussons ballerines                                                                                </t>
  </si>
  <si>
    <t xml:space="preserve">Support pour Monsieur Cuisine                                                                       </t>
  </si>
  <si>
    <t xml:space="preserve">Spatules Monsieur Cuisine 2p                                                                        </t>
  </si>
  <si>
    <t xml:space="preserve">Abattant WC en Duroplast                                                                            </t>
  </si>
  <si>
    <t xml:space="preserve">K &amp; H Sanitary GmbH                                                             </t>
  </si>
  <si>
    <t xml:space="preserve">Lampe de poche à LED                                                                                </t>
  </si>
  <si>
    <t xml:space="preserve">Olympia Business Systems                                                        </t>
  </si>
  <si>
    <t xml:space="preserve">Mellert SLT GmbH &amp; Co. KG                                                       </t>
  </si>
  <si>
    <t xml:space="preserve">Tubes de peinture acrylique 5 /6p                                                                   </t>
  </si>
  <si>
    <t xml:space="preserve">Toile à peindre 1/2p                                                                                </t>
  </si>
  <si>
    <t xml:space="preserve">Marabu Peinture, marqueur acryl.                                                                    </t>
  </si>
  <si>
    <t xml:space="preserve">Marabu GmbH &amp; Co. KG                                                            </t>
  </si>
  <si>
    <t xml:space="preserve">Textile adhésif 30x100 cm                                                                           </t>
  </si>
  <si>
    <t xml:space="preserve">Marabu Carton à peindre                                                                             </t>
  </si>
  <si>
    <t xml:space="preserve">Joint en caoutchouc profil W                                                                        </t>
  </si>
  <si>
    <t xml:space="preserve">Console de cheminée                                                                                 </t>
  </si>
  <si>
    <t xml:space="preserve">Gobelet gradué ou boîte micro-ondes                                                                 </t>
  </si>
  <si>
    <t xml:space="preserve">Range-couverts ou égouttoir                                                                         </t>
  </si>
  <si>
    <t xml:space="preserve">Tontarelli S.p.A.                                                               </t>
  </si>
  <si>
    <t xml:space="preserve">Veilleuse avec projection murale                                                                    </t>
  </si>
  <si>
    <t xml:space="preserve">Action GmbH                                                                     </t>
  </si>
  <si>
    <t xml:space="preserve">Plats à four 2p                                                                                     </t>
  </si>
  <si>
    <t xml:space="preserve">C. Hermann Gross                                                                </t>
  </si>
  <si>
    <t xml:space="preserve">Panier à provisions pliant 26 L                                                                     </t>
  </si>
  <si>
    <t xml:space="preserve">Parure de lit double face 140x200cm                                                                 </t>
  </si>
  <si>
    <t xml:space="preserve">Drap-housse jersey 90-100 x 200 cm                                                                  </t>
  </si>
  <si>
    <t xml:space="preserve">Drap-housse jersey 140-160 x 200 cm                                                                 </t>
  </si>
  <si>
    <t xml:space="preserve">Parure montre et bracelet femme                                                                     </t>
  </si>
  <si>
    <t xml:space="preserve">Leifheit Table à repasser                                                                           </t>
  </si>
  <si>
    <t xml:space="preserve">Leifheit AG                                                                     </t>
  </si>
  <si>
    <t xml:space="preserve">Meuble pour machine à laver blanc                                                                   </t>
  </si>
  <si>
    <t xml:space="preserve">Cintres                                                                                             </t>
  </si>
  <si>
    <t xml:space="preserve">Fer à repasser vapeur 2 400 W                                                                       </t>
  </si>
  <si>
    <t xml:space="preserve">Panier télescopique/pinces à linge                                                                  </t>
  </si>
  <si>
    <t xml:space="preserve">Filets à linge ronds ou rectangulai                                                                 </t>
  </si>
  <si>
    <t xml:space="preserve">Panier à linge 50 L                                                                                 </t>
  </si>
  <si>
    <t xml:space="preserve">Plafonnier LED détecteur mouvements                                                                 </t>
  </si>
  <si>
    <t xml:space="preserve">Edi Light GmbH                                                                  </t>
  </si>
  <si>
    <t xml:space="preserve">Lampadaire LED à intensité variable                                                                 </t>
  </si>
  <si>
    <t xml:space="preserve">Lampe de bureau variateur tactile                                                                   </t>
  </si>
  <si>
    <t xml:space="preserve">Briloner Leuchten GmbH                                                          </t>
  </si>
  <si>
    <t xml:space="preserve">Pattex Mastic acrylique 310 ml                                                                      </t>
  </si>
  <si>
    <t xml:space="preserve">Henkel AG &amp; Co. KGaA                                                            </t>
  </si>
  <si>
    <t xml:space="preserve">Feuilles abrasives ponceuse à bande                                                                 </t>
  </si>
  <si>
    <t xml:space="preserve">UHU Colle époxy/mastic de réparatio                                                                 </t>
  </si>
  <si>
    <t xml:space="preserve">UHU GmbH &amp; Co. KG                                                               </t>
  </si>
  <si>
    <t xml:space="preserve">3M Ruban adhésif de réparation/doub                                                                 </t>
  </si>
  <si>
    <t xml:space="preserve">3 M Deutschland GmbH                                                            </t>
  </si>
  <si>
    <t xml:space="preserve">Feutre blanchisseur/retouche bois                                                                   </t>
  </si>
  <si>
    <t xml:space="preserve">Équerres ou pattes d'assemblage                                                                     </t>
  </si>
  <si>
    <t xml:space="preserve">Accessoires de meulage mini outil                                                                   </t>
  </si>
  <si>
    <t xml:space="preserve">Vis pour aggloméré                                                                                  </t>
  </si>
  <si>
    <t xml:space="preserve">Meuleuse-perceuse de précision                                                                      </t>
  </si>
  <si>
    <t xml:space="preserve">Détecteur multifonction/humidimètre                                                                 </t>
  </si>
  <si>
    <t xml:space="preserve">Set d'embouts                                                                                       </t>
  </si>
  <si>
    <t xml:space="preserve">Poste à souder à fil fourré                                                                         </t>
  </si>
  <si>
    <t xml:space="preserve">C.M.C. Creative                                                                 </t>
  </si>
  <si>
    <t xml:space="preserve">Tournevis                                                                                           </t>
  </si>
  <si>
    <t xml:space="preserve">Mini set pour outil multifonction                                                                   </t>
  </si>
  <si>
    <t xml:space="preserve">Râpe multifonction                                                                                  </t>
  </si>
  <si>
    <t xml:space="preserve">Douchette multifonction 3 jets                                                                      </t>
  </si>
  <si>
    <t xml:space="preserve">Flexible de douche                                                                                  </t>
  </si>
  <si>
    <t xml:space="preserve">Brosse et porte-brosse WC                                                                           </t>
  </si>
  <si>
    <t xml:space="preserve">Nespoli Deutschland GmbH                                                        </t>
  </si>
  <si>
    <t xml:space="preserve">Tondeuse barbe et cheveux                                                                           </t>
  </si>
  <si>
    <t xml:space="preserve">Souris sans fil                                                                                     </t>
  </si>
  <si>
    <t xml:space="preserve">Éclairage multifonction LED                                                                         </t>
  </si>
  <si>
    <t xml:space="preserve">Tradix GmbH &amp; Co. KG                                                            </t>
  </si>
  <si>
    <t xml:space="preserve">Bandage de poignet AIRcon                                                                           </t>
  </si>
  <si>
    <t xml:space="preserve">Coussin de massage Shiatsu                                                                          </t>
  </si>
  <si>
    <t xml:space="preserve">Genouillère AIRcon                                                                                  </t>
  </si>
  <si>
    <t xml:space="preserve">Sanitas Tensiomètre                                                                                 </t>
  </si>
  <si>
    <t xml:space="preserve">Ceinture lombaire AIRcon                                                                            </t>
  </si>
  <si>
    <t xml:space="preserve">Pritt Ruban adhésif ou colle                                                                        </t>
  </si>
  <si>
    <t xml:space="preserve">Bloc de classement à tiroirs                                                                        </t>
  </si>
  <si>
    <t xml:space="preserve">BIC Fournitures de bureau                                                                           </t>
  </si>
  <si>
    <t xml:space="preserve">Société BIC S.A.                                                                </t>
  </si>
  <si>
    <t xml:space="preserve">Carnets à spirales A5/A6 2 ou 3p                                                                    </t>
  </si>
  <si>
    <t xml:space="preserve">Enveloppes adhésives C5 ou B4                                                                       </t>
  </si>
  <si>
    <t xml:space="preserve">mayer-network GmbH                                                              </t>
  </si>
  <si>
    <t xml:space="preserve">Stylos à bille rétractables 10p                                                                     </t>
  </si>
  <si>
    <t xml:space="preserve">Blocs-notes adhésifs 9p                                                                             </t>
  </si>
  <si>
    <t xml:space="preserve">Notes adhésives                                                                                     </t>
  </si>
  <si>
    <t xml:space="preserve">Venceremos GmbH &amp; Co.KG                                                         </t>
  </si>
  <si>
    <t xml:space="preserve">Stylet 2 en 1                                                                                       </t>
  </si>
  <si>
    <t xml:space="preserve">Calculatrice                                                                                        </t>
  </si>
  <si>
    <t xml:space="preserve">Bloc-notes 800 feuilles                                                                             </t>
  </si>
  <si>
    <t xml:space="preserve">Max Bringmann KG                                                                </t>
  </si>
  <si>
    <t xml:space="preserve">Lampe de table ou à pince LED                                                                       </t>
  </si>
  <si>
    <t xml:space="preserve">Destructeur de documents portatif                                                                   </t>
  </si>
  <si>
    <t xml:space="preserve">Tefal Poêle à crêpe 25 cm                                                                           </t>
  </si>
  <si>
    <t xml:space="preserve">GROUPE SEB FRANCE S.A.S.                                                        </t>
  </si>
  <si>
    <t xml:space="preserve">Rehausseur de voiture pour enfant                                                                   </t>
  </si>
  <si>
    <t xml:space="preserve">Blender à smoothies                                                                                 </t>
  </si>
  <si>
    <t xml:space="preserve">Renvoi d'angle pour vissage/perçage                                                                 </t>
  </si>
  <si>
    <t xml:space="preserve">Bloc multiprise multimédia                                                                          </t>
  </si>
  <si>
    <t xml:space="preserve">H. Brennenstuhl S.A.S.                                                          </t>
  </si>
  <si>
    <t xml:space="preserve">Bandage, bandes ou compresses                                                                       </t>
  </si>
  <si>
    <t xml:space="preserve">Coussin de tourbe/ pour enfant                                                                      </t>
  </si>
  <si>
    <t xml:space="preserve">Blue Bell Cosmetic GmbH                                                         </t>
  </si>
  <si>
    <t xml:space="preserve">Coussin de tourbe cervicales/dorsal                                                                 </t>
  </si>
  <si>
    <t xml:space="preserve">Collants bébé Bio 5p                                                                                </t>
  </si>
  <si>
    <t xml:space="preserve">Lutz GmbH                                                                       </t>
  </si>
  <si>
    <t xml:space="preserve">Bavoirs bébé Bio 3p                                                                                 </t>
  </si>
  <si>
    <t xml:space="preserve">You &amp; Me Fashion                                                                </t>
  </si>
  <si>
    <t xml:space="preserve">Parure de lit bébé Bio 3p                                                                           </t>
  </si>
  <si>
    <t xml:space="preserve">Bodies croisés bébé Bio 5p                                                                          </t>
  </si>
  <si>
    <t xml:space="preserve">Gigoteuse bébé Bio                                                                                  </t>
  </si>
  <si>
    <t xml:space="preserve">Julius Hüpeden GmbH                                                             </t>
  </si>
  <si>
    <t xml:space="preserve">Vestes bébé Bio 2p                                                                                  </t>
  </si>
  <si>
    <t xml:space="preserve">T-shirts manches longues bébé Bio 3                                                                 </t>
  </si>
  <si>
    <t xml:space="preserve">Pantalons molletonnés bébé Bio 3p                                                                   </t>
  </si>
  <si>
    <t xml:space="preserve">Suprema Strick- und                                                             </t>
  </si>
  <si>
    <t xml:space="preserve">Leggings de grossesse Bio 2p                                                                        </t>
  </si>
  <si>
    <t xml:space="preserve">T-shirts de grossesse Bio 2p                                                                        </t>
  </si>
  <si>
    <t xml:space="preserve">Ensemble en velours femme                                                                           </t>
  </si>
  <si>
    <t xml:space="preserve">Nuisette en satin femme                                                                             </t>
  </si>
  <si>
    <t xml:space="preserve">Kimono en satin femme                                                                               </t>
  </si>
  <si>
    <t xml:space="preserve">Culottes ou shorties fille 7/4p                                                                     </t>
  </si>
  <si>
    <t xml:space="preserve">Slips ou boxers garçon 7,4 ou 5p                                                                    </t>
  </si>
  <si>
    <t xml:space="preserve">T-shirts manches longues fille 2p                                                                   </t>
  </si>
  <si>
    <t xml:space="preserve">T-shirts manches longues garçon                                                                     </t>
  </si>
  <si>
    <t xml:space="preserve">Jegging fille                                                                                       </t>
  </si>
  <si>
    <t xml:space="preserve">Gilet fille                                                                                         </t>
  </si>
  <si>
    <t xml:space="preserve">Sweat garçon                                                                                        </t>
  </si>
  <si>
    <t xml:space="preserve">Pantalon molletonné garçon                                                                          </t>
  </si>
  <si>
    <t xml:space="preserve">Coussin demi-cylindrique/cale-nuque                                                                 </t>
  </si>
  <si>
    <t xml:space="preserve">Housse pour machine à laver                                                                         </t>
  </si>
  <si>
    <t xml:space="preserve">Serviettes de toilette 50x100cm 2p                                                                  </t>
  </si>
  <si>
    <t xml:space="preserve">Serviette de douche 70x140 cm                                                                       </t>
  </si>
  <si>
    <t xml:space="preserve">Serviette de bain 100x150 cm                                                                        </t>
  </si>
  <si>
    <t xml:space="preserve">Matelas d'appoint 190x65x8,5 cm                                                                     </t>
  </si>
  <si>
    <t xml:space="preserve">Serviettes invité 30x50 cm 3p                                                                       </t>
  </si>
  <si>
    <t xml:space="preserve">Matelas d'appoint 190x65x8,5 cm blc                                                                 </t>
  </si>
  <si>
    <t xml:space="preserve">Tapis de salle de bains 60x100 cm                                                                   </t>
  </si>
  <si>
    <t xml:space="preserve">Housses de coussins décoratives                                                                     </t>
  </si>
  <si>
    <t xml:space="preserve">Coussin de garnissage                                                                               </t>
  </si>
  <si>
    <t xml:space="preserve">Tapis double face 67x120cm                                                                          </t>
  </si>
  <si>
    <t xml:space="preserve">Tapis double face 150x200cm                                                                         </t>
  </si>
  <si>
    <t xml:space="preserve">Panneaux japonais 245x45 cm                                                                         </t>
  </si>
  <si>
    <t xml:space="preserve">Gardella Establishment                                                          </t>
  </si>
  <si>
    <t xml:space="preserve">Écussons thermocollants 3 ou 4p                                                                     </t>
  </si>
  <si>
    <t xml:space="preserve">Zettl GmbH                                                                      </t>
  </si>
  <si>
    <t xml:space="preserve">Accessoire pour tricot                                                                              </t>
  </si>
  <si>
    <t xml:space="preserve">Fil ou accessoire de couture                                                                        </t>
  </si>
  <si>
    <t xml:space="preserve">Nid d'ange bébé 90x75 cm                                                                            </t>
  </si>
  <si>
    <t xml:space="preserve">Accessoire de couture                                                                               </t>
  </si>
  <si>
    <t xml:space="preserve">Pantalon détente homme                                                                              </t>
  </si>
  <si>
    <t xml:space="preserve">Pantalon molletonné homme                                                                           </t>
  </si>
  <si>
    <t xml:space="preserve">Jean slim homme                                                                                     </t>
  </si>
  <si>
    <t xml:space="preserve">JOGILO N.V.                                                                     </t>
  </si>
  <si>
    <t xml:space="preserve">Sweat homme                                                                                         </t>
  </si>
  <si>
    <t xml:space="preserve">Pull en maille homme                                                                                </t>
  </si>
  <si>
    <t xml:space="preserve">T-shirts homme 2p                                                                                   </t>
  </si>
  <si>
    <t xml:space="preserve">Paillasson 40x60 cm                                                                                 </t>
  </si>
  <si>
    <t xml:space="preserve">Pantalon de travail homme                                                                           </t>
  </si>
  <si>
    <t xml:space="preserve">Salopette de travail homme                                                                          </t>
  </si>
  <si>
    <t xml:space="preserve">Peluche brocoli                                                                                     </t>
  </si>
  <si>
    <t xml:space="preserve">Peluche avocat                                                                                      </t>
  </si>
  <si>
    <t xml:space="preserve">Peluche pomme                                                                                       </t>
  </si>
  <si>
    <t xml:space="preserve">Peluche citrouille                                                                                  </t>
  </si>
  <si>
    <t xml:space="preserve">Peluche tomate                                                                                      </t>
  </si>
  <si>
    <t xml:space="preserve">Peluche banane                                                                                      </t>
  </si>
  <si>
    <t xml:space="preserve">Peluche carotte                                                                                     </t>
  </si>
  <si>
    <t xml:space="preserve">Peluche mangue                                                                                      </t>
  </si>
  <si>
    <t xml:space="preserve">Multimètre numérique                                                                                </t>
  </si>
  <si>
    <t xml:space="preserve">Gants de travail                                                                                    </t>
  </si>
  <si>
    <t xml:space="preserve">T-shirt technique homme                                                                             </t>
  </si>
  <si>
    <t xml:space="preserve">JURITEX Import-Export GmbH                                                      </t>
  </si>
  <si>
    <t xml:space="preserve">Sweat zippé homme                                                                                   </t>
  </si>
  <si>
    <t xml:space="preserve">T-shirt technique femme                                                                             </t>
  </si>
  <si>
    <t xml:space="preserve">Legging technique femme                                                                             </t>
  </si>
  <si>
    <t xml:space="preserve">Sweat zippé de fitness femme                                                                        </t>
  </si>
  <si>
    <t xml:space="preserve">Pantalon technique homme                                                                            </t>
  </si>
  <si>
    <t xml:space="preserve">T-shirt technique seamless femme                                                                    </t>
  </si>
  <si>
    <t xml:space="preserve">T-shirt technique seamless homme                                                                    </t>
  </si>
  <si>
    <t xml:space="preserve">Veste fitness femme                                                                                 </t>
  </si>
  <si>
    <t xml:space="preserve">Débardeur femme                                                                                     </t>
  </si>
  <si>
    <t xml:space="preserve">Soutien-gorge sculptant femme                                                                       </t>
  </si>
  <si>
    <t xml:space="preserve">Culotte gainante femme                                                                              </t>
  </si>
  <si>
    <t xml:space="preserve">Débardeurs à fines bretelles femme                                                                  </t>
  </si>
  <si>
    <t xml:space="preserve">Soutiens-gorge à armatures femme 2p                                                                 </t>
  </si>
  <si>
    <t xml:space="preserve">Slips femme 5p                                                                                      </t>
  </si>
  <si>
    <t xml:space="preserve">Casque de soudage automatique                                                                       </t>
  </si>
  <si>
    <t xml:space="preserve">T-shirt homme                                                                                       </t>
  </si>
  <si>
    <t xml:space="preserve">Boxers homme 2p                                                                                     </t>
  </si>
  <si>
    <t xml:space="preserve">T-shirts homme 3p                                                                                   </t>
  </si>
  <si>
    <t xml:space="preserve">Boxers homme 3p                                                                                     </t>
  </si>
  <si>
    <t xml:space="preserve">Baskets femme                                                                                       </t>
  </si>
  <si>
    <t xml:space="preserve">Baskets homme                                                                                       </t>
  </si>
  <si>
    <t xml:space="preserve">Sneakers homme                                                                                      </t>
  </si>
  <si>
    <t xml:space="preserve">Jean skinny femme                                                                                   </t>
  </si>
  <si>
    <t xml:space="preserve">Jogpant femme                                                                                       </t>
  </si>
  <si>
    <t xml:space="preserve">T-shirt manches 3/4 femme                                                                           </t>
  </si>
  <si>
    <t xml:space="preserve">Cardigan en maille fine femme                                                                       </t>
  </si>
  <si>
    <t xml:space="preserve">Legging femme                                                                                       </t>
  </si>
  <si>
    <t xml:space="preserve">Robe femme                                                                                          </t>
  </si>
  <si>
    <t xml:space="preserve">Cardigan long femme                                                                                 </t>
  </si>
  <si>
    <t xml:space="preserve">T-shirt long femme                                                                                  </t>
  </si>
  <si>
    <t xml:space="preserve">Pull en maille femme                                                                                </t>
  </si>
  <si>
    <t xml:space="preserve">Tunique femme                                                                                       </t>
  </si>
  <si>
    <t xml:space="preserve">Mi-bas de contention femme 2p                                                                       </t>
  </si>
  <si>
    <t xml:space="preserve">Collant de contention femme                                                                         </t>
  </si>
  <si>
    <t xml:space="preserve">Collant 80 DEN femme                                                                                </t>
  </si>
  <si>
    <t xml:space="preserve">Chaussettes femme 7p                                                                                </t>
  </si>
  <si>
    <t xml:space="preserve">Chaussettes fille 7p                                                                                </t>
  </si>
  <si>
    <t xml:space="preserve">Chaussettes homme 7p                                                                                </t>
  </si>
  <si>
    <t xml:space="preserve">Chaussettes garçon 7p                                                                               </t>
  </si>
  <si>
    <t xml:space="preserve">Socquettes femme 3p                                                                                 </t>
  </si>
  <si>
    <t xml:space="preserve">Chaussettes de sport homme                                                                          </t>
  </si>
  <si>
    <t xml:space="preserve">Euro Sox Plus B.V.                                                              </t>
  </si>
  <si>
    <t xml:space="preserve">Chaussettes de sport femme                                                                          </t>
  </si>
  <si>
    <t xml:space="preserve">Feutres aquarelle à 2 pointes                                                                       </t>
  </si>
  <si>
    <t xml:space="preserve">Panier à linge 55 L                                                                                 </t>
  </si>
  <si>
    <t xml:space="preserve">Set de bureau                                                                                       </t>
  </si>
  <si>
    <t xml:space="preserve">Set d'accessoires de nettoyage 6p                                                                   </t>
  </si>
  <si>
    <t xml:space="preserve">Nettoyeur de vitres                                                                                 </t>
  </si>
  <si>
    <t xml:space="preserve">Housse pour balai plat                                                                              </t>
  </si>
  <si>
    <t xml:space="preserve">Animal en peluche St Valentin                                                                       </t>
  </si>
  <si>
    <t xml:space="preserve">Torchons, chiffon ou serpillière                                                                    </t>
  </si>
  <si>
    <t xml:space="preserve">Housse ou chiffons microfibres                                                                      </t>
  </si>
  <si>
    <t xml:space="preserve">Cuiseur vapeur                                                                                      </t>
  </si>
  <si>
    <t xml:space="preserve">Robot multifonction                                                                                 </t>
  </si>
  <si>
    <t xml:space="preserve">Tasses magiques 2p                                                                                  </t>
  </si>
  <si>
    <t xml:space="preserve">Enceinte Bluetooth® salle de bains                                                                  </t>
  </si>
  <si>
    <t xml:space="preserve">Meuble d'appoint                                                                                    </t>
  </si>
  <si>
    <t xml:space="preserve">Plafonnier LED en aluminium brossé                                                                  </t>
  </si>
  <si>
    <t xml:space="preserve">Bandage pour cuisse/mollet                                                                          </t>
  </si>
  <si>
    <t xml:space="preserve">Chauffe-mains/chauffe-pieds/semelle                                                                 </t>
  </si>
  <si>
    <t xml:space="preserve">Télémètre laser 50 m                                                                                </t>
  </si>
  <si>
    <t xml:space="preserve">Philips Ampoules LED 3p                                                                             </t>
  </si>
  <si>
    <t xml:space="preserve">EURES GmbH                                                                      </t>
  </si>
  <si>
    <t xml:space="preserve">Veste détente homme                                                                                 </t>
  </si>
  <si>
    <t xml:space="preserve">Carnet 240p                                                                                         </t>
  </si>
  <si>
    <t xml:space="preserve">Semelles de sport                                                                                   </t>
  </si>
  <si>
    <t xml:space="preserve">Distributeur de savon électrique                                                                    </t>
  </si>
  <si>
    <t xml:space="preserve">Bandes de kinésiologie                                                                              </t>
  </si>
  <si>
    <t xml:space="preserve">Set de sangles d'arrimage                                                                           </t>
  </si>
  <si>
    <t xml:space="preserve">Nettoyeur vapeur à main                                                                             </t>
  </si>
  <si>
    <t xml:space="preserve">Set de forets ou d'embouts                                                                          </t>
  </si>
  <si>
    <t xml:space="preserve">Mèches, forets ou fraises                                                                           </t>
  </si>
  <si>
    <t xml:space="preserve">Beurre de cacahuètes                                                                                </t>
  </si>
  <si>
    <t xml:space="preserve">Biscuits sablés au beurre                                                                           </t>
  </si>
  <si>
    <t xml:space="preserve">Walkers Shortbread Limited                                                      </t>
  </si>
  <si>
    <t xml:space="preserve">Patate douce et chips de légumes                                                                    </t>
  </si>
  <si>
    <t xml:space="preserve">Malt Scotch Whisky 3 casks 42%                                                                      </t>
  </si>
  <si>
    <t xml:space="preserve">Scotch Whisky Blended 40%                                                                           </t>
  </si>
  <si>
    <t xml:space="preserve">Soupe fraîche au choix                                                                              </t>
  </si>
  <si>
    <t xml:space="preserve">Daniels Chilled Foods Ltd                                                       </t>
  </si>
  <si>
    <t xml:space="preserve">Cheesecake à la crème de liqueur                                                                    </t>
  </si>
  <si>
    <t xml:space="preserve">Prestige Foods Ltd.                                                             </t>
  </si>
  <si>
    <t xml:space="preserve">Bain moussant                                                                                       </t>
  </si>
  <si>
    <t xml:space="preserve">Savon liquide mains fruits                                                                          </t>
  </si>
  <si>
    <t xml:space="preserve">XXL Gel douche                                                                                      </t>
  </si>
  <si>
    <t xml:space="preserve">Global Cosmed GmbH                                                              </t>
  </si>
  <si>
    <t xml:space="preserve">Feuilletés de poisson                                                                               </t>
  </si>
  <si>
    <t xml:space="preserve">Pomerol Ch Hermitage Mazeyres                                                                       </t>
  </si>
  <si>
    <t xml:space="preserve">Haut-Mazeyres Souille de                                                        </t>
  </si>
  <si>
    <t xml:space="preserve">SO-IGP Le Heron Sauvignon blanc IGP                                                                 </t>
  </si>
  <si>
    <t xml:space="preserve">Vins de l'Herré S.A.S.U.                                                        </t>
  </si>
  <si>
    <t xml:space="preserve">EF-06 Clairette de Die AOC                                                                          </t>
  </si>
  <si>
    <t xml:space="preserve">U.J.V.R. Distribution S.A.S.                                                    </t>
  </si>
  <si>
    <t xml:space="preserve">Fleur de sel de l'île de Ré                                                                         </t>
  </si>
  <si>
    <t xml:space="preserve">Coopérative des Sauniers de                                                     </t>
  </si>
  <si>
    <t xml:space="preserve">Betteraves rouges sous vide BIO                                                                     </t>
  </si>
  <si>
    <t xml:space="preserve">Allumettes de lardons natures                                                                       </t>
  </si>
  <si>
    <t xml:space="preserve">Allumettes de lardons fumés                                                                         </t>
  </si>
  <si>
    <t xml:space="preserve">M. en b. foie gras pomme/speculoos                                                                  </t>
  </si>
  <si>
    <t xml:space="preserve">Rillettes de la mer aux écrevisses                                                                  </t>
  </si>
  <si>
    <t xml:space="preserve">Foie gras de canard cuit au torchon                                                                 </t>
  </si>
  <si>
    <t xml:space="preserve">Gers Distribution S.A.S.                                                        </t>
  </si>
  <si>
    <t xml:space="preserve">Nonnettes myrtille x 6                                                                              </t>
  </si>
  <si>
    <t xml:space="preserve">Pain d'Epices Mulot et                                                          </t>
  </si>
  <si>
    <t xml:space="preserve">2 Pavés de saumon Label Rouge                                                                       </t>
  </si>
  <si>
    <t xml:space="preserve">Tourte aux 2 saumons                                                                                </t>
  </si>
  <si>
    <t xml:space="preserve">Diots de Savoie fumés                                                                               </t>
  </si>
  <si>
    <t xml:space="preserve">Henri Raffin S.A.S.                                                             </t>
  </si>
  <si>
    <t xml:space="preserve">Escalopes de dinde à la Milanaise                                                                   </t>
  </si>
  <si>
    <t xml:space="preserve">Raclette assortiment                                                                                </t>
  </si>
  <si>
    <t xml:space="preserve">Duc Royal Vin mous.de qlté demi-sec                                                                 </t>
  </si>
  <si>
    <t xml:space="preserve">Duc Royal Vin mousseux de qlté brut                                                                 </t>
  </si>
  <si>
    <t xml:space="preserve">Chinois à la crème pâtissière                                                                       </t>
  </si>
  <si>
    <t xml:space="preserve">Croûtons nature pour soupe                                                                          </t>
  </si>
  <si>
    <t xml:space="preserve">Tipiak Panification S.A.S.                                                      </t>
  </si>
  <si>
    <t xml:space="preserve">Croûtons à l'ail pour soupe                                                                         </t>
  </si>
  <si>
    <t xml:space="preserve">Yaourt bio vanille lait entier                                                                      </t>
  </si>
  <si>
    <t xml:space="preserve">Yaourt bio nature lait entier                                                                       </t>
  </si>
  <si>
    <t xml:space="preserve">Laiterie de Saint-Malo                                                          </t>
  </si>
  <si>
    <t xml:space="preserve">Bordeaux rosé AOP                                                                                   </t>
  </si>
  <si>
    <t xml:space="preserve">Beurre bio doux                                                                                     </t>
  </si>
  <si>
    <t xml:space="preserve">Moelleux aux amandes/noix/chocolat                                                                  </t>
  </si>
  <si>
    <t xml:space="preserve">Pâtisserie les Comtes de la                                                     </t>
  </si>
  <si>
    <t xml:space="preserve">Bûche Sainte Maure                                                                                  </t>
  </si>
  <si>
    <t xml:space="preserve">Feuilleté saumon-épinard                                                                            </t>
  </si>
  <si>
    <t xml:space="preserve">Saucisse fumée à cuire                                                                              </t>
  </si>
  <si>
    <t xml:space="preserve">Société Bernard S.A.S.                                                          </t>
  </si>
  <si>
    <t xml:space="preserve">Rôti de filet de dinde                                                                              </t>
  </si>
  <si>
    <t xml:space="preserve">Pavés de boeuf charolais                                                                            </t>
  </si>
  <si>
    <t xml:space="preserve">Faux filet de boeuf charolais                                                                       </t>
  </si>
  <si>
    <t xml:space="preserve">Crêpes jambon-emmental                                                                              </t>
  </si>
  <si>
    <t xml:space="preserve">MARIE Surgelés                                                                  </t>
  </si>
  <si>
    <t xml:space="preserve">Foie gras de canard entier IGP                                                                      </t>
  </si>
  <si>
    <t xml:space="preserve">Emmental français en tranches                                                                       </t>
  </si>
  <si>
    <t xml:space="preserve">Fromagerie le Centurion                                                         </t>
  </si>
  <si>
    <t xml:space="preserve">Brandade de morue parmentière                                                                       </t>
  </si>
  <si>
    <t xml:space="preserve">Les plaisirs du Midi S.A.S.                                                     </t>
  </si>
  <si>
    <t xml:space="preserve">Fruits moelleux assortis                                                                            </t>
  </si>
  <si>
    <t xml:space="preserve">Kinay Fruit S.A.                                                                </t>
  </si>
  <si>
    <t xml:space="preserve">Côtes de porc Label Rouge x2                                                                        </t>
  </si>
  <si>
    <t xml:space="preserve">Pavés de truite de France                                                                           </t>
  </si>
  <si>
    <t xml:space="preserve">Delmas Poissons et Marée                                                        </t>
  </si>
  <si>
    <t xml:space="preserve">Emincés saumon fumé assortis                                                                        </t>
  </si>
  <si>
    <t xml:space="preserve">Meralliance S.A.S.                                                              </t>
  </si>
  <si>
    <t xml:space="preserve">Bordeaux rouge AOP                                                                                  </t>
  </si>
  <si>
    <t xml:space="preserve">Velouté de 10 légumes                                                                               </t>
  </si>
  <si>
    <t xml:space="preserve">Pâté de campagne Breton IGP                                                                         </t>
  </si>
  <si>
    <t xml:space="preserve">Conserves Stephan S.A.S.U.                                                      </t>
  </si>
  <si>
    <t xml:space="preserve">Wraps assortis SK2                                                                                  </t>
  </si>
  <si>
    <t xml:space="preserve">Mini Sandwich SK2                                                                                   </t>
  </si>
  <si>
    <t xml:space="preserve">Cidre doux de Bretagne IGP                                                                          </t>
  </si>
  <si>
    <t xml:space="preserve">Cidre brut de Bretagne IGP                                                                          </t>
  </si>
  <si>
    <t xml:space="preserve">Beurre demi-sel                                                                                     </t>
  </si>
  <si>
    <t xml:space="preserve">Briois S.A.S.                                                                   </t>
  </si>
  <si>
    <t xml:space="preserve">Cognac VS                                                                                           </t>
  </si>
  <si>
    <t xml:space="preserve">Société Puy - Gaudin S.A.S.                                                     </t>
  </si>
  <si>
    <t xml:space="preserve">Pralines pâtissières                                                                                </t>
  </si>
  <si>
    <t xml:space="preserve">Le Temps des Cerises S.A.S.                                                     </t>
  </si>
  <si>
    <t xml:space="preserve">Pané au colin d'Alaska MSC                                                                          </t>
  </si>
  <si>
    <t xml:space="preserve">Pané au cabillaud MSC                                                                               </t>
  </si>
  <si>
    <t xml:space="preserve">Rochers praliné noir                                                                                </t>
  </si>
  <si>
    <t xml:space="preserve">Rochers praliné lait                                                                                </t>
  </si>
  <si>
    <t xml:space="preserve">Sandwichs maxis                                                                                     </t>
  </si>
  <si>
    <t xml:space="preserve">Dos de cabillaud MSC                                                                                </t>
  </si>
  <si>
    <t xml:space="preserve">Cuisses de poulet jaune déjointées                                                                  </t>
  </si>
  <si>
    <t xml:space="preserve">Coeur de Savoie Pâte pressée cuite                                                                  </t>
  </si>
  <si>
    <t xml:space="preserve">Fromageries Chabert S.A.S.                                                      </t>
  </si>
  <si>
    <t xml:space="preserve">Rosette de Lyon VPF                                                                                 </t>
  </si>
  <si>
    <t xml:space="preserve">Plats cuisinés du Monde                                                                             </t>
  </si>
  <si>
    <t xml:space="preserve">Lou Traiteur S.A.S.                                                             </t>
  </si>
  <si>
    <t xml:space="preserve">Plats cuisinés de la mer                                                                            </t>
  </si>
  <si>
    <t xml:space="preserve">54 bâtonnets de surimi saveur crabe                                                                 </t>
  </si>
  <si>
    <t xml:space="preserve">Côtes filets d'agneau x 3                                                                           </t>
  </si>
  <si>
    <t xml:space="preserve">Etablissements J.M. Macquet                                                     </t>
  </si>
  <si>
    <t xml:space="preserve">Tranches de gigot***d'agneau ss os                                                                  </t>
  </si>
  <si>
    <t xml:space="preserve">Rôti de boeuf                                                                                       </t>
  </si>
  <si>
    <t xml:space="preserve">Oeufs Label Rouge                                                                                   </t>
  </si>
  <si>
    <t xml:space="preserve">Poitrine de porc nature                                                                             </t>
  </si>
  <si>
    <t xml:space="preserve">Endives au jambon                                                                                   </t>
  </si>
  <si>
    <t xml:space="preserve">Panini montagnard                                                                                   </t>
  </si>
  <si>
    <t xml:space="preserve">Gourmets de l'Artois S.A.S.                                                     </t>
  </si>
  <si>
    <t xml:space="preserve">Boulettes au boeuf VBF x30 nature                                                                   </t>
  </si>
  <si>
    <t xml:space="preserve">Bavette marinée fondue d'échalotes                                                                  </t>
  </si>
  <si>
    <t xml:space="preserve">Pizza jambon-champignon-fromage                                                                     </t>
  </si>
  <si>
    <t xml:space="preserve">Pizza chorizo                                                                                       </t>
  </si>
  <si>
    <t xml:space="preserve">Pizza jambon-fromage                                                                                </t>
  </si>
  <si>
    <t xml:space="preserve">Pizza chèvre-lardons                                                                                </t>
  </si>
  <si>
    <t xml:space="preserve">Barbecue Ribs original                                                                              </t>
  </si>
  <si>
    <t xml:space="preserve">Deli Pocket Jambon from./Montagnard                                                                 </t>
  </si>
  <si>
    <t xml:space="preserve">Piz'wich Europe S.A.S.                                                          </t>
  </si>
  <si>
    <t xml:space="preserve">Deli Pocket bolognaise/3 fromages                                                                   </t>
  </si>
  <si>
    <t xml:space="preserve">Maxi burger charolais micro-ondable                                                                 </t>
  </si>
  <si>
    <t xml:space="preserve">Fromage de tête aux cornichons                                                                      </t>
  </si>
  <si>
    <t xml:space="preserve">Hauts de cuisse de poulet jaune                                                                     </t>
  </si>
  <si>
    <t xml:space="preserve">Pilons de poulet jaune                                                                              </t>
  </si>
  <si>
    <t xml:space="preserve">Coffret chaud+dessert BA                                                                            </t>
  </si>
  <si>
    <t xml:space="preserve">Tarte normande à la pomme                                                                           </t>
  </si>
  <si>
    <t xml:space="preserve">Boncolac S.A.S.                                                                 </t>
  </si>
  <si>
    <t xml:space="preserve">Châteauneuf-du-Pape AOP                                                                             </t>
  </si>
  <si>
    <t xml:space="preserve">Oeno Terra S.A.R.L.                                                             </t>
  </si>
  <si>
    <t xml:space="preserve">Cabernet d'Anjou AOP                                                                                </t>
  </si>
  <si>
    <t xml:space="preserve">Entrecôte charolais ***                                                                             </t>
  </si>
  <si>
    <t xml:space="preserve">Steaks **x 2 charolais                                                                              </t>
  </si>
  <si>
    <t xml:space="preserve">Cake Océane                                                                                         </t>
  </si>
  <si>
    <t xml:space="preserve">Rôti de porc aux herbes 4 tr. VPF                                                                   </t>
  </si>
  <si>
    <t xml:space="preserve">Boeuf bourg./blanquette de veau                                                                     </t>
  </si>
  <si>
    <t xml:space="preserve">Barquette Colin d'Alaska/ Saumon                                                                    </t>
  </si>
  <si>
    <t xml:space="preserve">Prép. pommes poires noix Périgord                                                                   </t>
  </si>
  <si>
    <t xml:space="preserve">Potée savoyarde aux diots                                                                           </t>
  </si>
  <si>
    <t xml:space="preserve">CCA Périgord les Bories                                                         </t>
  </si>
  <si>
    <t xml:space="preserve">Emmental français bloc                                                                              </t>
  </si>
  <si>
    <t xml:space="preserve">Fromageries Terres d'Or S.A.                                                    </t>
  </si>
  <si>
    <t xml:space="preserve">Parasol apéritif Bitter 15% vol.                                                                    </t>
  </si>
  <si>
    <t xml:space="preserve">Dinde PAC                                                                                           </t>
  </si>
  <si>
    <t xml:space="preserve">Farce de volaille Morilles/Armagnac                                                                 </t>
  </si>
  <si>
    <t xml:space="preserve">Saucisse sèche drte Label Rouge VPF                                                                 </t>
  </si>
  <si>
    <t xml:space="preserve">Lasagnes aux deux saumons                                                                           </t>
  </si>
  <si>
    <t xml:space="preserve">Plateau d'assortiment asiatique                                                                     </t>
  </si>
  <si>
    <t xml:space="preserve">Plateau 12 mini nems porc + sauces                                                                  </t>
  </si>
  <si>
    <t xml:space="preserve">Reblochon de Savoie AOP entier                                                                      </t>
  </si>
  <si>
    <t xml:space="preserve">Fromagerie de la Tournette                                                      </t>
  </si>
  <si>
    <t xml:space="preserve">Steaks Hachés 5%                                                                                    </t>
  </si>
  <si>
    <t xml:space="preserve">Couscous poulet / boeuf                                                                             </t>
  </si>
  <si>
    <t xml:space="preserve">Bûchette de chèvre frais                                                                            </t>
  </si>
  <si>
    <t xml:space="preserve">Eurial S.A.S.                                                                   </t>
  </si>
  <si>
    <t xml:space="preserve">2 Filets de merlu blanc meunière                                                                    </t>
  </si>
  <si>
    <t xml:space="preserve">Velouté Savoyard                                                                                    </t>
  </si>
  <si>
    <t xml:space="preserve">Viande hachée 20 % MG                                                                               </t>
  </si>
  <si>
    <t xml:space="preserve">Blanc de dinde, 4T, qualité sup.                                                                    </t>
  </si>
  <si>
    <t xml:space="preserve">LDC Sable S.A.S.U.                                                              </t>
  </si>
  <si>
    <t xml:space="preserve">Blanc de poulet fumé, 4T, qual.sup.                                                                 </t>
  </si>
  <si>
    <t xml:space="preserve">Cassoulet de Castelnaudary canard                                                                   </t>
  </si>
  <si>
    <t xml:space="preserve">Occitane Plats Cuisinés                                                         </t>
  </si>
  <si>
    <t xml:space="preserve">Mignardises assorties                                                                               </t>
  </si>
  <si>
    <t xml:space="preserve">Cassonade                                                                                           </t>
  </si>
  <si>
    <t xml:space="preserve">Cristalco S.A.S.                                                                </t>
  </si>
  <si>
    <t xml:space="preserve">Crevettes cuites entières 80/100                                                                    </t>
  </si>
  <si>
    <t xml:space="preserve">Crusta C S.A.S.                                                                 </t>
  </si>
  <si>
    <t xml:space="preserve">Emmental Label Rouge IGP                                                                            </t>
  </si>
  <si>
    <t xml:space="preserve">Brie de Meaux AOP                                                                                   </t>
  </si>
  <si>
    <t xml:space="preserve">Fromagerie Renard Gillard                                                       </t>
  </si>
  <si>
    <t xml:space="preserve">Saucisson à l'ail fumé qualité sup.                                                                 </t>
  </si>
  <si>
    <t xml:space="preserve">Pâté le Muché VPF                                                                                   </t>
  </si>
  <si>
    <t xml:space="preserve">Le Domaine Picard S.A.S.                                                        </t>
  </si>
  <si>
    <t xml:space="preserve">Pâté le Much'ail VPF                                                                                </t>
  </si>
  <si>
    <t xml:space="preserve">Pizza au feu de bois saum./fro.                                                                     </t>
  </si>
  <si>
    <t xml:space="preserve">Sole Mio S.A.S.                                                                 </t>
  </si>
  <si>
    <t xml:space="preserve">Jambon cuit supérieur AC 4Tr. LR                                                                    </t>
  </si>
  <si>
    <t xml:space="preserve">Terrine de campagne L. Rouge                                                                        </t>
  </si>
  <si>
    <t xml:space="preserve">Chèvre boîte                                                                                        </t>
  </si>
  <si>
    <t xml:space="preserve">Médaillons de filet de poulet                                                                       </t>
  </si>
  <si>
    <t xml:space="preserve">Aiguillettes de dinde                                                                               </t>
  </si>
  <si>
    <t xml:space="preserve">Saucisson sec XXL (400g + 200g)                                                                     </t>
  </si>
  <si>
    <t xml:space="preserve">Bière ambrée du Nord                                                                                </t>
  </si>
  <si>
    <t xml:space="preserve">Crémant de Bordeaux Blanc/Rosé AOC                                                                  </t>
  </si>
  <si>
    <t xml:space="preserve">Château de l'Orangerie                                                          </t>
  </si>
  <si>
    <t xml:space="preserve">Rôti porc filet chaînette LR (8983)                                                                 </t>
  </si>
  <si>
    <t xml:space="preserve">Poitrine porc tranchée sans os LR                                                                   </t>
  </si>
  <si>
    <t xml:space="preserve">Saucisson sec d'Ardèche IGP                                                                         </t>
  </si>
  <si>
    <t xml:space="preserve">Trio mini saucisson nat./noix/chor.                                                                 </t>
  </si>
  <si>
    <t xml:space="preserve">Cocktail Mojito sans alcool                                                                         </t>
  </si>
  <si>
    <t xml:space="preserve">INNO'VO S.A.S.                                                                  </t>
  </si>
  <si>
    <t xml:space="preserve">Emmental français râpé ZIP                                                                          </t>
  </si>
  <si>
    <t xml:space="preserve">Côtes de porc échine sans os LR                                                                     </t>
  </si>
  <si>
    <t xml:space="preserve">Pavés de porc sans os Label Rougex2                                                                 </t>
  </si>
  <si>
    <t xml:space="preserve">Bonbons menthe extrême                                                                              </t>
  </si>
  <si>
    <t xml:space="preserve">Confiserie du Nord S.A.S.                                                       </t>
  </si>
  <si>
    <t xml:space="preserve">Limonade artisanale nature                                                                          </t>
  </si>
  <si>
    <t xml:space="preserve">Etablissements Geyer                                                            </t>
  </si>
  <si>
    <t xml:space="preserve">Limonade artisanale citron                                                                          </t>
  </si>
  <si>
    <t xml:space="preserve">Limonade artisanale orange                                                                          </t>
  </si>
  <si>
    <t xml:space="preserve">Vinaigre d'alcool blanc, 8°                                                                         </t>
  </si>
  <si>
    <t xml:space="preserve">Champagne Rosé AOP                                                                                  </t>
  </si>
  <si>
    <t xml:space="preserve">Filet de Bacon 10 Tr.                                                                               </t>
  </si>
  <si>
    <t xml:space="preserve">Etablissements Berni et Cie                                                     </t>
  </si>
  <si>
    <t xml:space="preserve">Pain de mie sans croûte                                                                             </t>
  </si>
  <si>
    <t xml:space="preserve">Pastor Ale Bière artisanale Flandre                                                                 </t>
  </si>
  <si>
    <t xml:space="preserve">Brasserie Angelus by Lepers                                                     </t>
  </si>
  <si>
    <t xml:space="preserve">Barre chocolat fourrée lait                                                                         </t>
  </si>
  <si>
    <t xml:space="preserve">Biscuit croustillant choco. au lait                                                                 </t>
  </si>
  <si>
    <t xml:space="preserve">Palette à la diable gratinée VF                                                                     </t>
  </si>
  <si>
    <t xml:space="preserve">Pâte feuilletée Bio MGV                                                                             </t>
  </si>
  <si>
    <t xml:space="preserve">Pâte brisée bio MGV                                                                                 </t>
  </si>
  <si>
    <t xml:space="preserve">Pâte à pizza Bio                                                                                    </t>
  </si>
  <si>
    <t xml:space="preserve">Filet mignon fumé nature/poivre                                                                     </t>
  </si>
  <si>
    <t xml:space="preserve">Sésame doré                                                                                         </t>
  </si>
  <si>
    <t xml:space="preserve">Camembert Bio                                                                                       </t>
  </si>
  <si>
    <t xml:space="preserve">Liqueur Génépi des Alpes 40 %                                                                       </t>
  </si>
  <si>
    <t xml:space="preserve">Pain de mie Bio                                                                                     </t>
  </si>
  <si>
    <t xml:space="preserve">Biscuits nappés chocolat BIO ass.                                                                   </t>
  </si>
  <si>
    <t xml:space="preserve">Cookies choco et pépites choco BIO                                                                  </t>
  </si>
  <si>
    <t xml:space="preserve">Vinaigrette biphasée assort. SK1                                                                    </t>
  </si>
  <si>
    <t xml:space="preserve">Mouliné de légumes Bio                                                                              </t>
  </si>
  <si>
    <t xml:space="preserve">SILL S.A.S.                                                                     </t>
  </si>
  <si>
    <t xml:space="preserve">Café moulu origine Pérou Bio                                                                        </t>
  </si>
  <si>
    <t xml:space="preserve">Café Sati S.A.                                                                  </t>
  </si>
  <si>
    <t xml:space="preserve">Touraine Gamay AOP                                                                                  </t>
  </si>
  <si>
    <t xml:space="preserve">Bordeaux L'Enclos des Tuileries AOP                                                                 </t>
  </si>
  <si>
    <t xml:space="preserve">Côtes de Gascogne IGP                                                                               </t>
  </si>
  <si>
    <t xml:space="preserve">Pâte à pizza                                                                                        </t>
  </si>
  <si>
    <t xml:space="preserve">Moules cuisinées assorties                                                                          </t>
  </si>
  <si>
    <t xml:space="preserve">Chocolat noir 85% cacao Equateur                                                                    </t>
  </si>
  <si>
    <t xml:space="preserve">Duc Royal Vin Mousseux Qual. Rosé                                                                   </t>
  </si>
  <si>
    <t xml:space="preserve">Plats cuisinés du terroir                                                                           </t>
  </si>
  <si>
    <t xml:space="preserve">Pâtisseries assorties                                                                               </t>
  </si>
  <si>
    <t xml:space="preserve">Dessaint Food Services S.N.C                                                    </t>
  </si>
  <si>
    <t xml:space="preserve">Bag in box Oc Merlot IGP XXL                                                                        </t>
  </si>
  <si>
    <t xml:space="preserve">Emmental Bio au lait cru                                                                            </t>
  </si>
  <si>
    <t xml:space="preserve">Emmental râpé Bio au lait cru                                                                       </t>
  </si>
  <si>
    <t xml:space="preserve">Coffret dégustation grands crus                                                                     </t>
  </si>
  <si>
    <t xml:space="preserve">Pâtisseries assorties 2 BA                                                                          </t>
  </si>
  <si>
    <t xml:space="preserve">Sucette forme tétine                                                                                </t>
  </si>
  <si>
    <t xml:space="preserve">Fizzy Distribution S.A.S.                                                       </t>
  </si>
  <si>
    <t xml:space="preserve">Sucettes dextrose bicolores                                                                         </t>
  </si>
  <si>
    <t xml:space="preserve">Rouleau bonbons dextrose                                                                            </t>
  </si>
  <si>
    <t xml:space="preserve">Roudoudous                                                                                          </t>
  </si>
  <si>
    <t xml:space="preserve">Pruneaux d'Agen SK1                                                                                 </t>
  </si>
  <si>
    <t xml:space="preserve">Maître Prunille S.A.S.                                                          </t>
  </si>
  <si>
    <t xml:space="preserve">Chouchou                                                                                            </t>
  </si>
  <si>
    <t xml:space="preserve">Croquant fondant (Eat Me)                                                                           </t>
  </si>
  <si>
    <t xml:space="preserve">Cake aux fruits                                                                                     </t>
  </si>
  <si>
    <t xml:space="preserve">Rivazur Cakes S.A.S.                                                            </t>
  </si>
  <si>
    <t xml:space="preserve">Fuet                                                                                                </t>
  </si>
  <si>
    <t xml:space="preserve">Montlait Lait montagne demi-écrémé                                                                  </t>
  </si>
  <si>
    <t xml:space="preserve">Velouté potiron crème fraîche                                                                       </t>
  </si>
  <si>
    <t xml:space="preserve">Continental Foods                                                               </t>
  </si>
  <si>
    <t xml:space="preserve">Cantal jeune                                                                                        </t>
  </si>
  <si>
    <t xml:space="preserve">12 mini croustillants colorés                                                                       </t>
  </si>
  <si>
    <t xml:space="preserve">Varenne Gastronomie S.A.S.                                                      </t>
  </si>
  <si>
    <t xml:space="preserve">Fourme d'Ambert AOP                                                                                 </t>
  </si>
  <si>
    <t xml:space="preserve">Taboulé Bio aux légumes                                                                             </t>
  </si>
  <si>
    <t xml:space="preserve">Fromage blanc 20% Bio                                                                               </t>
  </si>
  <si>
    <t xml:space="preserve">Nems XXL                                                                                            </t>
  </si>
  <si>
    <t xml:space="preserve">Beurre doux XXL                                                                                     </t>
  </si>
  <si>
    <t xml:space="preserve">Tarte pomme de terre/camembert                                                                      </t>
  </si>
  <si>
    <t xml:space="preserve">Croque monsieur XXL                                                                                 </t>
  </si>
  <si>
    <t xml:space="preserve">Pâte brisée végétale XXL                                                                            </t>
  </si>
  <si>
    <t xml:space="preserve">Pâte feuilletée végétale XXL                                                                        </t>
  </si>
  <si>
    <t xml:space="preserve">Eclairs au café                                                                                     </t>
  </si>
  <si>
    <t xml:space="preserve">Eclairs au chocolat x2                                                                              </t>
  </si>
  <si>
    <t xml:space="preserve">Tarte aux pommes                                                                                    </t>
  </si>
  <si>
    <t xml:space="preserve">Tartelettes citron meringuées                                                                       </t>
  </si>
  <si>
    <t xml:space="preserve">Mille-Feuille x 2                                                                                   </t>
  </si>
  <si>
    <t xml:space="preserve">Délifrance S.A.                                                                 </t>
  </si>
  <si>
    <t xml:space="preserve">Flan pâtissier                                                                                      </t>
  </si>
  <si>
    <t xml:space="preserve">Mademoiselle Desserts France                                                    </t>
  </si>
  <si>
    <t xml:space="preserve">Paris-Brest x2                                                                                      </t>
  </si>
  <si>
    <t xml:space="preserve">Salades bol assorties                                                                               </t>
  </si>
  <si>
    <t xml:space="preserve">Crème de Brie de Meaux                                                                              </t>
  </si>
  <si>
    <t xml:space="preserve">Macarons x12                                                                                        </t>
  </si>
  <si>
    <t xml:space="preserve">Pur jus d'Orange Bio                                                                                </t>
  </si>
  <si>
    <t xml:space="preserve">Bricfruit S.A.S.                                                                </t>
  </si>
  <si>
    <t xml:space="preserve">Emmental français bloc 45% MG                                                                       </t>
  </si>
  <si>
    <t xml:space="preserve">Macaron framboise                                                                                   </t>
  </si>
  <si>
    <t xml:space="preserve">Prolainat S.A.S.                                                                </t>
  </si>
  <si>
    <t xml:space="preserve">Hachis Parmentier                                                                                   </t>
  </si>
  <si>
    <t xml:space="preserve">Moussaka                                                                                            </t>
  </si>
  <si>
    <t xml:space="preserve">Croustillant chocolat noisette                                                                      </t>
  </si>
  <si>
    <t xml:space="preserve">Fraisier                                                                                            </t>
  </si>
  <si>
    <t xml:space="preserve">Champagne Veuve Delattre Premium                                                                    </t>
  </si>
  <si>
    <t xml:space="preserve">Les Roches Blanches S.A.                                                        </t>
  </si>
  <si>
    <t xml:space="preserve">Pizza 4 fromages                                                                                    </t>
  </si>
  <si>
    <t xml:space="preserve">Crème légère semi-épaisse 18%                                                                       </t>
  </si>
  <si>
    <t xml:space="preserve">Laiterie de Saint Denis de                                                      </t>
  </si>
  <si>
    <t xml:space="preserve">Crème légère semi-épaisse 30%                                                                       </t>
  </si>
  <si>
    <t xml:space="preserve">Marrons entiers à sec                                                                               </t>
  </si>
  <si>
    <t xml:space="preserve">ST DALFOUR S.A.S.                                                               </t>
  </si>
  <si>
    <t xml:space="preserve"> Suisse chocolat                                                                                    </t>
  </si>
  <si>
    <t xml:space="preserve">BRIDOR S.A.S.                                                                   </t>
  </si>
  <si>
    <t xml:space="preserve">Préparations de fruits                                                                              </t>
  </si>
  <si>
    <t xml:space="preserve">Macarons assortis                                                                                   </t>
  </si>
  <si>
    <t xml:space="preserve">25 minis Blinis cocktail                                                                            </t>
  </si>
  <si>
    <t xml:space="preserve">Verrines avocat / crevettes                                                                         </t>
  </si>
  <si>
    <t xml:space="preserve">Verrines tartare de courgettes                                                                      </t>
  </si>
  <si>
    <t xml:space="preserve">Verrines Tartares de tomates thon                                                                   </t>
  </si>
  <si>
    <t xml:space="preserve"> Croque Monsieur                                                                                    </t>
  </si>
  <si>
    <t xml:space="preserve">Cobral S.A.R.L.                                                                 </t>
  </si>
  <si>
    <t xml:space="preserve">Mini choux sucrés x12                                                                               </t>
  </si>
  <si>
    <t xml:space="preserve">Délices Choux S.A.R.L.                                                          </t>
  </si>
  <si>
    <t xml:space="preserve">Crêpes apéritives fourrées assort.                                                                  </t>
  </si>
  <si>
    <t xml:space="preserve">Loc Maria Biscuits S.A.S.U.                                                     </t>
  </si>
  <si>
    <t xml:space="preserve">Madeleines pur beurre                                                                               </t>
  </si>
  <si>
    <t xml:space="preserve">Lait frais demi-écrémé bio                                                                          </t>
  </si>
  <si>
    <t xml:space="preserve">Filet de cabillaud MSC                                                                              </t>
  </si>
  <si>
    <t xml:space="preserve">Lait délactosé                                                                                      </t>
  </si>
  <si>
    <t xml:space="preserve">Langoustines cuites 20/30                                                                           </t>
  </si>
  <si>
    <t xml:space="preserve">Crème fraîche fleurette                                                                             </t>
  </si>
  <si>
    <t xml:space="preserve">Ht Médoc Château La Lauzette                                                                        </t>
  </si>
  <si>
    <t xml:space="preserve">Société Veyret Latour S.A.S.                                                    </t>
  </si>
  <si>
    <t xml:space="preserve">Eclairs assortis                                                                                    </t>
  </si>
  <si>
    <t xml:space="preserve">Biscuit sésame et épeautre Bio                                                                      </t>
  </si>
  <si>
    <t xml:space="preserve">Plateau indien + sauces                                                                             </t>
  </si>
  <si>
    <t xml:space="preserve">Emmental français râpé zip                                                                          </t>
  </si>
  <si>
    <t xml:space="preserve">Champagne brut 1er cru AOC                                                                          </t>
  </si>
  <si>
    <t xml:space="preserve">Gâteau basque                                                                                       </t>
  </si>
  <si>
    <t xml:space="preserve">Miguelgorry S.A.S.                                                              </t>
  </si>
  <si>
    <t xml:space="preserve"> Pain complet                                                                                       </t>
  </si>
  <si>
    <t xml:space="preserve"> Pain rustique                                                                                      </t>
  </si>
  <si>
    <t xml:space="preserve">Crème UHT Bio                                                                                       </t>
  </si>
  <si>
    <t xml:space="preserve"> Beignet saveur chocolat noisette                                                                   </t>
  </si>
  <si>
    <t xml:space="preserve">Pur jus de raisin bio                                                                               </t>
  </si>
  <si>
    <t xml:space="preserve">Les Jus de Fruits d'Alsace                                                      </t>
  </si>
  <si>
    <t xml:space="preserve">Salade veggie assort. SK1                                                                           </t>
  </si>
  <si>
    <t xml:space="preserve">Salade veggie assortiment SK 2                                                                      </t>
  </si>
  <si>
    <t xml:space="preserve">Chips poulet / sel et vinaigre                                                                      </t>
  </si>
  <si>
    <t xml:space="preserve">Plats cuisinés classiques 3                                                                         </t>
  </si>
  <si>
    <t xml:space="preserve">Angelus Bière Blonde                                                                                </t>
  </si>
  <si>
    <t xml:space="preserve">Chips aromatisées                                                                                   </t>
  </si>
  <si>
    <t xml:space="preserve">Chips salées                                                                                        </t>
  </si>
  <si>
    <t xml:space="preserve">Tajine au boeuf                                                                                     </t>
  </si>
  <si>
    <t xml:space="preserve">Paëlla                                                                                              </t>
  </si>
  <si>
    <t xml:space="preserve">Couscous                                                                                            </t>
  </si>
  <si>
    <t xml:space="preserve">Feuilletés allumette emmental                                                                       </t>
  </si>
  <si>
    <t xml:space="preserve">Salaisons Bolard Frères                                                         </t>
  </si>
  <si>
    <t xml:space="preserve">Filet de merlan                                                                                     </t>
  </si>
  <si>
    <t xml:space="preserve">Leroy Seafood France S.A.S.                                                     </t>
  </si>
  <si>
    <t xml:space="preserve">Filet de limande                                                                                    </t>
  </si>
  <si>
    <t xml:space="preserve">Madeleine coquille MGV                                                                              </t>
  </si>
  <si>
    <t xml:space="preserve">Plats cuisinés du Terroir                                                                           </t>
  </si>
  <si>
    <t xml:space="preserve">Queues de crevettes à poêler, marin                                                                 </t>
  </si>
  <si>
    <t xml:space="preserve">Houmous Premium                                                                                     </t>
  </si>
  <si>
    <t xml:space="preserve">Sobreval S.A.S.                                                                 </t>
  </si>
  <si>
    <t xml:space="preserve">Rôti de veau farci aux olives                                                                       </t>
  </si>
  <si>
    <t xml:space="preserve">Saumur Champigny AOP                                                                                </t>
  </si>
  <si>
    <t xml:space="preserve">Saucissons secs en tranches ass.                                                                    </t>
  </si>
  <si>
    <t xml:space="preserve">ETS Merle et Cie S.A.S.                                                         </t>
  </si>
  <si>
    <t xml:space="preserve">Taboulé libanais                                                                                    </t>
  </si>
  <si>
    <t xml:space="preserve">Crêpes fourrées assorties                                                                           </t>
  </si>
  <si>
    <t xml:space="preserve">Bastide Sobriana                                                                                    </t>
  </si>
  <si>
    <t xml:space="preserve">EF-04 Clairette de Die Bio AOC                                                                      </t>
  </si>
  <si>
    <t xml:space="preserve">Tzatziki extra                                                                                      </t>
  </si>
  <si>
    <t xml:space="preserve">Viande boeuf hachée 15% MG vbf                                                                      </t>
  </si>
  <si>
    <t xml:space="preserve">Deveille S.A.S.                                                                 </t>
  </si>
  <si>
    <t xml:space="preserve">Tartiflette                                                                                         </t>
  </si>
  <si>
    <t xml:space="preserve">Parmentier de canard                                                                                </t>
  </si>
  <si>
    <t xml:space="preserve">Gratin légumes du soleil                                                                            </t>
  </si>
  <si>
    <t xml:space="preserve">Saucisse de Toulouse LR                                                                             </t>
  </si>
  <si>
    <t xml:space="preserve">Choux chantilly                                                                                     </t>
  </si>
  <si>
    <t xml:space="preserve">Fraisier individuel carré                                                                           </t>
  </si>
  <si>
    <t xml:space="preserve">Mini Tropézienne x2                                                                                 </t>
  </si>
  <si>
    <t xml:space="preserve">Cocktail aromatisé base vin pamp.                                                                   </t>
  </si>
  <si>
    <t xml:space="preserve">Mini saucissons secs assort. XXL                                                                    </t>
  </si>
  <si>
    <t xml:space="preserve">Viande hachée charolais 5% MG                                                                       </t>
  </si>
  <si>
    <t xml:space="preserve">Pizzas cuit. feu de bois Royal/chèv                                                                 </t>
  </si>
  <si>
    <t xml:space="preserve">Steaks hachés charolais FB 5% MG x2                                                                 </t>
  </si>
  <si>
    <t xml:space="preserve">Chair à saucisse                                                                                    </t>
  </si>
  <si>
    <t xml:space="preserve">Déli'Pocket tartiflette/chèvre lard                                                                 </t>
  </si>
  <si>
    <t xml:space="preserve">Petit beurre chocolat noir Bio                                                                      </t>
  </si>
  <si>
    <t xml:space="preserve">Purée de légumes anciens                                                                            </t>
  </si>
  <si>
    <t xml:space="preserve">Gelpass S.A.S.                                                                  </t>
  </si>
  <si>
    <t xml:space="preserve">Ecrasé de pommes de terre noisettes                                                                 </t>
  </si>
  <si>
    <t xml:space="preserve">Purée savoyarde                                                                                     </t>
  </si>
  <si>
    <t xml:space="preserve">Poêlée champignons à la forestière                                                                  </t>
  </si>
  <si>
    <t xml:space="preserve">Meule fruitée                                                                                       </t>
  </si>
  <si>
    <t xml:space="preserve">Fromagerie Mulin S.A.S.                                                         </t>
  </si>
  <si>
    <t xml:space="preserve">Filet de Bacon XXL                                                                                  </t>
  </si>
  <si>
    <t xml:space="preserve">Ecrasé pomme de terre à la truffe                                                                   </t>
  </si>
  <si>
    <t xml:space="preserve">Simplement Végétal S.A.S.                                                       </t>
  </si>
  <si>
    <t xml:space="preserve">Mezzé méditerranéen                                                                                 </t>
  </si>
  <si>
    <t xml:space="preserve">Verrines truite et céléri                                                                           </t>
  </si>
  <si>
    <t xml:space="preserve">Pizza 4 fromages XXL                                                                                </t>
  </si>
  <si>
    <t xml:space="preserve">Crème anglaise                                                                                      </t>
  </si>
  <si>
    <t xml:space="preserve">Moelleux au Saint-Marcelin                                                                          </t>
  </si>
  <si>
    <t xml:space="preserve">Soupe aux légumes d'autrefois                                                                       </t>
  </si>
  <si>
    <t xml:space="preserve">Salade de thon assorties SK1                                                                        </t>
  </si>
  <si>
    <t xml:space="preserve">Vif Argent S.A.S.                                                               </t>
  </si>
  <si>
    <t xml:space="preserve">Cuisses de poulet jaune Label Rouge                                                                 </t>
  </si>
  <si>
    <t xml:space="preserve">Filet de poulet jaune Label Rouge                                                                   </t>
  </si>
  <si>
    <t xml:space="preserve">30 Mini feuilletés                                                                                  </t>
  </si>
  <si>
    <t xml:space="preserve">Vitacuire S.A.S.                                                                </t>
  </si>
  <si>
    <t xml:space="preserve">Terrine de Campagne  x6                                                                             </t>
  </si>
  <si>
    <t xml:space="preserve">Cordon bleu XXL                                                                                     </t>
  </si>
  <si>
    <t xml:space="preserve">Corico S.A.S.                                                                   </t>
  </si>
  <si>
    <t xml:space="preserve">Blanc de poulet XXL                                                                                 </t>
  </si>
  <si>
    <t xml:space="preserve">Velouté forestier                                                                                   </t>
  </si>
  <si>
    <t xml:space="preserve">Crème de marrons                                                                                    </t>
  </si>
  <si>
    <t xml:space="preserve">Concept Fruits S.A.S.                                                           </t>
  </si>
  <si>
    <t xml:space="preserve">Mini burgers au foie gras canard                                                                    </t>
  </si>
  <si>
    <t xml:space="preserve">Bretzel Burgard S.A.S.                                                          </t>
  </si>
  <si>
    <t xml:space="preserve">Coeur laitue/salade composée                                                                        </t>
  </si>
  <si>
    <t xml:space="preserve">Yaourt de brebis Bio nature                                                                         </t>
  </si>
  <si>
    <t xml:space="preserve">Le Petit Basque S.A.S.                                                          </t>
  </si>
  <si>
    <t xml:space="preserve">Sucre extra fin                                                                                     </t>
  </si>
  <si>
    <t xml:space="preserve">Rillettes XXL de poulet                                                                             </t>
  </si>
  <si>
    <t xml:space="preserve">Jambon de Bayonne gr tr 12 mois IGP                                                                 </t>
  </si>
  <si>
    <t xml:space="preserve">Bûche de noel creme au beurre choco                                                                 </t>
  </si>
  <si>
    <t xml:space="preserve">Bûche de noel crème beurre praliné                                                                  </t>
  </si>
  <si>
    <t xml:space="preserve">Rillettes de poulet Bio                                                                             </t>
  </si>
  <si>
    <t xml:space="preserve">Tête de veau et sa sauce Gribiche                                                                   </t>
  </si>
  <si>
    <t xml:space="preserve">Poêlées assorties                                                                                   </t>
  </si>
  <si>
    <t xml:space="preserve">Faux Filet *** Blonde d'Aquitaine                                                                   </t>
  </si>
  <si>
    <t xml:space="preserve">Entrecôte *** Blonde d'Aquitaine                                                                    </t>
  </si>
  <si>
    <t xml:space="preserve">Steaks ** Blonde d'Aquitaine x 2                                                                    </t>
  </si>
  <si>
    <t xml:space="preserve">Steaks hachés FB Blonde d'Aquitaine                                                                 </t>
  </si>
  <si>
    <t xml:space="preserve">Haché vrac Blonde d'Aquitaine 5%MG                                                                  </t>
  </si>
  <si>
    <t xml:space="preserve">Huîtres creuses N°2 IGP                                                                             </t>
  </si>
  <si>
    <t xml:space="preserve">Miquel Jarno S.A.R.L.                                                           </t>
  </si>
  <si>
    <t xml:space="preserve">Huitres creuses N°3 IGP                                                                             </t>
  </si>
  <si>
    <t xml:space="preserve">Mini toasts briochés                                                                                </t>
  </si>
  <si>
    <t xml:space="preserve">Mini toasts nature carrés                                                                           </t>
  </si>
  <si>
    <t xml:space="preserve">Cantal entre-deux AOP                                                                               </t>
  </si>
  <si>
    <t xml:space="preserve">Buddha Bol SK1                                                                                      </t>
  </si>
  <si>
    <t xml:space="preserve">Steaks * Blonde d'Aquitaine x4                                                                      </t>
  </si>
  <si>
    <t xml:space="preserve">Haché rond spécial Burger 15%MG                                                                     </t>
  </si>
  <si>
    <t xml:space="preserve">Crème caramel au beurre salé                                                                        </t>
  </si>
  <si>
    <t xml:space="preserve">Crêperie d'Emmeraude SARL                                                       </t>
  </si>
  <si>
    <t xml:space="preserve">Tartelette poire    amandine                                                                        </t>
  </si>
  <si>
    <t xml:space="preserve">Compagnie des Pâtissiers                                                        </t>
  </si>
  <si>
    <t xml:space="preserve">Mâche / jeunes pousses                                                                              </t>
  </si>
  <si>
    <t xml:space="preserve">Fougasse olives &amp; tomates séchées                                                                   </t>
  </si>
  <si>
    <t xml:space="preserve">Brio'gel S.A.S.                                                                 </t>
  </si>
  <si>
    <t xml:space="preserve">Rôti de veau farci foie gras                                                                        </t>
  </si>
  <si>
    <t xml:space="preserve">Salades de céréales                                                                                 </t>
  </si>
  <si>
    <t xml:space="preserve">Quiche aux poireaux                                                                                 </t>
  </si>
  <si>
    <t xml:space="preserve">Geldelis S.A.S.                                                                 </t>
  </si>
  <si>
    <t xml:space="preserve">Pur jus de clémentine                                                                               </t>
  </si>
  <si>
    <t xml:space="preserve">Nectar de pommes sans sucre Bio                                                                     </t>
  </si>
  <si>
    <t xml:space="preserve">Dorade entière vidée                                                                                </t>
  </si>
  <si>
    <t xml:space="preserve">Bar entier vidé                                                                                     </t>
  </si>
  <si>
    <t xml:space="preserve">Pavés de saumon x2 ASC                                                                              </t>
  </si>
  <si>
    <t xml:space="preserve">Croissant abricots                                                                                  </t>
  </si>
  <si>
    <t xml:space="preserve"> Pain sportif                                                                                       </t>
  </si>
  <si>
    <t xml:space="preserve">Pizza aux fromages                                                                                  </t>
  </si>
  <si>
    <t xml:space="preserve">Miel de Provence IGP                                                                                </t>
  </si>
  <si>
    <t xml:space="preserve">Naturalim France Miel S.A.                                                      </t>
  </si>
  <si>
    <t xml:space="preserve">Crème glacée au yaourt Saint Malo                                                                   </t>
  </si>
  <si>
    <t xml:space="preserve">Nougat gourmand                                                                                     </t>
  </si>
  <si>
    <t xml:space="preserve">Dessert de fruits pomme abricot                                                                     </t>
  </si>
  <si>
    <t xml:space="preserve">Croustillant choco individuel                                                                       </t>
  </si>
  <si>
    <t xml:space="preserve">Bordeaux Bio La Croix Beaucourt AOP                                                                 </t>
  </si>
  <si>
    <t xml:space="preserve">Alsace Pinot Noir AOC                                                                               </t>
  </si>
  <si>
    <t xml:space="preserve">Vins D'Alsace Jean Biecher                                                      </t>
  </si>
  <si>
    <t xml:space="preserve">Jurançon Sec Cuvée Océane AOP                                                                       </t>
  </si>
  <si>
    <t xml:space="preserve">Cave des producteurs                                                            </t>
  </si>
  <si>
    <t xml:space="preserve"> Briochette feuilletée au sucre                                                                     </t>
  </si>
  <si>
    <t xml:space="preserve">Château Blanc S.A.S.                                                            </t>
  </si>
  <si>
    <t xml:space="preserve">Champagne Paul Menand                                                                               </t>
  </si>
  <si>
    <t xml:space="preserve">Groupement de Champagnes de                                                     </t>
  </si>
  <si>
    <t xml:space="preserve">Gaillac rouge AOP                                                                                   </t>
  </si>
  <si>
    <t xml:space="preserve">G.V.G. Grands Vins de                                                           </t>
  </si>
  <si>
    <t xml:space="preserve">Touraine Sauvignon Blanc AOP                                                                        </t>
  </si>
  <si>
    <t xml:space="preserve">Oc Merlot Bio Rouge                                                                                 </t>
  </si>
  <si>
    <t xml:space="preserve">Raymond Vins Fins                                                               </t>
  </si>
  <si>
    <t xml:space="preserve">Crozes Hermitage rouge Parsifal AOC                                                                 </t>
  </si>
  <si>
    <t xml:space="preserve">Vignerons de Rasteau et de                                                      </t>
  </si>
  <si>
    <t xml:space="preserve">Ratatouille à la provençale                                                                         </t>
  </si>
  <si>
    <t xml:space="preserve">Rivière S.A.S.                                                                  </t>
  </si>
  <si>
    <t xml:space="preserve">Dosettes café expresso UTZ x 36                                                                     </t>
  </si>
  <si>
    <t xml:space="preserve">Dosette café Tradition UTZ x 36                                                                     </t>
  </si>
  <si>
    <t xml:space="preserve">Rillettes de porc Label Rouge                                                                       </t>
  </si>
  <si>
    <t xml:space="preserve">Assortiment de tartelettes                                                                          </t>
  </si>
  <si>
    <t xml:space="preserve">3 Boudins blancs au porto                                                                           </t>
  </si>
  <si>
    <t xml:space="preserve">Chocolat dessert corsé                                                                              </t>
  </si>
  <si>
    <t xml:space="preserve">Chocolat dessert lait / blanc                                                                       </t>
  </si>
  <si>
    <t xml:space="preserve">Boisson au Rhum Mangue &amp; Ananas                                                                     </t>
  </si>
  <si>
    <t xml:space="preserve">Boisson au Rhum Café &amp; Vanille                                                                      </t>
  </si>
  <si>
    <t xml:space="preserve">Boisson spiritueuse Rhum coco30%                                                                    </t>
  </si>
  <si>
    <t xml:space="preserve">Chocolat dessert Bio                                                                                </t>
  </si>
  <si>
    <t xml:space="preserve">Chocolat noir Bio Orange / Amandes                                                                  </t>
  </si>
  <si>
    <t xml:space="preserve">Haricots blancs Bio (PNE 205g)                                                                      </t>
  </si>
  <si>
    <t xml:space="preserve">Charles Christ S.A.S.                                                           </t>
  </si>
  <si>
    <t xml:space="preserve">Carottes Bio PNE 215g                                                                               </t>
  </si>
  <si>
    <t xml:space="preserve">Lentilles Bio PNE 215g                                                                              </t>
  </si>
  <si>
    <t xml:space="preserve">Petits pois Bio PNE 215g                                                                            </t>
  </si>
  <si>
    <t xml:space="preserve">Cornichons Mini rec. clas(PNE 295g)                                                                 </t>
  </si>
  <si>
    <t xml:space="preserve">Reitzel - Briand S.A.S.U                                                        </t>
  </si>
  <si>
    <t xml:space="preserve">Crêpes fourrées à la crème de marr.                                                                 </t>
  </si>
  <si>
    <t xml:space="preserve">Duc Royal VMQ Ice Blanc                                                                             </t>
  </si>
  <si>
    <t xml:space="preserve">Duc Royal VMQ Ice brut rosé                                                                         </t>
  </si>
  <si>
    <t xml:space="preserve">Chips Bio paysanne nature                                                                           </t>
  </si>
  <si>
    <t xml:space="preserve">Altho S.A.S.U.                                                                  </t>
  </si>
  <si>
    <t xml:space="preserve">Chips allégées en matière grasse                                                                    </t>
  </si>
  <si>
    <t xml:space="preserve">Saucisson sec pur porc à croquer x4                                                                 </t>
  </si>
  <si>
    <t xml:space="preserve">Fjord Nature x8                                                                                     </t>
  </si>
  <si>
    <t xml:space="preserve">Danone Activia Nature x12                                                                           </t>
  </si>
  <si>
    <t xml:space="preserve">Febreze Aerosols                                                                                    </t>
  </si>
  <si>
    <t xml:space="preserve">Skip Active Clean                                                                                   </t>
  </si>
  <si>
    <t xml:space="preserve">Nutella B-Ready T10                                                                                 </t>
  </si>
  <si>
    <t xml:space="preserve">Sanex gel douche                                                                                    </t>
  </si>
  <si>
    <t xml:space="preserve">Antikal Spray                                                                                       </t>
  </si>
  <si>
    <t xml:space="preserve">La Croix WC                                                                                         </t>
  </si>
  <si>
    <t xml:space="preserve">Pavés de boeuf 3 poivres                                                                            </t>
  </si>
  <si>
    <t xml:space="preserve">Sauté de porc                                                                                       </t>
  </si>
  <si>
    <t xml:space="preserve">Brioche tressée vendéenne IGP                                                                       </t>
  </si>
  <si>
    <t xml:space="preserve">Brioches Fonteneau S.A.S.                                                       </t>
  </si>
  <si>
    <t xml:space="preserve">Gâche tranchée                                                                                      </t>
  </si>
  <si>
    <t xml:space="preserve">Vin Mousseux Bio Duc Royal                                                                          </t>
  </si>
  <si>
    <t xml:space="preserve">Plateau de charcuterie des Pyrénées                                                                 </t>
  </si>
  <si>
    <t xml:space="preserve">Ricola Bonbons                                                                                      </t>
  </si>
  <si>
    <t xml:space="preserve">Pur jus douceur d'agrumes Bio                                                                       </t>
  </si>
  <si>
    <t xml:space="preserve">Unisource S.A.S.                                                                </t>
  </si>
  <si>
    <t xml:space="preserve">Boisson à base Cranberry Bio                                                                        </t>
  </si>
  <si>
    <t xml:space="preserve">Pur jus orange/clément./raisin Bio                                                                  </t>
  </si>
  <si>
    <t xml:space="preserve">Narta Homme Déo Bille                                                                               </t>
  </si>
  <si>
    <t xml:space="preserve">Pur jus multifruits Bio briquettes                                                                  </t>
  </si>
  <si>
    <t xml:space="preserve">Pur jus d'ananas Bio                                                                                </t>
  </si>
  <si>
    <t xml:space="preserve">Sandwich premium assortis sk1                                                                       </t>
  </si>
  <si>
    <t xml:space="preserve">Gratin de Gnocchi aux champignons                                                                   </t>
  </si>
  <si>
    <t xml:space="preserve">Maggi Kub'Or                                                                                        </t>
  </si>
  <si>
    <t xml:space="preserve">Herta Le Bon Paris étouffé VPF x4                                                                   </t>
  </si>
  <si>
    <t xml:space="preserve">Confit de canard 4 cuisses IGP                                                                      </t>
  </si>
  <si>
    <t xml:space="preserve">Barre céréale Bio chocolat                                                                          </t>
  </si>
  <si>
    <t xml:space="preserve">Artenay Bars S.A.S.                                                             </t>
  </si>
  <si>
    <t xml:space="preserve">Barre céréale Bio fraise                                                                            </t>
  </si>
  <si>
    <t xml:space="preserve">Colgate Brosses à dent Extra Clean                                                                  </t>
  </si>
  <si>
    <t xml:space="preserve">Miel d'Aquitaine                                                                                    </t>
  </si>
  <si>
    <t xml:space="preserve">Famille Michaud Apiculteurs                                                     </t>
  </si>
  <si>
    <t xml:space="preserve">Oeufs moyens/gros x 12                                                                              </t>
  </si>
  <si>
    <t xml:space="preserve">Oeufs cage moyen gros x30                                                                           </t>
  </si>
  <si>
    <t xml:space="preserve">Oeufs plein air moyen/gros x 6                                                                      </t>
  </si>
  <si>
    <t xml:space="preserve">Pavés de truite                                                                                     </t>
  </si>
  <si>
    <t xml:space="preserve">Dove crème de douche                                                                                </t>
  </si>
  <si>
    <t xml:space="preserve">Magret de canard séché IGP 3 poivre                                                                 </t>
  </si>
  <si>
    <t xml:space="preserve">Magret de canard fumé IGP                                                                           </t>
  </si>
  <si>
    <t xml:space="preserve">Fromage blanc nature au lait brebis                                                                 </t>
  </si>
  <si>
    <t xml:space="preserve">Yaourt de brebis BIO myrtille                                                                       </t>
  </si>
  <si>
    <t xml:space="preserve">Yaourts brebis assortis                                                                             </t>
  </si>
  <si>
    <t xml:space="preserve">St Bastien (Fleur Rouge)                                                                            </t>
  </si>
  <si>
    <t xml:space="preserve">Soupline assouplissant                                                                              </t>
  </si>
  <si>
    <t xml:space="preserve">Cadum gel douche 750ml + 250ml grt                                                                  </t>
  </si>
  <si>
    <t xml:space="preserve">Pain hérisson                                                                                       </t>
  </si>
  <si>
    <t xml:space="preserve">Galette bistrot lardons chèvre                                                                      </t>
  </si>
  <si>
    <t xml:space="preserve">Galette bistrot jambon tomates                                                                      </t>
  </si>
  <si>
    <t xml:space="preserve">Gougère x 16 fromages                                                                               </t>
  </si>
  <si>
    <t xml:space="preserve">Hula Hoops Original 2+1 gratuit                                                                     </t>
  </si>
  <si>
    <t xml:space="preserve">Magret de Canard IGP du Sud-Ouest                                                                   </t>
  </si>
  <si>
    <t xml:space="preserve">Lutti Best Fizz                                                                                     </t>
  </si>
  <si>
    <t xml:space="preserve">Paic Excel+ liquide vaisselle                                                                       </t>
  </si>
  <si>
    <t xml:space="preserve">Lu Belvita Miel &amp; Choco x2                                                                          </t>
  </si>
  <si>
    <t xml:space="preserve">Ayala Brut Majeur AOC                                                                               </t>
  </si>
  <si>
    <t xml:space="preserve">Coeur du Vin S.A.R.L.                                                           </t>
  </si>
  <si>
    <t xml:space="preserve">A.L.B. Wine International                                                       </t>
  </si>
  <si>
    <t xml:space="preserve">Champagne Ayala brut [Sleeve]                                                                       </t>
  </si>
  <si>
    <t xml:space="preserve">Moelleux fromage raclette                                                                           </t>
  </si>
  <si>
    <t xml:space="preserve">Aiguillettes de canard                                                                              </t>
  </si>
  <si>
    <t xml:space="preserve">Omo Duo Tropiques &amp; Magnolia                                                                        </t>
  </si>
  <si>
    <t xml:space="preserve">Cailles nature sans tête                                                                            </t>
  </si>
  <si>
    <t xml:space="preserve">Assortiment de mignardises sucrées                                                                  </t>
  </si>
  <si>
    <t xml:space="preserve">Pommes de terre à la Sarladaise                                                                     </t>
  </si>
  <si>
    <t xml:space="preserve">Cité Gourmande S.A.S                                                            </t>
  </si>
  <si>
    <t xml:space="preserve">Maxi Burger pavé Rösti                                                                              </t>
  </si>
  <si>
    <t xml:space="preserve">Gougères à l'emmental x 20                                                                          </t>
  </si>
  <si>
    <t xml:space="preserve">Rousquilles                                                                                         </t>
  </si>
  <si>
    <t xml:space="preserve">Confiserie du Tech S.A.S.                                                       </t>
  </si>
  <si>
    <t xml:space="preserve">Kouign Amann                                                                                        </t>
  </si>
  <si>
    <t xml:space="preserve">Kouign Amann Berrou S.A.S.                                                      </t>
  </si>
  <si>
    <t xml:space="preserve">Mini boudins blancs/antillais                                                                       </t>
  </si>
  <si>
    <t xml:space="preserve">Pavés marinés à l'échalote                                                                          </t>
  </si>
  <si>
    <t xml:space="preserve">Saucisses de volaille assorties                                                                     </t>
  </si>
  <si>
    <t xml:space="preserve">Soupe aux oignons                                                                                   </t>
  </si>
  <si>
    <t xml:space="preserve">Coffret Moutardes aromatisées                                                                       </t>
  </si>
  <si>
    <t xml:space="preserve">Reine de Dijon S.A.S.                                                           </t>
  </si>
  <si>
    <t xml:space="preserve">Biscuit roses de Reims                                                                              </t>
  </si>
  <si>
    <t xml:space="preserve">Biscuits Fossier S.A.S.                                                         </t>
  </si>
  <si>
    <t xml:space="preserve">Cake chèvre et courgette                                                                            </t>
  </si>
  <si>
    <t xml:space="preserve">Velouté carotte crème                                                                               </t>
  </si>
  <si>
    <t xml:space="preserve">Faire France lait 1/2 écrémé Bio                                                                    </t>
  </si>
  <si>
    <t xml:space="preserve">Rillettes de canard au foie gras                                                                    </t>
  </si>
  <si>
    <t xml:space="preserve">Larédy S.A.S.                                                                   </t>
  </si>
  <si>
    <t xml:space="preserve">Aïoli                                                                                               </t>
  </si>
  <si>
    <t xml:space="preserve">Societe Michel Coudene                                                          </t>
  </si>
  <si>
    <t xml:space="preserve">Soupe de poissons&amp; homard au safran                                                                 </t>
  </si>
  <si>
    <t xml:space="preserve">Velouté de morilles &amp; foie gras                                                                     </t>
  </si>
  <si>
    <t xml:space="preserve">Guacamole extra                                                                                     </t>
  </si>
  <si>
    <t xml:space="preserve">Bûche crème au beurre chocolat x2                                                                   </t>
  </si>
  <si>
    <t xml:space="preserve">Bûche exotique                                                                                      </t>
  </si>
  <si>
    <t xml:space="preserve">Bûche fruits rouges                                                                                 </t>
  </si>
  <si>
    <t xml:space="preserve">Salade 1,2,3 assorties SK1                                                                          </t>
  </si>
  <si>
    <t xml:space="preserve">Colgate Max White / Naturals                                                                        </t>
  </si>
  <si>
    <t xml:space="preserve">Planta Fin margarine doux                                                                           </t>
  </si>
  <si>
    <t xml:space="preserve">Maille Moutarde de Dijon Originale                                                                  </t>
  </si>
  <si>
    <t xml:space="preserve">Tartare 10 portions +2 grtes - 8936                                                                 </t>
  </si>
  <si>
    <t xml:space="preserve">Terrines Tripack au canard                                                                          </t>
  </si>
  <si>
    <t xml:space="preserve">Evian Eau Minérale                                                                                  </t>
  </si>
  <si>
    <t xml:space="preserve">Aligot à la truffe                                                                                  </t>
  </si>
  <si>
    <t xml:space="preserve">Midi Tielles S.A.S.                                                             </t>
  </si>
  <si>
    <t xml:space="preserve">Steak végétal SK1                                                                                   </t>
  </si>
  <si>
    <t xml:space="preserve">Assortiment végétal SK1                                                                             </t>
  </si>
  <si>
    <t xml:space="preserve">Skip Ultimate Caps Duo x29                                                                          </t>
  </si>
  <si>
    <t xml:space="preserve">Knorr soupes déshydratées                                                                           </t>
  </si>
  <si>
    <t xml:space="preserve">Knorr soupe aux vermicelles                                                                         </t>
  </si>
  <si>
    <t xml:space="preserve">Knorr court-bouillons cubes                                                                         </t>
  </si>
  <si>
    <t xml:space="preserve">Knorr Bouillons de légumes                                                                          </t>
  </si>
  <si>
    <t xml:space="preserve">Bénédicta Mayonnaise tube                                                                           </t>
  </si>
  <si>
    <t xml:space="preserve">Knorr Béchamel                                                                                      </t>
  </si>
  <si>
    <t xml:space="preserve">Eléphant Infusions bio                                                                              </t>
  </si>
  <si>
    <t xml:space="preserve">Bridélice Crème légère fluide 12%                                                                   </t>
  </si>
  <si>
    <t xml:space="preserve">Haribo Tagada                                                                                       </t>
  </si>
  <si>
    <t xml:space="preserve">Lenor Unstoppables parfum de linge                                                                  </t>
  </si>
  <si>
    <t xml:space="preserve">Bénénuts coffret "L'Apéro"                                                                          </t>
  </si>
  <si>
    <t xml:space="preserve">Super Croix Bora Bora 2 x 43 lav.                                                                   </t>
  </si>
  <si>
    <t xml:space="preserve">Belin Monaco Emmental x3                                                                            </t>
  </si>
  <si>
    <t xml:space="preserve">Vanish Oxi Action Rose                                                                              </t>
  </si>
  <si>
    <t xml:space="preserve">Xtra Total liquide 3 x 60 lavages                                                                   </t>
  </si>
  <si>
    <t xml:space="preserve">St Hubert yaourt soja Bio abricot                                                                   </t>
  </si>
  <si>
    <t xml:space="preserve">Nature Valley barres Crunchy A &amp; M                                                                  </t>
  </si>
  <si>
    <t xml:space="preserve">General Mills France S.A.S.U                                                    </t>
  </si>
  <si>
    <t xml:space="preserve">Nature Valley barres Crunchy A&amp;C                                                                    </t>
  </si>
  <si>
    <t xml:space="preserve">Nature Valley barres Crunchy A&amp;Cr                                                                   </t>
  </si>
  <si>
    <t xml:space="preserve">Bénédicta sauces party Kit de 6                                                                     </t>
  </si>
  <si>
    <t xml:space="preserve">Tassimo L'Or                                                                                        </t>
  </si>
  <si>
    <t xml:space="preserve">Elseve Après-Shamp. Assorti                                                                         </t>
  </si>
  <si>
    <t xml:space="preserve">Elseve Shampooing assorti                                                                           </t>
  </si>
  <si>
    <t xml:space="preserve">Viande hachée 20%                                                                                   </t>
  </si>
  <si>
    <t xml:space="preserve">Elseve Après-Shamp. Color Vive                                                                      </t>
  </si>
  <si>
    <t xml:space="preserve">Elseve Shampooing Color Vive                                                                        </t>
  </si>
  <si>
    <t xml:space="preserve">Xtra Marseille liquide 3x60 lavages                                                                 </t>
  </si>
  <si>
    <t xml:space="preserve">Lu Granola Pocket x3                                                                                </t>
  </si>
  <si>
    <t xml:space="preserve">Cajoline adoucissant "Tt simplement                                                                 </t>
  </si>
  <si>
    <t xml:space="preserve">Nivea lingettes bébé sensi./soft x3                                                                 </t>
  </si>
  <si>
    <t xml:space="preserve">Beiersdorf S.A.S.                                                               </t>
  </si>
  <si>
    <t xml:space="preserve">Nivea bébé sérum physiologique                                                                      </t>
  </si>
  <si>
    <t xml:space="preserve">Nivea bébé gel cheveux &amp; corps                                                                      </t>
  </si>
  <si>
    <t xml:space="preserve">Nivea Baby eau douce nettoyante                                                                     </t>
  </si>
  <si>
    <t xml:space="preserve">Truffe rapée huile d'olive PNE 30G                                                                  </t>
  </si>
  <si>
    <t xml:space="preserve">MCA Spain, S.L.                                                                 </t>
  </si>
  <si>
    <t xml:space="preserve">Mousse de Thon/Cèpes/Homard                                                                         </t>
  </si>
  <si>
    <t xml:space="preserve">Recharge désodorisant                                                                               </t>
  </si>
  <si>
    <t xml:space="preserve">Zelnova Zeltia, S.A.                                                            </t>
  </si>
  <si>
    <t xml:space="preserve">Gros sel de mer                                                                                     </t>
  </si>
  <si>
    <t xml:space="preserve">Compañía Española de                                                            </t>
  </si>
  <si>
    <t xml:space="preserve">Sel fin de mer                                                                                      </t>
  </si>
  <si>
    <t xml:space="preserve">Tortillas assorties                                                                                 </t>
  </si>
  <si>
    <t xml:space="preserve">Grupo Empresarial Palacios                                                      </t>
  </si>
  <si>
    <t xml:space="preserve">Gel douche Dermo/0%                                                                                 </t>
  </si>
  <si>
    <t xml:space="preserve">Quimi Romar, S.L.U.                                                             </t>
  </si>
  <si>
    <t xml:space="preserve">Sérum Anti-rides                                                                                    </t>
  </si>
  <si>
    <t xml:space="preserve">Postquam Cosmetics, S.L.                                                        </t>
  </si>
  <si>
    <t xml:space="preserve"> Donut au chocolat                                                                                  </t>
  </si>
  <si>
    <t xml:space="preserve">Europastry, S.A.                                                                </t>
  </si>
  <si>
    <t xml:space="preserve">Tomates séchées à l'huile PNE 150g                                                                  </t>
  </si>
  <si>
    <t xml:space="preserve">Le Squisivoglie S.r.l.                                                          </t>
  </si>
  <si>
    <t xml:space="preserve">Polenta précuite                                                                                    </t>
  </si>
  <si>
    <t xml:space="preserve">FAVERO ANTONIO SRL                                                              </t>
  </si>
  <si>
    <t xml:space="preserve">Carpaccio de poulpes (PNE 80g)                                                                      </t>
  </si>
  <si>
    <t xml:space="preserve">CESARE REGNOLI &amp; FIGLIO                                                         </t>
  </si>
  <si>
    <t xml:space="preserve">Ficelle aux olives                                                                                  </t>
  </si>
  <si>
    <t xml:space="preserve">Grana pad. rapé/Parmigi. en copeaux                                                                 </t>
  </si>
  <si>
    <t xml:space="preserve">SAVIOLA S.p.A.                                                                  </t>
  </si>
  <si>
    <t xml:space="preserve">Maccheroni nature / Cavatoni                                                                        </t>
  </si>
  <si>
    <t xml:space="preserve">PASTIFICIO DIBENEDETTO srl                                                      </t>
  </si>
  <si>
    <t xml:space="preserve">Bandes de cire froide                                                                               </t>
  </si>
  <si>
    <t xml:space="preserve">Eurosirel S.p.A.                                                                </t>
  </si>
  <si>
    <t xml:space="preserve">Gressins ass. sésame/huile d'olive                                                                  </t>
  </si>
  <si>
    <t xml:space="preserve">Gran Bon srl                                                                    </t>
  </si>
  <si>
    <t xml:space="preserve">Snack au cacao                                                                                      </t>
  </si>
  <si>
    <t xml:space="preserve">Richetti S.P.A.                                                                 </t>
  </si>
  <si>
    <t xml:space="preserve">Pâtes fraîches                                                                                      </t>
  </si>
  <si>
    <t xml:space="preserve">ARMANDO DE ANGELIS s.r.l.                                                       </t>
  </si>
  <si>
    <t xml:space="preserve">Tagliatelles fraîches BIO                                                                           </t>
  </si>
  <si>
    <t xml:space="preserve">Raviolificio lo scoiattolo                                                      </t>
  </si>
  <si>
    <t xml:space="preserve">Assortiment de miels                                                                                </t>
  </si>
  <si>
    <t xml:space="preserve">FULMER GmbH                                                                     </t>
  </si>
  <si>
    <t xml:space="preserve">Envitas petit déjeuner                                                                              </t>
  </si>
  <si>
    <t xml:space="preserve">Hellema Hallum B.V.                                                             </t>
  </si>
  <si>
    <t xml:space="preserve">Feuilletés fromage miel/nature                                                                      </t>
  </si>
  <si>
    <t xml:space="preserve">Bettinehoeve B.V.                                                               </t>
  </si>
  <si>
    <t xml:space="preserve">Flûtes sorbet maracuja fraise                                                                       </t>
  </si>
  <si>
    <t xml:space="preserve">De Dessert Meesters B.V.                                                        </t>
  </si>
  <si>
    <t xml:space="preserve">Jus frais assortis                                                                                  </t>
  </si>
  <si>
    <t xml:space="preserve">Fruit Industry                                                                  </t>
  </si>
  <si>
    <t xml:space="preserve">Mélange de fruits secs VRAC                                                                         </t>
  </si>
  <si>
    <t xml:space="preserve">Biscuits Jungle                                                                                     </t>
  </si>
  <si>
    <t xml:space="preserve">Van Delft Biscuits B.V.                                                         </t>
  </si>
  <si>
    <t xml:space="preserve">Minitartelette choco fourré au lait                                                                 </t>
  </si>
  <si>
    <t xml:space="preserve">R&amp;B Food bvba                                                                   </t>
  </si>
  <si>
    <t xml:space="preserve">Pietercil Delby's N.V.                                                          </t>
  </si>
  <si>
    <t xml:space="preserve">Dessert spéculoos fourrage fruits                                                                   </t>
  </si>
  <si>
    <t xml:space="preserve">DELICI bvba                                                                     </t>
  </si>
  <si>
    <t xml:space="preserve">Sauce Squeeze assort.                                                                               </t>
  </si>
  <si>
    <t xml:space="preserve">Macarons Frais                                                                                      </t>
  </si>
  <si>
    <t xml:space="preserve">Poppies International N.V.                                                      </t>
  </si>
  <si>
    <t xml:space="preserve">Mini Brownies choco                                                                                 </t>
  </si>
  <si>
    <t xml:space="preserve">Figurines trois chocolats                                                                           </t>
  </si>
  <si>
    <t xml:space="preserve">Choc Decor bvba                                                                 </t>
  </si>
  <si>
    <t xml:space="preserve">MSC Filet de Hareng au vinaigre                                                                     </t>
  </si>
  <si>
    <t xml:space="preserve">Vandermaesen viswaren nv                                                        </t>
  </si>
  <si>
    <t xml:space="preserve">Pain d'épice chocolat poire                                                                         </t>
  </si>
  <si>
    <t xml:space="preserve">Quadrette de minis sauces                                                                           </t>
  </si>
  <si>
    <t xml:space="preserve">Pain d'épices au miel                                                                               </t>
  </si>
  <si>
    <t xml:space="preserve">Pain d'épices aux noix et dattes                                                                    </t>
  </si>
  <si>
    <t xml:space="preserve">Pain d'épice Bio aux noix                                                                           </t>
  </si>
  <si>
    <t xml:space="preserve">Dove Savon Crème                                                                                    </t>
  </si>
  <si>
    <t xml:space="preserve">Assortiment de snack                                                                                </t>
  </si>
  <si>
    <t xml:space="preserve">frostkrone Tiefkühlkost GmbH                                                    </t>
  </si>
  <si>
    <t xml:space="preserve">Ron Rumbero Cubain 3 ans 38 % Vol.                                                                  </t>
  </si>
  <si>
    <t xml:space="preserve">Schwarzwaelder                                                                  </t>
  </si>
  <si>
    <t xml:space="preserve">Plats asiatiques au poulet                                                                          </t>
  </si>
  <si>
    <t xml:space="preserve">Frankenberg Authentic Food                                                      </t>
  </si>
  <si>
    <t>Date du jour</t>
  </si>
  <si>
    <t xml:space="preserve">Code article </t>
  </si>
  <si>
    <t>Dénomination
 article</t>
  </si>
  <si>
    <t>Code FRS</t>
  </si>
  <si>
    <t>FRS</t>
  </si>
  <si>
    <t>Famille logistique</t>
  </si>
  <si>
    <t>Nbre colis prévues</t>
  </si>
  <si>
    <t>Nbre de colis
 receptionnées</t>
  </si>
  <si>
    <t>Nbre de palette(s)
 manquante(s)</t>
  </si>
  <si>
    <t>Date de 
commande</t>
  </si>
  <si>
    <t xml:space="preserve">Motifs de 
non livraison </t>
  </si>
  <si>
    <t>Action</t>
  </si>
  <si>
    <t>Problème de transporteur</t>
  </si>
  <si>
    <t>KL = lendemain</t>
  </si>
  <si>
    <t>Rupture</t>
  </si>
  <si>
    <t>KF = lendemain</t>
  </si>
  <si>
    <t>Commentaire 
supplémentaire</t>
  </si>
  <si>
    <t>Nbre colis
 prévues</t>
  </si>
  <si>
    <t>Problème de production</t>
  </si>
  <si>
    <t>Commande non-reçue</t>
  </si>
  <si>
    <t>KF</t>
  </si>
  <si>
    <t>KL</t>
  </si>
  <si>
    <t>Mensuelle</t>
  </si>
  <si>
    <t>Aucune réponse</t>
  </si>
  <si>
    <t>Changement de paletisation</t>
  </si>
  <si>
    <t xml:space="preserve">Arrêt du produit </t>
  </si>
  <si>
    <t>Attente d'nformation</t>
  </si>
  <si>
    <t>Transporteur refusé</t>
  </si>
  <si>
    <t>MAIL + lendemain</t>
  </si>
  <si>
    <t>KL = MAZ</t>
  </si>
  <si>
    <t>KF = MAZ</t>
  </si>
  <si>
    <t>Suppression cde</t>
  </si>
  <si>
    <t>Date ultérieure</t>
  </si>
  <si>
    <t>FORMULAIRE DE SAISIE</t>
  </si>
  <si>
    <t>Kleyling</t>
  </si>
  <si>
    <t>Autre erreur</t>
  </si>
  <si>
    <t>Livraison au lendemain</t>
  </si>
  <si>
    <t>WAWI14</t>
  </si>
  <si>
    <t>DR: 14</t>
  </si>
  <si>
    <t>Utilisateur: ALANCELI</t>
  </si>
  <si>
    <t>Date d'édition: 20/12/2018 16:20</t>
  </si>
  <si>
    <t>RSF63 - Stock valorisé</t>
  </si>
  <si>
    <t>Stock du: 19/12/2018</t>
  </si>
  <si>
    <t>Statut de 6 à 12</t>
  </si>
  <si>
    <t>Code géo</t>
  </si>
  <si>
    <t>Code art.</t>
  </si>
  <si>
    <t>Désignation</t>
  </si>
  <si>
    <t>Statut</t>
  </si>
  <si>
    <t>UVC/Colis</t>
  </si>
  <si>
    <t>Stock Théo. colis</t>
  </si>
  <si>
    <t>Stock Théo. UVC</t>
  </si>
  <si>
    <t>Fact Pal.</t>
  </si>
  <si>
    <t>Stock Théo. pal.</t>
  </si>
  <si>
    <t>Prix de vente</t>
  </si>
  <si>
    <t>Montant total</t>
  </si>
  <si>
    <t>Article bloqué</t>
  </si>
  <si>
    <t>Eau Gazéifiée</t>
  </si>
  <si>
    <t>Eau minérale naturelle</t>
  </si>
  <si>
    <t>Eau de source</t>
  </si>
  <si>
    <t>Cola 2L</t>
  </si>
  <si>
    <t>BLOQUÉ</t>
  </si>
  <si>
    <t>Soda orange 10%+2%</t>
  </si>
  <si>
    <t>Orange pulpe 12%+2% soda</t>
  </si>
  <si>
    <t>Soda lemon lime</t>
  </si>
  <si>
    <t>Limonade</t>
  </si>
  <si>
    <t>Cola zéro</t>
  </si>
  <si>
    <t>Boisson exotique fruit</t>
  </si>
  <si>
    <t>Boisson fruits rouges/oranges</t>
  </si>
  <si>
    <t>AUDIT FRANCE</t>
  </si>
  <si>
    <t>Ice Tea pêche</t>
  </si>
  <si>
    <t>Thé glacé citron/mangue</t>
  </si>
  <si>
    <t>Jambon fines tr. à l'italienne VPF</t>
  </si>
  <si>
    <t>Whiskas les Irrésistibles</t>
  </si>
  <si>
    <t>Pedigree Dentastix</t>
  </si>
  <si>
    <t>Look O Look assortiment confiseries</t>
  </si>
  <si>
    <t>28 bâtonnets saveur crabe</t>
  </si>
  <si>
    <t>Panzani Tomapizza</t>
  </si>
  <si>
    <t>Sun liquide de rinçage TripleAction</t>
  </si>
  <si>
    <t>Sun Expert nettoyant machine x3</t>
  </si>
  <si>
    <t>Mini chinois pepites choco</t>
  </si>
  <si>
    <t>Danio 0% MG. Passion</t>
  </si>
  <si>
    <t>Danio 0% M.G. fraise</t>
  </si>
  <si>
    <t>Mentos Gum Pure Fresh Box</t>
  </si>
  <si>
    <t>Tic Tac T200</t>
  </si>
  <si>
    <t>Sal. betteraves rouges/coleslaw</t>
  </si>
  <si>
    <t>Salade méli mélo/céleri</t>
  </si>
  <si>
    <t xml:space="preserve">JB Bâton de Berger </t>
  </si>
  <si>
    <t xml:space="preserve">Pringles </t>
  </si>
  <si>
    <t>Pampers Couches newbaby T1</t>
  </si>
  <si>
    <t>Pampers Couches newbaby T2</t>
  </si>
  <si>
    <t>Pampers Couches babydry T3</t>
  </si>
  <si>
    <t>Pampers Couches babydry T4</t>
  </si>
  <si>
    <t>Ducros Gingembre moulu</t>
  </si>
  <si>
    <t>Ducros estragon</t>
  </si>
  <si>
    <t>DIVERS ALIM 5.5%</t>
  </si>
  <si>
    <t>PRET A CONSO 10%</t>
  </si>
  <si>
    <t>DIVERS NON ALIM 20%</t>
  </si>
  <si>
    <t>NON FOOD 20%</t>
  </si>
  <si>
    <t>Crème fraîche épaisse 30%</t>
  </si>
  <si>
    <t>Specialité laitière crémeuse</t>
  </si>
  <si>
    <t>Fromage blanc</t>
  </si>
  <si>
    <t>Spécialité laitière</t>
  </si>
  <si>
    <t>Beurre doux</t>
  </si>
  <si>
    <t>Margarine de cuisson 70% mat</t>
  </si>
  <si>
    <t>Fromage Blanc assorti</t>
  </si>
  <si>
    <t xml:space="preserve">Petit pot de crème chocolat </t>
  </si>
  <si>
    <t>Crème aux oeufs vanille</t>
  </si>
  <si>
    <t xml:space="preserve">Fromage blanc 0% </t>
  </si>
  <si>
    <t>Mousse au chocolat noir/lait</t>
  </si>
  <si>
    <t>Yaourt aux fruits</t>
  </si>
  <si>
    <t>Petits Fromages frais assortis</t>
  </si>
  <si>
    <t>Danone  Danette chocolat</t>
  </si>
  <si>
    <t>Danone Danette saveur vanille</t>
  </si>
  <si>
    <t>Beurre aux cristaux de sel Noirm.</t>
  </si>
  <si>
    <t>Yaourt vanille pot verre</t>
  </si>
  <si>
    <t>Beurre 1/2 sel</t>
  </si>
  <si>
    <t>Beurre doux extra fin</t>
  </si>
  <si>
    <t>Beurre demi sel extra fin</t>
  </si>
  <si>
    <t>Camembert</t>
  </si>
  <si>
    <t xml:space="preserve">Coulommiers </t>
  </si>
  <si>
    <t>Raclette Vin blanc / fumé / poivre</t>
  </si>
  <si>
    <t>Steak 3 from/3 from-jambon</t>
  </si>
  <si>
    <t xml:space="preserve">Chèvre bûchette </t>
  </si>
  <si>
    <t>Carré de l'Est</t>
  </si>
  <si>
    <t>Fromage pour tartiflette</t>
  </si>
  <si>
    <t>Roquefort</t>
  </si>
  <si>
    <t>Quart Maroilles AOP</t>
  </si>
  <si>
    <t>Blédilait croissance (10M à 3 ans)</t>
  </si>
  <si>
    <t>Pâte brisée végétale</t>
  </si>
  <si>
    <t>Pâte feuilletée végétale</t>
  </si>
  <si>
    <t>Coulommiers de caractère</t>
  </si>
  <si>
    <t>Société Roquefort Cave Saveur</t>
  </si>
  <si>
    <t>Saint Nectaire AOP</t>
  </si>
  <si>
    <t>Morbier au lait cru AOP</t>
  </si>
  <si>
    <t>Président emmental râpé</t>
  </si>
  <si>
    <t>Gallia Calisma 1 (de 0 à 6M)</t>
  </si>
  <si>
    <t>Gallia Calisma 2 (6 à 12 mois)</t>
  </si>
  <si>
    <t>Mimolette en tranches</t>
  </si>
  <si>
    <t>Fromage à pâte persillée</t>
  </si>
  <si>
    <t>Cancoillotte nature / ail assor.</t>
  </si>
  <si>
    <t>Président camembert 45%</t>
  </si>
  <si>
    <t>Petit St-Paulin croûte naturelle</t>
  </si>
  <si>
    <t>Crottins de chèvre 2x60g</t>
  </si>
  <si>
    <t xml:space="preserve">Mozzarella </t>
  </si>
  <si>
    <t>Mascarpone</t>
  </si>
  <si>
    <t>Istara Ossau-Iraty tranche</t>
  </si>
  <si>
    <t>Président Emmental plaquette</t>
  </si>
  <si>
    <t>Camembert moulé à la louche</t>
  </si>
  <si>
    <t xml:space="preserve">Saint Félicien </t>
  </si>
  <si>
    <t xml:space="preserve">Fromage ovale </t>
  </si>
  <si>
    <t xml:space="preserve">Chèvre frais </t>
  </si>
  <si>
    <t xml:space="preserve">Petit brie </t>
  </si>
  <si>
    <t xml:space="preserve">Fromage pur brebis </t>
  </si>
  <si>
    <t>Quenelles ass.</t>
  </si>
  <si>
    <t>Jambon cru fumé</t>
  </si>
  <si>
    <t>Feuilleté à la viande assortiment</t>
  </si>
  <si>
    <t>Rôti de porc 5 tranches qualité sup</t>
  </si>
  <si>
    <t>Jambon supérieur avec couenne 4 tr.</t>
  </si>
  <si>
    <t>Saucisse ail sup. biseau fumée col.</t>
  </si>
  <si>
    <t>Gallia Calisma 3 (à partir de 12M)</t>
  </si>
  <si>
    <t>Pâté en croûte cocktail aux olives</t>
  </si>
  <si>
    <t>Quiche lorraine/Tarte aux poireaux</t>
  </si>
  <si>
    <t>Foie gras de canard entier lobe</t>
  </si>
  <si>
    <t>Véritables rillettes du Mans VPF</t>
  </si>
  <si>
    <t>Assortiment alsacien</t>
  </si>
  <si>
    <t>Assiette de charcuterie</t>
  </si>
  <si>
    <t>Lasagnes</t>
  </si>
  <si>
    <t>Plats cuisinés assortis</t>
  </si>
  <si>
    <t>Jambon cru serrano</t>
  </si>
  <si>
    <t>Fricadelles</t>
  </si>
  <si>
    <t>Salade fraîche assortie</t>
  </si>
  <si>
    <t xml:space="preserve">Roulé au fromage </t>
  </si>
  <si>
    <t>Manchons de poulet nature</t>
  </si>
  <si>
    <t>Manchons de poulet à la mexicaine</t>
  </si>
  <si>
    <t>Saucisses de Strasbourg x 10</t>
  </si>
  <si>
    <t>Croque monsieur</t>
  </si>
  <si>
    <t>Père Dodu nuggets fromage / poulet</t>
  </si>
  <si>
    <t>Pâté en croûte cocktail nature</t>
  </si>
  <si>
    <t>Saumon fumé de Norvège</t>
  </si>
  <si>
    <t xml:space="preserve">Lardons fumés au bois </t>
  </si>
  <si>
    <t>Mini Blinis</t>
  </si>
  <si>
    <t>Tarama aux oeufs de cabillaud</t>
  </si>
  <si>
    <t>Cervelas</t>
  </si>
  <si>
    <t>Rosette pur porc en tranches</t>
  </si>
  <si>
    <t>Caviar d'aubergine / Tomate olive</t>
  </si>
  <si>
    <t>Magret de canard (903) kg</t>
  </si>
  <si>
    <t>Tapenade noire / Tomate basilic</t>
  </si>
  <si>
    <t>Jambon de la forêt noire</t>
  </si>
  <si>
    <t>Salami danois</t>
  </si>
  <si>
    <t>Jambon fumé bois de hêtre kg (588)</t>
  </si>
  <si>
    <t xml:space="preserve">Tarte flambée </t>
  </si>
  <si>
    <t>Feuilletés premium x2</t>
  </si>
  <si>
    <t>Bacon</t>
  </si>
  <si>
    <t>Sandwich jamb.-beur./jamb.-emmental</t>
  </si>
  <si>
    <t>Sandwichs thon-crud./poulet-crud.</t>
  </si>
  <si>
    <t>Magret de canard fumé prétranché</t>
  </si>
  <si>
    <t>Jambon de Bayonne IGP VPF</t>
  </si>
  <si>
    <t>Lait entier UHT brick</t>
  </si>
  <si>
    <t xml:space="preserve">Lait 1/2 écrémé UHT brick </t>
  </si>
  <si>
    <t>Crème UHT 30%</t>
  </si>
  <si>
    <t>Blédina Blédine choco biscuit 12M</t>
  </si>
  <si>
    <t>Margarine allégée 60%</t>
  </si>
  <si>
    <t>Crème fouettée</t>
  </si>
  <si>
    <t>Crème légère liquide 15%</t>
  </si>
  <si>
    <t>Blédidej saveur vanille dès 6M</t>
  </si>
  <si>
    <t>Blédina ratatouille riz colin 8M</t>
  </si>
  <si>
    <t>Lait écrémé UHT brick</t>
  </si>
  <si>
    <t>Blédina Tomates, riz et poulet</t>
  </si>
  <si>
    <t>Blédina Mon 1er pots carottes 4mois</t>
  </si>
  <si>
    <t>Blédina Mon 1er Pot PDT/poireau</t>
  </si>
  <si>
    <t xml:space="preserve">Blédina Blédiner duo de légumes </t>
  </si>
  <si>
    <t>Blédina Tomates boulg./saumon</t>
  </si>
  <si>
    <t>Blédina Carottes riz jambon dès 8M</t>
  </si>
  <si>
    <t>Pâte feuilletée roulée pur beurre</t>
  </si>
  <si>
    <t>Pâte brisée roulée pur beurre</t>
  </si>
  <si>
    <t>Salade base pâte assortie</t>
  </si>
  <si>
    <t>Sand. polaire jam.-cheddar/bacon</t>
  </si>
  <si>
    <t>Blédichef courgettes macaronis 12M</t>
  </si>
  <si>
    <t>Blédina Risotto petits pois carotte</t>
  </si>
  <si>
    <t>Blédichef Légumes riz poulet</t>
  </si>
  <si>
    <t>Oeufs plein air calibre moyen x6</t>
  </si>
  <si>
    <t>Oeufs Bio calibre moyen x 6</t>
  </si>
  <si>
    <t xml:space="preserve">Blédina coupelles pommes biscuit </t>
  </si>
  <si>
    <t>Blédina coup. pomm. kiwis ananas 8M</t>
  </si>
  <si>
    <t>Blédina Gourde poire banane abricot</t>
  </si>
  <si>
    <t>Blédina banane pomme mangue</t>
  </si>
  <si>
    <t>Blédina banane pomme myrtille 10M</t>
  </si>
  <si>
    <t>Lustucru tagliatelles bio lot de 2</t>
  </si>
  <si>
    <t>Savoie Yaourt vanille pot verre</t>
  </si>
  <si>
    <t>Livres Bout'Chou</t>
  </si>
  <si>
    <t>Fromage blanc fondu</t>
  </si>
  <si>
    <t>Fromage fondu 24 portions</t>
  </si>
  <si>
    <t>Kinder Maxi T26</t>
  </si>
  <si>
    <t>Heinz Sauces triopack</t>
  </si>
  <si>
    <t>Lutti Mix Fizz Tubo</t>
  </si>
  <si>
    <t>Kinder Schoko-Bons</t>
  </si>
  <si>
    <t>Coca-Cola Regular 7 bout.+1gratuite</t>
  </si>
  <si>
    <t>Coca-Cola Zero 7 bout. +1 grte</t>
  </si>
  <si>
    <t>Kinder Bueno lait x15</t>
  </si>
  <si>
    <t>Kinder Maxi x24</t>
  </si>
  <si>
    <t>Ferrero Rocher T24</t>
  </si>
  <si>
    <t>Ferrero couscous 2 x 500g+500g grts</t>
  </si>
  <si>
    <t>Nutella 825 g + 150 g gratuits</t>
  </si>
  <si>
    <t>Labeyrie Canard 50% Foie gras</t>
  </si>
  <si>
    <t>Knorr Minestrone huile d'olive</t>
  </si>
  <si>
    <t>Milka Calendrier de Noël</t>
  </si>
  <si>
    <t>Délichoc sablé au lait</t>
  </si>
  <si>
    <t>Lustucru Gnocchi jambon-fromage x2</t>
  </si>
  <si>
    <t xml:space="preserve">Lait 1/2 écrémé UHT bouteille </t>
  </si>
  <si>
    <t>Heinz Ketchup Top Down</t>
  </si>
  <si>
    <t xml:space="preserve">Wattwiller Eau minérale </t>
  </si>
  <si>
    <t>Le Gaulois Nuggets de poulet x3</t>
  </si>
  <si>
    <t>FM Jambon sup. TSR BBC x2</t>
  </si>
  <si>
    <t>Président Comté</t>
  </si>
  <si>
    <t>Belin Monaco</t>
  </si>
  <si>
    <t>Saucisse sèche courbe pur porc</t>
  </si>
  <si>
    <t>Saucisse sèche droite pur porc</t>
  </si>
  <si>
    <t>Rillettes crabe/saumon/thon</t>
  </si>
  <si>
    <t>Blanc de poulet</t>
  </si>
  <si>
    <t>Chorizo collier assortis BA</t>
  </si>
  <si>
    <t>Mousse foie de porc et pointe crème</t>
  </si>
  <si>
    <t>Terrine de campagne dorée au four</t>
  </si>
  <si>
    <t xml:space="preserve">Mousse de canard au Porto </t>
  </si>
  <si>
    <t>Jambon sup. découenné dégraissé</t>
  </si>
  <si>
    <t>Poitrine fumée en salaison</t>
  </si>
  <si>
    <t>Lardons allumettes assortis</t>
  </si>
  <si>
    <t>Poitrine fumée en tranches</t>
  </si>
  <si>
    <t>St Môret nature / allégé</t>
  </si>
  <si>
    <t>St Môret portions</t>
  </si>
  <si>
    <t>3 boudins noirs aux oignons VPF</t>
  </si>
  <si>
    <t>Véritables Andouillettes de Troyes</t>
  </si>
  <si>
    <t>Chorizo en tranches</t>
  </si>
  <si>
    <t>Salade de carottes</t>
  </si>
  <si>
    <t>Taboulé oriental</t>
  </si>
  <si>
    <t>Foie gras de canard entier</t>
  </si>
  <si>
    <t>3 boudins blancs</t>
  </si>
  <si>
    <t>Saucisse de Francfort 2x200 g</t>
  </si>
  <si>
    <t>Salade piémontaise au jambon</t>
  </si>
  <si>
    <t>Dés de jambon choix 200g</t>
  </si>
  <si>
    <t>Saucisses à la Bernoise</t>
  </si>
  <si>
    <t>Bâtonnets de surimi saveur crabe</t>
  </si>
  <si>
    <t>Salade de museau de porc lyonnais</t>
  </si>
  <si>
    <t>Bloc foie gras canard 30% morceaux</t>
  </si>
  <si>
    <t>Croissant jambon / fromage</t>
  </si>
  <si>
    <t>Saucisson sec pur porc Lbl Rge VPF</t>
  </si>
  <si>
    <t>Saucisson sec</t>
  </si>
  <si>
    <t xml:space="preserve">Saucissons secs pur porc à croquer </t>
  </si>
  <si>
    <t>Mini saucissons secs pur porc ass.</t>
  </si>
  <si>
    <t>Saucisson sec pur porc aux noix</t>
  </si>
  <si>
    <t>Nems porc/crev. &amp; crabe/poulet</t>
  </si>
  <si>
    <t>Pizza Margherita 3X300g</t>
  </si>
  <si>
    <t>Batonnets poisson panés 15x30g</t>
  </si>
  <si>
    <t xml:space="preserve">Cordons bleus poulet </t>
  </si>
  <si>
    <t>Escargots x 12</t>
  </si>
  <si>
    <t>Frites</t>
  </si>
  <si>
    <t xml:space="preserve"> Nuggets poulet</t>
  </si>
  <si>
    <t>Lustucru Tagliatelles lot de 2+1grt</t>
  </si>
  <si>
    <t>Filets de saumon nature</t>
  </si>
  <si>
    <t>Macarons x 12</t>
  </si>
  <si>
    <t>Cheeseburgers 6 x 130 g</t>
  </si>
  <si>
    <t xml:space="preserve">Classic vanille/amande    </t>
  </si>
  <si>
    <t>FM Jambon Braisé 2x4+1 tranches</t>
  </si>
  <si>
    <t>Filets de colin d'Alaska</t>
  </si>
  <si>
    <t>Labeyrie Bloc de foie gras morceaux</t>
  </si>
  <si>
    <t>Coca-Cola Regular canettes 16+2</t>
  </si>
  <si>
    <t>Eau minérale naturellement gazeuse</t>
  </si>
  <si>
    <t>Coca-Cola Zero canettes 16+2</t>
  </si>
  <si>
    <t>Poêlée périgourdine</t>
  </si>
  <si>
    <t>Snickers barres glacées x12</t>
  </si>
  <si>
    <t>Mars barres glacées x12</t>
  </si>
  <si>
    <t>Batônnets poissons panés 15x30g MSC</t>
  </si>
  <si>
    <t>Baguette rustique</t>
  </si>
  <si>
    <t>Dolfino Livre je révise je m'amuse</t>
  </si>
  <si>
    <t>MSC Filets de saumon nat. Sauvage</t>
  </si>
  <si>
    <t>Faux filet sous vide V.B.F.</t>
  </si>
  <si>
    <t>Steak de porc</t>
  </si>
  <si>
    <t>Steak haché V.B.F. x 4</t>
  </si>
  <si>
    <t>Poulet PAC jaune</t>
  </si>
  <si>
    <t xml:space="preserve">Saucisses de Toulouse </t>
  </si>
  <si>
    <t>Merguez Véritables</t>
  </si>
  <si>
    <t>Escalope de dinde</t>
  </si>
  <si>
    <t>Chipolatas supérieur V.P.F.</t>
  </si>
  <si>
    <t>Fines escalopes de poulet</t>
  </si>
  <si>
    <t>Filet mignon de porc (977)</t>
  </si>
  <si>
    <t>Escalope de porc</t>
  </si>
  <si>
    <t>Poulet ferm. jaune Lab. Rouge (967)</t>
  </si>
  <si>
    <t>Filet de poulet jaune</t>
  </si>
  <si>
    <t>Poulet rôti en sachet micro ondable</t>
  </si>
  <si>
    <t>Côtes de porc échine</t>
  </si>
  <si>
    <t>Côtes de porc premières</t>
  </si>
  <si>
    <t>Paupiettes de porc</t>
  </si>
  <si>
    <t>Poulet ferm. jaune Lab. Rouge (933)</t>
  </si>
  <si>
    <t>Gésiers/Foies de volaille confits</t>
  </si>
  <si>
    <t>Entrecôte sous vide V.B.F.</t>
  </si>
  <si>
    <t>Rôti de porc filet (2096)</t>
  </si>
  <si>
    <t>Boeuf bourguignon VBF</t>
  </si>
  <si>
    <t>Bavette d'Aloyau sous vide</t>
  </si>
  <si>
    <t>Sucre morceaux n°4</t>
  </si>
  <si>
    <t>Farine type 45</t>
  </si>
  <si>
    <t>Escalopes de veau</t>
  </si>
  <si>
    <t>Cuisse de canard x1</t>
  </si>
  <si>
    <t>Lutti Arlequin Original +10% grat.</t>
  </si>
  <si>
    <t>Fruttina extra sucre gélifiant x3</t>
  </si>
  <si>
    <t>Amora sauce mini format</t>
  </si>
  <si>
    <t>Plateau de saucisses de volaille</t>
  </si>
  <si>
    <t>Knorr velouté 12 légumes from.frais</t>
  </si>
  <si>
    <t>Feuillantine Comtoise</t>
  </si>
  <si>
    <t>Knorr douceur d'automne à la crème</t>
  </si>
  <si>
    <t>Elle&amp;Vire Beurre Tendre doux</t>
  </si>
  <si>
    <t>Elle&amp;Vire Beurre Gourmand doux</t>
  </si>
  <si>
    <t>Le tendre sav. 10 hachés boeuf 15%</t>
  </si>
  <si>
    <t>Xtra liquide 60 lavages Marseille</t>
  </si>
  <si>
    <t>Jarret 1/2 sel (31840)</t>
  </si>
  <si>
    <t>Plateau de poulet à la mexicaine</t>
  </si>
  <si>
    <t>Manchons de poulet barbecue</t>
  </si>
  <si>
    <t>1/4 Jambon sec supérieur tranché</t>
  </si>
  <si>
    <t>San Marco café pur Arabica 2x 250 g</t>
  </si>
  <si>
    <t>Chupa Chups Marguerite 60 minis</t>
  </si>
  <si>
    <t>H. Sport Livre Les Bleus sur le toi</t>
  </si>
  <si>
    <t>St Hubert Omega 3 doux +15% gr-2291</t>
  </si>
  <si>
    <t xml:space="preserve">Sacla Tomates séchées </t>
  </si>
  <si>
    <t>Pavés de boeuf x2 sous vide V.B.F.</t>
  </si>
  <si>
    <t xml:space="preserve">Vin de France rouge </t>
  </si>
  <si>
    <t>Magazine Mon robot ce héros</t>
  </si>
  <si>
    <t>Kinder Bueno T15</t>
  </si>
  <si>
    <t>Huile de tournesol</t>
  </si>
  <si>
    <t>Huile d'olive vierge extra ita.</t>
  </si>
  <si>
    <t>Huile de colza</t>
  </si>
  <si>
    <t>Lipton Thé Fruits Rouges 20 sachets</t>
  </si>
  <si>
    <t>Tzatziki</t>
  </si>
  <si>
    <t>Lipton Thé noir Agrumes 20 sachets</t>
  </si>
  <si>
    <t>Dr Oetker Pizza Bolognese Formaggi</t>
  </si>
  <si>
    <t>Kinder Maxi x18</t>
  </si>
  <si>
    <t>Bridelice Crème lég. s-épaisse</t>
  </si>
  <si>
    <t>Capri-Sun Multivitamin poches</t>
  </si>
  <si>
    <t>LU Granola pocket chocolat au lait</t>
  </si>
  <si>
    <t>Cordons bleus de poulet</t>
  </si>
  <si>
    <t>Galettes garnies assorties</t>
  </si>
  <si>
    <t>Rillettes de poulet</t>
  </si>
  <si>
    <t>Jambon choix de Paris déc. dég. VPF</t>
  </si>
  <si>
    <t>Cervelas à l`alsacienne</t>
  </si>
  <si>
    <t>Tripes à la mode de Caen</t>
  </si>
  <si>
    <t>Saucisse Montbéliard cuite fuméeVPF</t>
  </si>
  <si>
    <t>Tarte St Jacques/chèvre épin/saumon</t>
  </si>
  <si>
    <t>F.M. Jambon braisé 4T</t>
  </si>
  <si>
    <t>FM Jambon de Paris à l'étouffée 4T</t>
  </si>
  <si>
    <t>Pâtes cuisinées micro-ondables</t>
  </si>
  <si>
    <t>Danone Danette caramel</t>
  </si>
  <si>
    <t>Saucisson sec 48 tranches</t>
  </si>
  <si>
    <t>Burgers à l'oignon V.B.F. 15% MG</t>
  </si>
  <si>
    <t>Mayonnaise Mout. Dijon / all</t>
  </si>
  <si>
    <t>Pesto</t>
  </si>
  <si>
    <t>Câpres surfines PNE 60g</t>
  </si>
  <si>
    <t>Mayonnaise Dijon allégée/standard</t>
  </si>
  <si>
    <t>Vinaigrette nature allégée</t>
  </si>
  <si>
    <t>Purée de tomates</t>
  </si>
  <si>
    <t>Sauce crudités ass.</t>
  </si>
  <si>
    <t>Basilic</t>
  </si>
  <si>
    <t>Le Petit Marseillais gel douche</t>
  </si>
  <si>
    <t>Olives aux anchois PNE 170g</t>
  </si>
  <si>
    <t>Olives farcies au poivron PNE 150g</t>
  </si>
  <si>
    <t>Sauce tomate viande 420g</t>
  </si>
  <si>
    <t>Sauce tomate cuisinée 420g</t>
  </si>
  <si>
    <t>Olives vertes dénoyautées</t>
  </si>
  <si>
    <t>Olives noires entières</t>
  </si>
  <si>
    <t>Double concentré tomates</t>
  </si>
  <si>
    <t>Sauce tomate au basilic 420g</t>
  </si>
  <si>
    <t>Ducros La muscade moulue</t>
  </si>
  <si>
    <t>Ducros Moulin mélange 5 baies</t>
  </si>
  <si>
    <t>Lustucru Ravioli 4 Fromages x2</t>
  </si>
  <si>
    <t>Elnett laque spray fixation normale</t>
  </si>
  <si>
    <t xml:space="preserve">Brut Déodorant </t>
  </si>
  <si>
    <t>Coca Cola Regular 6x50cl</t>
  </si>
  <si>
    <t>Coca Cola zero 6x50cl</t>
  </si>
  <si>
    <t>Panzani Tomacouli +500g grt</t>
  </si>
  <si>
    <t>Zakia Tube sauce tomates pim</t>
  </si>
  <si>
    <t>Pâtes torsadees aux oeufs 500G</t>
  </si>
  <si>
    <t>Spaghetti 500g (Box 3394)</t>
  </si>
  <si>
    <t>Macaroni 500g (Box 3393)</t>
  </si>
  <si>
    <t>Coquillettes</t>
  </si>
  <si>
    <t>Tagliatelle</t>
  </si>
  <si>
    <t>Fusilli 500g (Box 3392)</t>
  </si>
  <si>
    <t>Couscous moyen 1kg</t>
  </si>
  <si>
    <t>LU Petit écolier Pocket lait</t>
  </si>
  <si>
    <t>Panzani Torti</t>
  </si>
  <si>
    <t>Purée p.d.t. 4x125g</t>
  </si>
  <si>
    <t xml:space="preserve">Riz étuvé cuisson rapide </t>
  </si>
  <si>
    <t>Panzani Spaghetti</t>
  </si>
  <si>
    <t>Panzani Coquillettes</t>
  </si>
  <si>
    <t>Lustucru riz 10 min long grain</t>
  </si>
  <si>
    <t xml:space="preserve">Taureau Ailé Riz Basmati x2 </t>
  </si>
  <si>
    <t>Riz Jasmin</t>
  </si>
  <si>
    <t>Zakia ravioli au boeuf halal</t>
  </si>
  <si>
    <t>XXL Jambon Bayonne &amp; 1 tranche</t>
  </si>
  <si>
    <t>Kinder Chocolat x32</t>
  </si>
  <si>
    <t>Red Bull 4 x 250 ml</t>
  </si>
  <si>
    <t>Thon albacore 400 g PNE:280g</t>
  </si>
  <si>
    <t>Thon à la catalane/mayo. 135g</t>
  </si>
  <si>
    <t>Rillettes de thon/saumon</t>
  </si>
  <si>
    <t>Thon albacore au naturel PNE:140g</t>
  </si>
  <si>
    <t>Crevettes cocktail PNE 121g</t>
  </si>
  <si>
    <t>Maquereaux vin blanc 176g/187ml</t>
  </si>
  <si>
    <t>Maquereaux moutarde 169g/187ml</t>
  </si>
  <si>
    <t>Filets anchois huile d'olive PNE60g</t>
  </si>
  <si>
    <t>Poulet cuit fumé (970)</t>
  </si>
  <si>
    <t>Sucettes Cola Lemon / Multifruits</t>
  </si>
  <si>
    <t>Sardines tomates peau arêtes PNE90g</t>
  </si>
  <si>
    <t>Miettes thon tomate 160g</t>
  </si>
  <si>
    <t>FM Allumettes lardons +20% grt-5088</t>
  </si>
  <si>
    <t>Ferrero Rocher T16</t>
  </si>
  <si>
    <t>Ferrero Mon Chéri T16</t>
  </si>
  <si>
    <t>Ferrero Raffaello T18</t>
  </si>
  <si>
    <t>Head &amp; Shoulders Shampooing</t>
  </si>
  <si>
    <t>Saucisses lentilles</t>
  </si>
  <si>
    <t>Cassoulet</t>
  </si>
  <si>
    <t>Pâtés en verrine assortis</t>
  </si>
  <si>
    <t>Barquettes</t>
  </si>
  <si>
    <t>Bloc de foie gras de canard</t>
  </si>
  <si>
    <t>Sauté de veau / Poule au riz</t>
  </si>
  <si>
    <t xml:space="preserve">Choucroute royale au Riesling </t>
  </si>
  <si>
    <t>Knorr Mouliné légumes du potager</t>
  </si>
  <si>
    <t>Paëlla volaille fruits mer chorizo</t>
  </si>
  <si>
    <t>Barq. Micro-ond. Lasagne/Chili</t>
  </si>
  <si>
    <t>Amora Sauce Barbecue</t>
  </si>
  <si>
    <t>Café tradition 4 x 250 g</t>
  </si>
  <si>
    <t>Pastis de Marseille 45% Vol.</t>
  </si>
  <si>
    <t>Véritable jambon persillé Bourgogne</t>
  </si>
  <si>
    <t>Gratin dauphinois</t>
  </si>
  <si>
    <t xml:space="preserve">Sun Tabs Tout en 1 </t>
  </si>
  <si>
    <t>Kinder Pingui chocolat T6</t>
  </si>
  <si>
    <t>Confit de canard 4 cuisses</t>
  </si>
  <si>
    <t>Ravioli bolognaise</t>
  </si>
  <si>
    <t>Ravioli pur boeuf</t>
  </si>
  <si>
    <t>Sacla Pesto Alla Genovese +50% grt</t>
  </si>
  <si>
    <t>Knorr fond de veau</t>
  </si>
  <si>
    <t>Knorr bouillons boeuf / pot x12</t>
  </si>
  <si>
    <t>Knorr bouillons poule x12</t>
  </si>
  <si>
    <t>Vinaigre de vin 7° fût de chêne</t>
  </si>
  <si>
    <t>Ravioli à la volaille</t>
  </si>
  <si>
    <t>Sacla tomates parmesan bio</t>
  </si>
  <si>
    <t>FM jambon dinde halal 4+2 grtes</t>
  </si>
  <si>
    <t>Schweppes Mojito</t>
  </si>
  <si>
    <t>Ben &amp; Jerry's Fudge Brownie</t>
  </si>
  <si>
    <t>Ben &amp; Jerry's Cookie Dough</t>
  </si>
  <si>
    <t>Milka Tablette de chocolat lait</t>
  </si>
  <si>
    <t>Glen Orchy 5 Year Scotch Whisky 40%</t>
  </si>
  <si>
    <t>Asperges pelées g. 660g PNE 395g</t>
  </si>
  <si>
    <t>Purée de tomates 7,5 Brix</t>
  </si>
  <si>
    <t>Ratatouille PNE 750g</t>
  </si>
  <si>
    <t>Macédoine légumes, PNE: 530g</t>
  </si>
  <si>
    <t>Petits pois e.f. 800g, PNE: 560g</t>
  </si>
  <si>
    <t>Champignons 1. choix entie.PNE 230g</t>
  </si>
  <si>
    <t>Champi. pieds morc. PNE: 230g</t>
  </si>
  <si>
    <t>Haricots verts TF PNE: 440g</t>
  </si>
  <si>
    <t>Betteraves rouges épluchées</t>
  </si>
  <si>
    <t>Maïs extra doux 300g, PNE: 285g</t>
  </si>
  <si>
    <t>Tomates pelées en morceaux PNE 240g</t>
  </si>
  <si>
    <t>M&amp;M's Peanuts</t>
  </si>
  <si>
    <t>Pommes de terre entières sous vide</t>
  </si>
  <si>
    <t>Uncle Ben's riz express</t>
  </si>
  <si>
    <t>Oeufs bio calibre gros x6</t>
  </si>
  <si>
    <t>Petits pois/carottes 800g, PNE:530g</t>
  </si>
  <si>
    <t>Salades coffrets assorties +dessert</t>
  </si>
  <si>
    <t>Flageolets verts ef 800g PNE 530g</t>
  </si>
  <si>
    <t>Haricots verts ef 800g PNE440g</t>
  </si>
  <si>
    <t>Poivrons gril. pelés 650g PNE 400g</t>
  </si>
  <si>
    <t>Pois chiches bocal 540ml PNE400g</t>
  </si>
  <si>
    <t>Haricots blancs bo. 540ml PNE:400g</t>
  </si>
  <si>
    <t>Asperges moyennes PNE 205g</t>
  </si>
  <si>
    <t xml:space="preserve">Delacre Tea Time </t>
  </si>
  <si>
    <t>Vanish Oxi Action Crystal Blanc</t>
  </si>
  <si>
    <t>Dop Gel douche 250 ml + 250 ml gt</t>
  </si>
  <si>
    <t>Velouté de poireaux pommes de terre</t>
  </si>
  <si>
    <t>Compote pommes allégée 710g</t>
  </si>
  <si>
    <t>Grand-Mère Coquillettes 500G+20%</t>
  </si>
  <si>
    <t>J.B. Petits Bâtons de Berger nature</t>
  </si>
  <si>
    <t>Monster Original</t>
  </si>
  <si>
    <t>Salade de pâtes</t>
  </si>
  <si>
    <t>Cerises dénoyautées PNE: 350 g</t>
  </si>
  <si>
    <t>Compote de pomme</t>
  </si>
  <si>
    <t>Compote pomme-ban/pom.fraise</t>
  </si>
  <si>
    <t>Wraps assortis</t>
  </si>
  <si>
    <t>Olives assorties</t>
  </si>
  <si>
    <t>Legal Café Noir Intense / Corsé</t>
  </si>
  <si>
    <t>Legal Café Noir 36 dosettes</t>
  </si>
  <si>
    <t>Kinder Bueno White T12</t>
  </si>
  <si>
    <t>Lu Napolitain Classic x4</t>
  </si>
  <si>
    <t>Petit beurre + chocolat 125 g</t>
  </si>
  <si>
    <t>Bahlsen Pick up sort.  x 4</t>
  </si>
  <si>
    <t>Gaufrettes croustil.assorties</t>
  </si>
  <si>
    <t>Boudoirs</t>
  </si>
  <si>
    <t xml:space="preserve">Palets au beurre </t>
  </si>
  <si>
    <t xml:space="preserve">Galettes au beurre </t>
  </si>
  <si>
    <t>Mini gâches</t>
  </si>
  <si>
    <t>Petit beurre choc pocket 10x25g</t>
  </si>
  <si>
    <t>Quatre-quarts</t>
  </si>
  <si>
    <t>Barre marbrée</t>
  </si>
  <si>
    <t>Speculoos</t>
  </si>
  <si>
    <t>Assortiment de Biscuits Fins</t>
  </si>
  <si>
    <t>Barquette choco-noisette</t>
  </si>
  <si>
    <t>Barquette fraise</t>
  </si>
  <si>
    <t xml:space="preserve">Fourrés double choco </t>
  </si>
  <si>
    <t>Petit beurre 2x200g</t>
  </si>
  <si>
    <t>Gaufres aux oeufs frais</t>
  </si>
  <si>
    <t>BN Chocolat x32</t>
  </si>
  <si>
    <t>Petit beurre Chocolat Lait/Noir</t>
  </si>
  <si>
    <t>Barre bretonne</t>
  </si>
  <si>
    <t>Soft cake assortis</t>
  </si>
  <si>
    <t>Mini gâteaux fourrés à la fraise</t>
  </si>
  <si>
    <t>Mini gâteaux fourrés au chocolat</t>
  </si>
  <si>
    <t>COOKIES CHOCOLAT ASSORTIS</t>
  </si>
  <si>
    <t>Fourrés Chocolat</t>
  </si>
  <si>
    <t>BISCUITS PETIT DÉJEUNER ASSORT</t>
  </si>
  <si>
    <t>Cake</t>
  </si>
  <si>
    <t>Lunettes de Romans assorties</t>
  </si>
  <si>
    <t>Gaufres au sucre et au chocolat</t>
  </si>
  <si>
    <t>Choco Pouce</t>
  </si>
  <si>
    <t>Mini-Cakes aux pépites de chocolat</t>
  </si>
  <si>
    <t>Mc Vities Biscuits sablés</t>
  </si>
  <si>
    <t>Saumon en sauce</t>
  </si>
  <si>
    <t>Scorpio Coffret Edt + Déo</t>
  </si>
  <si>
    <t>Biscuits au beurre</t>
  </si>
  <si>
    <t>Gaufrettes roulées enrobées choco.</t>
  </si>
  <si>
    <t>Chips de crevettes</t>
  </si>
  <si>
    <t>Rustichips pap/salé/oignon</t>
  </si>
  <si>
    <t>Cacahuètes enrobées</t>
  </si>
  <si>
    <t>Biscuits sablés choc. noir/coco</t>
  </si>
  <si>
    <t>Sticks et bretzel boîte</t>
  </si>
  <si>
    <t>Tortillas Chips assorties</t>
  </si>
  <si>
    <t>Pistaches</t>
  </si>
  <si>
    <t>Croustillants from/cacahuètes</t>
  </si>
  <si>
    <t>Flûtes feuilletées salées/fromage</t>
  </si>
  <si>
    <t>Chips A L`ancienne huile tournesol</t>
  </si>
  <si>
    <t>Cacahuètes</t>
  </si>
  <si>
    <t>Chips salées 6x30g huile tournesol</t>
  </si>
  <si>
    <t>Chips ondulées huile tournesol</t>
  </si>
  <si>
    <t>Chips paprika huile tournesol</t>
  </si>
  <si>
    <t>Bugles 3D fromage/salés</t>
  </si>
  <si>
    <t>Lay's chips à l'ancienne nature</t>
  </si>
  <si>
    <t>Lay's chips poulet thym</t>
  </si>
  <si>
    <t>Baguette précuite, sur pierre</t>
  </si>
  <si>
    <t>Panzani sauce tomate</t>
  </si>
  <si>
    <t>Jamb. cuit sup à l'os grd tr AC VPF</t>
  </si>
  <si>
    <t>Boudins noirs antillais</t>
  </si>
  <si>
    <t>Framboisier</t>
  </si>
  <si>
    <t>2 1/2 baguettes précuites</t>
  </si>
  <si>
    <t>Nonnettes abricot x 6</t>
  </si>
  <si>
    <t>Aperitivo Rosato 14,4% Vol. 1L</t>
  </si>
  <si>
    <t>Grand-Mère Torsades 500g+20% grt</t>
  </si>
  <si>
    <t>Chocolat au lait</t>
  </si>
  <si>
    <t>Chocolat dessert</t>
  </si>
  <si>
    <t>Barres céréales assorties</t>
  </si>
  <si>
    <t>Petit chocolat</t>
  </si>
  <si>
    <t xml:space="preserve">Chocolat lait éclats noisettes </t>
  </si>
  <si>
    <t>Ritter Sport Colorful</t>
  </si>
  <si>
    <t>Kinder Maxi T11</t>
  </si>
  <si>
    <t>Haribo Tagada</t>
  </si>
  <si>
    <t>Oursons guimauve</t>
  </si>
  <si>
    <t xml:space="preserve">Caramels beurre &amp; fleur de sel     </t>
  </si>
  <si>
    <t>Balisto 9 x18.5g</t>
  </si>
  <si>
    <t>Cacahuetes enr. choco</t>
  </si>
  <si>
    <t>Gressins pâte à tartiner noisettes</t>
  </si>
  <si>
    <t>Maltesers</t>
  </si>
  <si>
    <t>Haribo Zizani Mix</t>
  </si>
  <si>
    <t>Kinder Country T9</t>
  </si>
  <si>
    <t>Bonbons tendres fruits</t>
  </si>
  <si>
    <t>Freedent Dragées</t>
  </si>
  <si>
    <t>Airwaves dragées</t>
  </si>
  <si>
    <t>Haribo Reglisse mix / Dragibus mix</t>
  </si>
  <si>
    <t xml:space="preserve">Haribo Music mix/ Safari mix </t>
  </si>
  <si>
    <t>Boisson à l'unité</t>
  </si>
  <si>
    <t>Boisson à l'unité alcool</t>
  </si>
  <si>
    <t>Tartelettes ovales pur beurre ass.</t>
  </si>
  <si>
    <t>Guimauve Mix</t>
  </si>
  <si>
    <t>Orangina jaune</t>
  </si>
  <si>
    <t>Oasis Tropical</t>
  </si>
  <si>
    <t>Schweppes Agrum</t>
  </si>
  <si>
    <t>Café soluble décaféiné</t>
  </si>
  <si>
    <t>Café moulu décaféiné</t>
  </si>
  <si>
    <t>Boisson Inst. Chocolatée</t>
  </si>
  <si>
    <t>Café expresso Arabica</t>
  </si>
  <si>
    <t>Thé noir aromatisé</t>
  </si>
  <si>
    <t>Préparation pour infusion</t>
  </si>
  <si>
    <t>Escalopes de dinde extra fines</t>
  </si>
  <si>
    <t>Thé earl grey/ceylan</t>
  </si>
  <si>
    <t>Cappuccino assorti</t>
  </si>
  <si>
    <t>Café Noir 2x250g</t>
  </si>
  <si>
    <t>Café Familial</t>
  </si>
  <si>
    <t>Legal 1851 Café Grand Arabica</t>
  </si>
  <si>
    <t>Legal café Tradition familiale</t>
  </si>
  <si>
    <t>Senseo dosettes corsées x28</t>
  </si>
  <si>
    <t>Senseo dosettes classiques 28</t>
  </si>
  <si>
    <t>Legal café Bistrot Petit noir 36</t>
  </si>
  <si>
    <t>Baygon Rubans attrape mouche</t>
  </si>
  <si>
    <t>Raid Gel anti-mites lavande</t>
  </si>
  <si>
    <t>Raid Diffuseur + recharge 45 nuits</t>
  </si>
  <si>
    <t>Raid Recharge liquide 45 nuits</t>
  </si>
  <si>
    <t>Filet de lieu noir sans peau/arêtes</t>
  </si>
  <si>
    <t>Jambon cuit sup. -25% de sel VPF</t>
  </si>
  <si>
    <t>Pinot Blanc Alsace AOP</t>
  </si>
  <si>
    <t>Comté AOP affiné 12 mois minimum</t>
  </si>
  <si>
    <t>Ducros Le poivre gris moulu</t>
  </si>
  <si>
    <t>Twix x5</t>
  </si>
  <si>
    <t>Mc Vities biscuits sablés chocolat</t>
  </si>
  <si>
    <t>Gaufrettes 10X25g fr nois/lait</t>
  </si>
  <si>
    <t>Pain de mie</t>
  </si>
  <si>
    <t>Brioche tranchée</t>
  </si>
  <si>
    <t>Musli croustillant aux fruits</t>
  </si>
  <si>
    <t>Miel liquide</t>
  </si>
  <si>
    <t>Gaufres au sucre</t>
  </si>
  <si>
    <t>Pains suédois assortis 225g</t>
  </si>
  <si>
    <t>Briochettes choco noir x8</t>
  </si>
  <si>
    <t>Pain de mie sandwich gde tranche</t>
  </si>
  <si>
    <t>Briochettes choco lait x8</t>
  </si>
  <si>
    <t>Pain de mie son gdes tranches</t>
  </si>
  <si>
    <t>Crêpes fourrées chocolat</t>
  </si>
  <si>
    <t>Tartines craquantes</t>
  </si>
  <si>
    <t>Carrés noisettes</t>
  </si>
  <si>
    <t>Confiture fraises</t>
  </si>
  <si>
    <t>Pains au lait pur beurre x10</t>
  </si>
  <si>
    <t>Nutella</t>
  </si>
  <si>
    <t>Miel crémeux</t>
  </si>
  <si>
    <t>Confiture aux myrtilles</t>
  </si>
  <si>
    <t>Lutti Partyfizz 300g</t>
  </si>
  <si>
    <t>Pains au chocolat x10</t>
  </si>
  <si>
    <t>Croissants natures x 10</t>
  </si>
  <si>
    <t>Galette des rois pommes</t>
  </si>
  <si>
    <t>Galette des rois frangipane</t>
  </si>
  <si>
    <t>Carpaccio assortiment</t>
  </si>
  <si>
    <t>Ritter Sport Tablettes de chocolat</t>
  </si>
  <si>
    <t>Saint Hubert Omega 3 doux</t>
  </si>
  <si>
    <t>Salade mél. gourmand assortie</t>
  </si>
  <si>
    <t>Sucre vanillé 10 x 7,5g</t>
  </si>
  <si>
    <t>Lardons nature</t>
  </si>
  <si>
    <t>Noix de Grenoble AOP</t>
  </si>
  <si>
    <t>Palets de légumes</t>
  </si>
  <si>
    <t>Levure chimique x 10</t>
  </si>
  <si>
    <t>Cartons</t>
  </si>
  <si>
    <t>Coquilles St Jacques à la bretonne</t>
  </si>
  <si>
    <t>Paniers pur beurre assortis BA</t>
  </si>
  <si>
    <t>Mélange de graines apéritif</t>
  </si>
  <si>
    <t>Panzani sauce provençale</t>
  </si>
  <si>
    <t>Whiskas pochons chats aux poissons</t>
  </si>
  <si>
    <t>Whiskas pochons chats à la volaille</t>
  </si>
  <si>
    <t>Super Croix Lessive Bora Bora</t>
  </si>
  <si>
    <t>Coppa en tranches</t>
  </si>
  <si>
    <t>Panzani sauce bolognaise</t>
  </si>
  <si>
    <t>M&amp;M's Peanut x3</t>
  </si>
  <si>
    <t>Méditerranée rosé IGP</t>
  </si>
  <si>
    <t xml:space="preserve">Maxi Cheese/Bacon/Chicken Burger </t>
  </si>
  <si>
    <t>Bordeaux Château AOP rouge</t>
  </si>
  <si>
    <t>Sauces prêtes à l'emploi assorties</t>
  </si>
  <si>
    <t>Knorr Douceur 8 légumes</t>
  </si>
  <si>
    <t>Biftecks x 2 sous vide VBF</t>
  </si>
  <si>
    <t>Minervois rouge AOP</t>
  </si>
  <si>
    <t>Magnum mini x6</t>
  </si>
  <si>
    <t>Delacre Délichoc chocolat au lait</t>
  </si>
  <si>
    <t>Axe Gel douche</t>
  </si>
  <si>
    <t xml:space="preserve">Garnier Ambre sol. Spray huile </t>
  </si>
  <si>
    <t>Garnier Ambre sol. Spray sens.FPS50</t>
  </si>
  <si>
    <t>Garnier Ambre sol. lait sens.FPS50+</t>
  </si>
  <si>
    <t>Garnier Amb.sol Ideal bronze FPS 30</t>
  </si>
  <si>
    <t>Garnier Amb. sol. Resisto Enfant 50</t>
  </si>
  <si>
    <t>Garnier Ambre sol. Après-sol. lait</t>
  </si>
  <si>
    <t>Garnier Ambre sol. Brume prot. 30</t>
  </si>
  <si>
    <t>Ultra doux Shampoo Avocat/Camomille</t>
  </si>
  <si>
    <t>Ultra doux Shampoo Cranberry/Abric.</t>
  </si>
  <si>
    <t>Ultra Doux Masque</t>
  </si>
  <si>
    <t>Coca-Cola Regular</t>
  </si>
  <si>
    <t>Orangina jaune format familial</t>
  </si>
  <si>
    <t>Kronenbourg bière</t>
  </si>
  <si>
    <t>Hansaplast Pansements Uni. lavables</t>
  </si>
  <si>
    <t>Hansaplast 10 Bandes Universal</t>
  </si>
  <si>
    <t>Hansaplast Pansements ampoules</t>
  </si>
  <si>
    <t>Calamars à la romaine</t>
  </si>
  <si>
    <t>Crevettes</t>
  </si>
  <si>
    <t>Steaks hachés façon bouchère 12% MG</t>
  </si>
  <si>
    <t>HARICOTS VERTS EXTRA FINS</t>
  </si>
  <si>
    <t>Steaks hachés V.B.F. 15% MG</t>
  </si>
  <si>
    <t>Wedges Quartiers de PDT aromat</t>
  </si>
  <si>
    <t xml:space="preserve"> Mélange de légumes assaisonnés</t>
  </si>
  <si>
    <t>Boulettes au boeuf V.B.F. 15% MG</t>
  </si>
  <si>
    <t>PORC À LA GYROS 500G/KEBAB 400G</t>
  </si>
  <si>
    <t>FM Jambon sup. Torchon 6T</t>
  </si>
  <si>
    <t>Viande égr. pur boeuf V.B.F. 20% MG</t>
  </si>
  <si>
    <t>Coffret apéritif x45</t>
  </si>
  <si>
    <t xml:space="preserve"> Pommes  noisettes </t>
  </si>
  <si>
    <t>Barquette chat</t>
  </si>
  <si>
    <t>Barquette chien</t>
  </si>
  <si>
    <t>Snacks à mâcher pour chien</t>
  </si>
  <si>
    <t xml:space="preserve">Bouchées sauce premium </t>
  </si>
  <si>
    <t>Litière compacte pour chat</t>
  </si>
  <si>
    <t>Ferrero Collection x32</t>
  </si>
  <si>
    <t>Skip Ultimate Act. Clean 24 lavages</t>
  </si>
  <si>
    <t>Cajoline adoucissant 46 lavages</t>
  </si>
  <si>
    <t>Omo Capsules Fleurs des tropiques</t>
  </si>
  <si>
    <t>Mallow Cocktail</t>
  </si>
  <si>
    <t>Fruit d'Or Margarine</t>
  </si>
  <si>
    <t>Leffe Bière de Noël 6,6%</t>
  </si>
  <si>
    <t xml:space="preserve">Freedent Box 60 dragées </t>
  </si>
  <si>
    <t>Signal dentifrice Kids</t>
  </si>
  <si>
    <t>Oeufs cage moyen x 30</t>
  </si>
  <si>
    <t>Boulettes en sauce</t>
  </si>
  <si>
    <t>Bouchées chat extrafine</t>
  </si>
  <si>
    <t>Bouchées chien assorties</t>
  </si>
  <si>
    <t xml:space="preserve">Croquettes vitality </t>
  </si>
  <si>
    <t>Croquettes chat</t>
  </si>
  <si>
    <t>Croquettes premium</t>
  </si>
  <si>
    <t>Ass. de friandises pour chien 400g</t>
  </si>
  <si>
    <t>BN Mini x10</t>
  </si>
  <si>
    <t>Narta Femme déodorant bille</t>
  </si>
  <si>
    <t>Tranches de jambon sec supérieur</t>
  </si>
  <si>
    <t>Knorr Bouillon poule vermicelles</t>
  </si>
  <si>
    <t>Knorr Bouillon tomates vermicelles</t>
  </si>
  <si>
    <t>Knorr Mouliné 7 légumes</t>
  </si>
  <si>
    <t>Monster Munch salé</t>
  </si>
  <si>
    <t>Saucisson aux figues</t>
  </si>
  <si>
    <t>4 Mini gratins</t>
  </si>
  <si>
    <t xml:space="preserve">Langue de boeuf sauce Madère </t>
  </si>
  <si>
    <t>Chewing gum sans sucre</t>
  </si>
  <si>
    <t>Chocolat noir sup. 74%</t>
  </si>
  <si>
    <t>Kinder Surprise x3</t>
  </si>
  <si>
    <t>Fruits de mer en chocolat</t>
  </si>
  <si>
    <t>Trolli Number one</t>
  </si>
  <si>
    <t>Hollywood Tablettes chlorophylle</t>
  </si>
  <si>
    <t>Hollywood Fresh dragées</t>
  </si>
  <si>
    <t>Bounty  x9</t>
  </si>
  <si>
    <t>Kinder Bueno T6</t>
  </si>
  <si>
    <t>Nougats de Montélimar tendres</t>
  </si>
  <si>
    <t>Kinder Chocolat T16</t>
  </si>
  <si>
    <t xml:space="preserve">Hollywood 2 Fresh/Sweet Gum </t>
  </si>
  <si>
    <t>Carambar Fruits/Caramel</t>
  </si>
  <si>
    <t>Mentos x 5</t>
  </si>
  <si>
    <t>Tic Tac 100</t>
  </si>
  <si>
    <t>Chocolat blanc assorti</t>
  </si>
  <si>
    <t>Confiseries acides assorties</t>
  </si>
  <si>
    <t>Kinder Délice Cacao T10</t>
  </si>
  <si>
    <t>Crémant de Bourgogne AOP</t>
  </si>
  <si>
    <t>Tarte normande à la pomme</t>
  </si>
  <si>
    <t>10 Feuilles de brick</t>
  </si>
  <si>
    <t>4 éclairs au chocolat pur beurre</t>
  </si>
  <si>
    <t>Bière Tsingtao</t>
  </si>
  <si>
    <t xml:space="preserve">Côtes du Rhône Domaines AOP </t>
  </si>
  <si>
    <t>Gewurztraminer AOC.</t>
  </si>
  <si>
    <t xml:space="preserve">Pinot gris AOC  </t>
  </si>
  <si>
    <t>Estrella Damm bière</t>
  </si>
  <si>
    <t xml:space="preserve">Aude rosé IGP </t>
  </si>
  <si>
    <t>Vin d'Espagne blanc</t>
  </si>
  <si>
    <t>Haut-Médoc Château AOP</t>
  </si>
  <si>
    <t>Vin d'Espagne rouge</t>
  </si>
  <si>
    <t>Omo Caps Fleurs Tropiques x24</t>
  </si>
  <si>
    <t xml:space="preserve">Bordeaux rosé AOC </t>
  </si>
  <si>
    <t>Bag in Box Rosé Pamplemousse BABV</t>
  </si>
  <si>
    <t>Muscadet-Sèvre-et-Maine AOC</t>
  </si>
  <si>
    <t>Crémant de Limoux AOC</t>
  </si>
  <si>
    <t>Côtes du Roussillon rosé AOP</t>
  </si>
  <si>
    <t>Liqueur de menthe 21%</t>
  </si>
  <si>
    <t>Vico Curly Donuts cacahuète 2+1 grt</t>
  </si>
  <si>
    <t>Knorr Mouliné Légumes verts Bio</t>
  </si>
  <si>
    <t>Knorr Soupe légumes du potager Bio</t>
  </si>
  <si>
    <t>Coffret chocolats Collection Privée</t>
  </si>
  <si>
    <t>Les p'tits assortiments</t>
  </si>
  <si>
    <t>Ballotin escargots 35 % lait</t>
  </si>
  <si>
    <t>Tubo guimauve blanc / noir</t>
  </si>
  <si>
    <t>Ballotin les Alpins lait</t>
  </si>
  <si>
    <t>Expressions gourmandes noir</t>
  </si>
  <si>
    <t>Pâtes de fruits</t>
  </si>
  <si>
    <t>Tourteau entier pasteurisé</t>
  </si>
  <si>
    <t>Pavés de saumon avec peau ss arêtes</t>
  </si>
  <si>
    <t>Croque monsieur micro-ondable</t>
  </si>
  <si>
    <t>Sony P. Hôtel Transylvanie 1 et 2</t>
  </si>
  <si>
    <t>Nivea Men Déo lot de 2</t>
  </si>
  <si>
    <t>Soupe de poissons et langoustines</t>
  </si>
  <si>
    <t>M&amp;M's Peanut</t>
  </si>
  <si>
    <t>Pinces de tourteau précassées</t>
  </si>
  <si>
    <t>Knorr Douceur de 8 Légumes</t>
  </si>
  <si>
    <t>Lustucru Tagliatelles</t>
  </si>
  <si>
    <t>Pavés d'autruche</t>
  </si>
  <si>
    <t>Hansaplast spray antiseptique</t>
  </si>
  <si>
    <t>Joker jus de pomme "Le bio"</t>
  </si>
  <si>
    <t>Sneakers montantes homme</t>
  </si>
  <si>
    <t>Panini 3 fromages micro-ondable</t>
  </si>
  <si>
    <t>Raid Aérosol anti-rampants</t>
  </si>
  <si>
    <t>Raid Aérosol anti-volants</t>
  </si>
  <si>
    <t>Kinder Schoko-Bons Saison</t>
  </si>
  <si>
    <t>Kinder Mini Eggs</t>
  </si>
  <si>
    <t>Kinder Eggs Noisette T12</t>
  </si>
  <si>
    <t>Heinz Ketchup</t>
  </si>
  <si>
    <t>Tahiti Gel douche</t>
  </si>
  <si>
    <t>Colgate Dentifrice</t>
  </si>
  <si>
    <t>Skip Active Clean 35 lavages</t>
  </si>
  <si>
    <t>LU Prince Chocolat</t>
  </si>
  <si>
    <t>Bénédicta Sauces top down</t>
  </si>
  <si>
    <t>Mars/Snickers/Twix minis</t>
  </si>
  <si>
    <t>Terreau universel 20L</t>
  </si>
  <si>
    <t>Crème fraîche allégée 15 %</t>
  </si>
  <si>
    <t xml:space="preserve">Président bûche fondante </t>
  </si>
  <si>
    <t>Abondance AOP</t>
  </si>
  <si>
    <t>Danone Velouté aux fruits x12</t>
  </si>
  <si>
    <t>Nestlé Le Viennois chocolat</t>
  </si>
  <si>
    <t>Parmesan Reggiano (26572)</t>
  </si>
  <si>
    <t>Comté AOP</t>
  </si>
  <si>
    <t>Cochonou Ros/Sauc. sec TSR</t>
  </si>
  <si>
    <t>Mixa IPS Lait pour le corps</t>
  </si>
  <si>
    <t>Demi Reblochon de Savoie AOP (467)</t>
  </si>
  <si>
    <t>Caprice des Dieux</t>
  </si>
  <si>
    <t>Vichy Pastilles</t>
  </si>
  <si>
    <t xml:space="preserve">Mont d'Or au lait cru AOP 45% MG </t>
  </si>
  <si>
    <t>St Agur Tranche / Crème</t>
  </si>
  <si>
    <t xml:space="preserve">Coeur de Lion Coulommiers </t>
  </si>
  <si>
    <t>Fromage de chèvre en pyramide</t>
  </si>
  <si>
    <t xml:space="preserve">LU Belvita Le Tartiné Chocolat </t>
  </si>
  <si>
    <t>Sacla Tomates rôties + 20% grt</t>
  </si>
  <si>
    <t>Chaussée aux Moines</t>
  </si>
  <si>
    <t xml:space="preserve">Galbani Mozzarella </t>
  </si>
  <si>
    <t>Petit Pont l'évèque AOP</t>
  </si>
  <si>
    <t xml:space="preserve">Le Rustique Camembert </t>
  </si>
  <si>
    <t>Tomme de Montagne</t>
  </si>
  <si>
    <t>Yoplait Perle de lait nature</t>
  </si>
  <si>
    <t>Yoplait Panier rouge</t>
  </si>
  <si>
    <t>Yoplait Panier jaune</t>
  </si>
  <si>
    <t>Yoplait Panier rouge 0%</t>
  </si>
  <si>
    <t xml:space="preserve">Yoplait Panier jaune 0% </t>
  </si>
  <si>
    <t xml:space="preserve">St Albray </t>
  </si>
  <si>
    <t>Munster AOC</t>
  </si>
  <si>
    <t>Fromage blanc en faisselle</t>
  </si>
  <si>
    <t>Epoisses affiné Marc Bourgogne AOP</t>
  </si>
  <si>
    <t>St Hubert 41 doux sans palme</t>
  </si>
  <si>
    <t xml:space="preserve">St Hubert 41 demi-sel sans palme </t>
  </si>
  <si>
    <t>Zakia semoule extra fine</t>
  </si>
  <si>
    <t>LU Belvita Miel &amp; Chocolat</t>
  </si>
  <si>
    <t>Hollywood Fresh sort.</t>
  </si>
  <si>
    <t xml:space="preserve">Milka Tablettes de chocolat lait </t>
  </si>
  <si>
    <t>Livre «La cuisine des petits gourma</t>
  </si>
  <si>
    <t>Chablis AOP</t>
  </si>
  <si>
    <t>Gigot d'agneau (8559)</t>
  </si>
  <si>
    <t>Jus de citron ABC</t>
  </si>
  <si>
    <t xml:space="preserve">Pepsi Cola </t>
  </si>
  <si>
    <t>Eau de source 6x50cl</t>
  </si>
  <si>
    <t>Sirop de grenadine</t>
  </si>
  <si>
    <t>Jus Multivitaminé ABC</t>
  </si>
  <si>
    <t>Coca Cola boîte 6x0,33l</t>
  </si>
  <si>
    <t>Sirop de fraise</t>
  </si>
  <si>
    <t>Sirop de pêche</t>
  </si>
  <si>
    <t>Mélange de jus de fruits ABC</t>
  </si>
  <si>
    <t>Energy drink</t>
  </si>
  <si>
    <t>Nectar d'orange</t>
  </si>
  <si>
    <t>Cola 6X0,5l</t>
  </si>
  <si>
    <t>Pur Jus d'orange du Brésil</t>
  </si>
  <si>
    <t>Jus pamplemousse rose</t>
  </si>
  <si>
    <t>Fanta Orange</t>
  </si>
  <si>
    <t>Pur Jus 4 agrumes</t>
  </si>
  <si>
    <t>Nectar multivitaminé 12 fruits</t>
  </si>
  <si>
    <t>Sirop de menthe</t>
  </si>
  <si>
    <t>Jus d'orange ABC</t>
  </si>
  <si>
    <t>Joker pur jus d'orange</t>
  </si>
  <si>
    <t>Jus de pomme ABC</t>
  </si>
  <si>
    <t xml:space="preserve">Jus d'orange </t>
  </si>
  <si>
    <t>Coca Cola Zero 6x0,33l</t>
  </si>
  <si>
    <t>Sirop de citron</t>
  </si>
  <si>
    <t>Perrier</t>
  </si>
  <si>
    <t>Red Bull Energy Drink</t>
  </si>
  <si>
    <t>Joker multifruits exotique pur jus</t>
  </si>
  <si>
    <t>Plateau mandarin avec sauce</t>
  </si>
  <si>
    <t>Bière 4,7%</t>
  </si>
  <si>
    <t>Bière 24x25cl Finkbrau</t>
  </si>
  <si>
    <t xml:space="preserve">Zinfandel Rosé Calif. </t>
  </si>
  <si>
    <t>Vin mousseux demi-sec</t>
  </si>
  <si>
    <t>Cabernet Sauvignon chili rouge</t>
  </si>
  <si>
    <t xml:space="preserve">Côtes du Rhône AOP </t>
  </si>
  <si>
    <t>Jurançon Doux AOP 2015 AOP</t>
  </si>
  <si>
    <t>Côtes du Roussillon rouge AOC</t>
  </si>
  <si>
    <t>Bergerac rouge AOP 2016</t>
  </si>
  <si>
    <t>Riesling AOC</t>
  </si>
  <si>
    <t xml:space="preserve">VDP D'Oc Merlot </t>
  </si>
  <si>
    <t xml:space="preserve">Bourgueil AOP </t>
  </si>
  <si>
    <t>Montagne/Lussac Saint-Emilion AOP</t>
  </si>
  <si>
    <t xml:space="preserve">Vin de Pays d'Oc Chardonnay IGP </t>
  </si>
  <si>
    <t xml:space="preserve">Crémant d'Alsace AOC    </t>
  </si>
  <si>
    <t>Vin mousseux brut</t>
  </si>
  <si>
    <t>Panaché</t>
  </si>
  <si>
    <t xml:space="preserve">Bière forte 7,9° 50cl </t>
  </si>
  <si>
    <t>BIB VDP d'Oc Merlot IGP</t>
  </si>
  <si>
    <t>Bière Premium Pils</t>
  </si>
  <si>
    <t>Bourgogne aligoté AOP</t>
  </si>
  <si>
    <t xml:space="preserve">Corbières rouge AOP </t>
  </si>
  <si>
    <t xml:space="preserve">Cahors rouge AOP </t>
  </si>
  <si>
    <t>Bière d`abbaye 6,2%</t>
  </si>
  <si>
    <t xml:space="preserve">Côtes de Provence Rosé AOP </t>
  </si>
  <si>
    <t xml:space="preserve">Cidre brut de Normandie </t>
  </si>
  <si>
    <t>Bière Lager 5% vol.</t>
  </si>
  <si>
    <t>Muscat de Rivesaltes AOP</t>
  </si>
  <si>
    <t>Champagne brut AOP</t>
  </si>
  <si>
    <t xml:space="preserve">Costières de Nîmes rouge AOP </t>
  </si>
  <si>
    <t>Blaye Côtes de Bordeaux AOP</t>
  </si>
  <si>
    <t>Bière Pils  4,9° 50cl</t>
  </si>
  <si>
    <t xml:space="preserve">Cidre doux de Normandie </t>
  </si>
  <si>
    <t xml:space="preserve">Côtes du Rhône Villages AOP </t>
  </si>
  <si>
    <t>St Emilion Grand Cru AOP</t>
  </si>
  <si>
    <t>Costières de Nîmes rosé AOP</t>
  </si>
  <si>
    <t>Bordeaux blanc AOP [2016)</t>
  </si>
  <si>
    <t xml:space="preserve">Bordeaux Supérieur AOP </t>
  </si>
  <si>
    <t>Lubéron rosé AOC</t>
  </si>
  <si>
    <t>Bière de Noël 5,9% 6x0,25L</t>
  </si>
  <si>
    <t>VDP D'Oc Cabernet Sauvignon rge IGP</t>
  </si>
  <si>
    <t>VDP Comté Tolosan moell. blanc 2014</t>
  </si>
  <si>
    <t>Rexona Déodorant en spray</t>
  </si>
  <si>
    <t>Crème de cassis 15% vol.</t>
  </si>
  <si>
    <t>Côtes du Rhône rouge AOC</t>
  </si>
  <si>
    <t>Lipton Yellow Label Thé noir x30</t>
  </si>
  <si>
    <t>Lipton Green Tea Mint x30</t>
  </si>
  <si>
    <t>Lipton Infusion Grand Sud x25</t>
  </si>
  <si>
    <t>Amora Cornichons extra fins</t>
  </si>
  <si>
    <t>Amora Moutarde Fine et Forte</t>
  </si>
  <si>
    <t>Amora Moutarde douce</t>
  </si>
  <si>
    <t>Raid Piège à fourmis</t>
  </si>
  <si>
    <t xml:space="preserve">Axe Gel douche </t>
  </si>
  <si>
    <t>Ariel Lessive liquide 34 doses</t>
  </si>
  <si>
    <t>Mr Propre Nettoyant ménager citron</t>
  </si>
  <si>
    <t>Eléphant Infusions fr. rouges x25</t>
  </si>
  <si>
    <t>Eléphant Inf. Verv. ment. Bio x25</t>
  </si>
  <si>
    <t>Eléphant Inf. nuit tranquille x25</t>
  </si>
  <si>
    <t>Magnum Mini Mixed x8</t>
  </si>
  <si>
    <t>Magnum Amandes x4</t>
  </si>
  <si>
    <t>Carte d'Or Chocolat Noir</t>
  </si>
  <si>
    <t>Carte d'Or Vanille de Madagascar</t>
  </si>
  <si>
    <t>Vico Chips Extra Craquantes</t>
  </si>
  <si>
    <t>Rhum blanc 40% vol..</t>
  </si>
  <si>
    <t>Dove coffret cadeau</t>
  </si>
  <si>
    <t>Kinder Chocolat T12</t>
  </si>
  <si>
    <t>Vico Curly l'Original Cacahuète</t>
  </si>
  <si>
    <t>Legal 1851 Grand Arabica 36 doset.</t>
  </si>
  <si>
    <t>Kinder Moulage</t>
  </si>
  <si>
    <t xml:space="preserve">FM Bâtonnets de Surimi x27 </t>
  </si>
  <si>
    <t>Cif Spray Cuisine et salle de bain</t>
  </si>
  <si>
    <t>Porto 19% vol.</t>
  </si>
  <si>
    <t>Porto blanc 19% vol.</t>
  </si>
  <si>
    <t>Porto 10 ans d'âge 19% vol.</t>
  </si>
  <si>
    <t xml:space="preserve">Pineau des Charentes blanc AOC 17% </t>
  </si>
  <si>
    <t>Apéritif rouge 14,4% vol.</t>
  </si>
  <si>
    <t>Apéritif blanc 14,4% vol.</t>
  </si>
  <si>
    <t>Panzani Coquillettes CR 2x500g+1grt</t>
  </si>
  <si>
    <t>Lapin découpé sans tête (5603060)</t>
  </si>
  <si>
    <t>Le Chat Agenda Le Chat 2019</t>
  </si>
  <si>
    <t>Ducros clous de girofles / 4 épices</t>
  </si>
  <si>
    <t>LU Prince chocolat lot de 4</t>
  </si>
  <si>
    <t>Maille Vinaigre balsamique</t>
  </si>
  <si>
    <t>Persil less. poudre Provence 85 lav</t>
  </si>
  <si>
    <t>Lesieur Isio 4 Stop Goutte</t>
  </si>
  <si>
    <t>Zakia sauce bolognaise boeuf halal</t>
  </si>
  <si>
    <t>Gemey VE The Rocket sort.</t>
  </si>
  <si>
    <t>Gemey Colossal Go Extreme</t>
  </si>
  <si>
    <t>Gemey Line Refine crayon oriental</t>
  </si>
  <si>
    <t>Gillette Blue II rasoirs jetables</t>
  </si>
  <si>
    <t>Boisson chaude to go</t>
  </si>
  <si>
    <t>Williams Gel à raser</t>
  </si>
  <si>
    <t xml:space="preserve">Carte d'or façon glacier Fraise </t>
  </si>
  <si>
    <t>Nestlé Nesquik</t>
  </si>
  <si>
    <t>Nestlé Ricoré</t>
  </si>
  <si>
    <t>Carte d'Or Façon glacier Citron</t>
  </si>
  <si>
    <t>Amer bière 15% vol.</t>
  </si>
  <si>
    <t>Herta Knacki 8 x 35 g</t>
  </si>
  <si>
    <t>Cuisse de dinde</t>
  </si>
  <si>
    <t>Liqueur à la crème 17% vol.</t>
  </si>
  <si>
    <t xml:space="preserve">Legal L'Espresso 10 capsules </t>
  </si>
  <si>
    <t xml:space="preserve">Lustucru Tagliatelles </t>
  </si>
  <si>
    <t>Delacre Tea Time assort. biscuits</t>
  </si>
  <si>
    <t>Pastis 45% vol.</t>
  </si>
  <si>
    <t>Boisson spiritueuse 40% vol.</t>
  </si>
  <si>
    <t>Whisky 40 % vol. 12 ans</t>
  </si>
  <si>
    <t>Whisky canadien 40% vol.</t>
  </si>
  <si>
    <t xml:space="preserve">Gin 37,5% vol.  </t>
  </si>
  <si>
    <t>Scotch Whisky blended 40% vol.</t>
  </si>
  <si>
    <t>Lustucru Lunch Box Raclette</t>
  </si>
  <si>
    <t>Pastis 40% vol.</t>
  </si>
  <si>
    <t>Bourbon whisky 40% vol.</t>
  </si>
  <si>
    <t>LPM Savon liquide</t>
  </si>
  <si>
    <t>Le Petit Marseillais Shampooing</t>
  </si>
  <si>
    <t>Le Petit Marseilla Après-shampooing</t>
  </si>
  <si>
    <t>Entremet au chocolat</t>
  </si>
  <si>
    <t>Macarons premium x12</t>
  </si>
  <si>
    <t>3 boudins noirs aux pommes</t>
  </si>
  <si>
    <t>Moules de bouchot</t>
  </si>
  <si>
    <t>Ducros Coriandre moulue</t>
  </si>
  <si>
    <t>Signal Dentifrice anti-tartre</t>
  </si>
  <si>
    <t>Banzaï noodles boeuf x2</t>
  </si>
  <si>
    <t>Signal Nat.Element soin gencives x2</t>
  </si>
  <si>
    <t>Signal Nat. Elem. Coco Blancheur x2</t>
  </si>
  <si>
    <t>Omo lessive liquide 52 lavages</t>
  </si>
  <si>
    <t>Danone Danette Liégeois vanille</t>
  </si>
  <si>
    <t>Danone Danette Le Liégeois chocolat</t>
  </si>
  <si>
    <t>Gervais Yaourt sur lit de myrtilles</t>
  </si>
  <si>
    <t>Canelés de Bordeaux x6</t>
  </si>
  <si>
    <t>Gervais Le Yaourt fraise</t>
  </si>
  <si>
    <t>Ushuaia gel douche 250ml +150ml grt</t>
  </si>
  <si>
    <t>Assortiment vapeur</t>
  </si>
  <si>
    <t>Legal Bistrot Café 36 dos.+16 grtes</t>
  </si>
  <si>
    <t>Saucisson à la Tomme de Montagne</t>
  </si>
  <si>
    <t>Van Houten cacao en poudre 100%</t>
  </si>
  <si>
    <t>Oasis Tropical format familial</t>
  </si>
  <si>
    <t>Lutti Scoubidou Mix</t>
  </si>
  <si>
    <t>Lutti Mini Surffizz Mix</t>
  </si>
  <si>
    <t>Ariel Pods 3 en 1</t>
  </si>
  <si>
    <t>Lustucru Gnocchi à poêler x2</t>
  </si>
  <si>
    <t>St Mâmet Astérix pomme allégée x12</t>
  </si>
  <si>
    <t>Lutti Hallowizz Tubo</t>
  </si>
  <si>
    <t>Farci de saumon St Jacques</t>
  </si>
  <si>
    <t>Schweppes Agrum' Format familial</t>
  </si>
  <si>
    <t>Samia Citrons confits</t>
  </si>
  <si>
    <t>Bouchées chocolat en tablette</t>
  </si>
  <si>
    <t>Anti-algues</t>
  </si>
  <si>
    <t>Bière brune 6.4%</t>
  </si>
  <si>
    <t>Bière blanche 4.5%</t>
  </si>
  <si>
    <t>Farce à légumes</t>
  </si>
  <si>
    <t>Petits sablés vanille/rhum</t>
  </si>
  <si>
    <t>Samia Sauce Alger halal aux oignons</t>
  </si>
  <si>
    <t>Crème de mûres 15°</t>
  </si>
  <si>
    <t>Bière brune 6,4%</t>
  </si>
  <si>
    <t>Bière blanche 4,5%</t>
  </si>
  <si>
    <t>Samia Sauce Samouraï halal pimentée</t>
  </si>
  <si>
    <t>Volvic Eau minérale</t>
  </si>
  <si>
    <t>Bref javel spray cuisine/salle bain</t>
  </si>
  <si>
    <t>Eau de Javel parfumée 2L vert</t>
  </si>
  <si>
    <t>Minidou adoucissant berlingots x3</t>
  </si>
  <si>
    <t>Spray nettoyant javel 3 en 1</t>
  </si>
  <si>
    <t>Air Wick Fresh Matic recharges</t>
  </si>
  <si>
    <t>Lessive liquide spéciale</t>
  </si>
  <si>
    <t>Xtra lessive liquide 57 lavages</t>
  </si>
  <si>
    <t>Airwick diffuseur recharge  19/24ml</t>
  </si>
  <si>
    <t>Salvetat Eau gazeuse</t>
  </si>
  <si>
    <t>Nutella B-Ready T6 x4</t>
  </si>
  <si>
    <t>Aoste Jamb. Fines&amp;Fondantes TSR 6+2</t>
  </si>
  <si>
    <t>Yoplait Perle de lait vanille</t>
  </si>
  <si>
    <t>Yoplait Petits Filous pots panachés</t>
  </si>
  <si>
    <t xml:space="preserve">FM Blanc de poulet doré au four </t>
  </si>
  <si>
    <t>Bordeau Chesnel Rillettes pur porc</t>
  </si>
  <si>
    <t>Taureau ailé riz parfumé 2x500g+1gr</t>
  </si>
  <si>
    <t>Mousline Purée de pommes de terre</t>
  </si>
  <si>
    <t xml:space="preserve">FM Allumettes lardons VPF TSR </t>
  </si>
  <si>
    <t xml:space="preserve">Sun Tout en 1 sort. </t>
  </si>
  <si>
    <t>CIF Crème à récurer standard</t>
  </si>
  <si>
    <t>Ducros La Canelle moulue</t>
  </si>
  <si>
    <t>Sacs poubelle 100 L</t>
  </si>
  <si>
    <t>Nett surpuissant salle de bain</t>
  </si>
  <si>
    <t>Sel régénérant</t>
  </si>
  <si>
    <t>Nettoyant ménager 1,5L</t>
  </si>
  <si>
    <t>Désodorisant 3 sortes</t>
  </si>
  <si>
    <t>TUC Classic</t>
  </si>
  <si>
    <t>Lingettes multiusages x 80</t>
  </si>
  <si>
    <t>Signal dentifrice protection caries</t>
  </si>
  <si>
    <t>Signal br. dents ultra performance</t>
  </si>
  <si>
    <t>Liquide de rinçage</t>
  </si>
  <si>
    <t>Liquide vaisselle W5 conc. 3 sortes</t>
  </si>
  <si>
    <t>Ultra Doux Après-shampooing</t>
  </si>
  <si>
    <t>Sacs congel. moyens 3L 30µ X75</t>
  </si>
  <si>
    <t>Sacs poubelles 30LX40 - 25 Micro</t>
  </si>
  <si>
    <t>Elseve Shampooing</t>
  </si>
  <si>
    <t>Elseve Shampooing Color-Vive</t>
  </si>
  <si>
    <t>Elseve Après-Shampooing</t>
  </si>
  <si>
    <t>Signal Dentifrice Integral 8</t>
  </si>
  <si>
    <t>Liquide vaisselle concentré 500ml</t>
  </si>
  <si>
    <t>Nettoyant anti calcaire</t>
  </si>
  <si>
    <t>Destop Gel Express</t>
  </si>
  <si>
    <t>Fa Douche homme</t>
  </si>
  <si>
    <t>Fa Douche mixte</t>
  </si>
  <si>
    <t>Sacs poubelle poignées couli. 30L</t>
  </si>
  <si>
    <t xml:space="preserve">Gel WC assorti </t>
  </si>
  <si>
    <t>Nestlé KitKat Chunky/Lion/Nuts</t>
  </si>
  <si>
    <t>Eponges végétales sdb grattantes</t>
  </si>
  <si>
    <t>Eponges vegetales grattantes X4</t>
  </si>
  <si>
    <t>Cillit Bang nettoyant surpuissant</t>
  </si>
  <si>
    <t xml:space="preserve">L'Oréal Studio Line Gel </t>
  </si>
  <si>
    <t>Panzani Penne Rigate</t>
  </si>
  <si>
    <t>LU Pim's orange</t>
  </si>
  <si>
    <t>Signal Brosse à dents pack famille</t>
  </si>
  <si>
    <t>Deo Roller</t>
  </si>
  <si>
    <t>After shave assorti</t>
  </si>
  <si>
    <t>Gel douche Cien</t>
  </si>
  <si>
    <t>Rasoir shave 20 plus</t>
  </si>
  <si>
    <t>Brosse à dents enfants</t>
  </si>
  <si>
    <t>Shampooing doux assorti 500ml</t>
  </si>
  <si>
    <t>Crème de douche</t>
  </si>
  <si>
    <t>Shampooing pro vitamine ass.</t>
  </si>
  <si>
    <t>Bordeaux Cour De Mandelotte AOP</t>
  </si>
  <si>
    <t>Dentifrice assorti</t>
  </si>
  <si>
    <t>Crème pour la peau assortie</t>
  </si>
  <si>
    <t>Dove Crème douche</t>
  </si>
  <si>
    <t>Mousse à raser assorties</t>
  </si>
  <si>
    <t>Laque</t>
  </si>
  <si>
    <t>Bain crème assorti</t>
  </si>
  <si>
    <t>Brosse à dents professionelle</t>
  </si>
  <si>
    <t>Graves Château Les Queyrats AOC</t>
  </si>
  <si>
    <t>Après shamp. pro-vitamine</t>
  </si>
  <si>
    <t>Bain de bouche assorti</t>
  </si>
  <si>
    <t>Dentifrice pour enfants assorti</t>
  </si>
  <si>
    <t xml:space="preserve">Axe gel douche </t>
  </si>
  <si>
    <t>Dentifrice sensitive/total care</t>
  </si>
  <si>
    <t>Savons de toilette assortis</t>
  </si>
  <si>
    <t>Lingettes Démaquillantes/Nett.</t>
  </si>
  <si>
    <t xml:space="preserve">Axe déodorant spray </t>
  </si>
  <si>
    <t>Serviettes hyg. Aloé Vera</t>
  </si>
  <si>
    <t>Protège slips X32/45 Aloé/Avoc</t>
  </si>
  <si>
    <t>Serviettes ultra Plus Aloé Véra&amp;Avo</t>
  </si>
  <si>
    <t>Brosse à dents classique x2</t>
  </si>
  <si>
    <t>Fructis shampooing</t>
  </si>
  <si>
    <t>Aquafresh dentifrice triple prot.</t>
  </si>
  <si>
    <t>Signal dentifrice integral white</t>
  </si>
  <si>
    <t>Couches midi 4/9 kg x 56</t>
  </si>
  <si>
    <t>Serviettes anatomiques extra</t>
  </si>
  <si>
    <t>Dop Shampooing</t>
  </si>
  <si>
    <t>Vivelle Dop gel en pot 4 sortes</t>
  </si>
  <si>
    <t>Vivelle Dop spray coiffant</t>
  </si>
  <si>
    <t>Mixa Bébé shampooing</t>
  </si>
  <si>
    <t>Ushuaia Deo spray 4 sortes</t>
  </si>
  <si>
    <t>Narta Deodorant spray</t>
  </si>
  <si>
    <t xml:space="preserve">Mixa Bébé lait de toilette </t>
  </si>
  <si>
    <t>Always Ultra serviettes</t>
  </si>
  <si>
    <t xml:space="preserve">Savon de Marseille cube </t>
  </si>
  <si>
    <t>Essuie tout 2 plis x 4 rouleaux</t>
  </si>
  <si>
    <t>2 plis papier toilette rose</t>
  </si>
  <si>
    <t>Mouchoirs papier 4 plis 18x10</t>
  </si>
  <si>
    <t>Filtre à café No. 4, x100</t>
  </si>
  <si>
    <t>3 plis papier toil. 8 U(200 FEUIL)</t>
  </si>
  <si>
    <t>Serv.pap.couleur 3 plis x30 assorti</t>
  </si>
  <si>
    <t>Essuie tout multiusage</t>
  </si>
  <si>
    <t>4 plis papier toilette</t>
  </si>
  <si>
    <t>Charbon de bois</t>
  </si>
  <si>
    <t xml:space="preserve">Charbon de bois </t>
  </si>
  <si>
    <t>Always protège slips</t>
  </si>
  <si>
    <t>Gambas 30/40</t>
  </si>
  <si>
    <t>Mouchoirs blancs 90 U 3 plis</t>
  </si>
  <si>
    <t>Fromage suisse à pâte mi-dure, gras</t>
  </si>
  <si>
    <t>Briquets électroniques x3</t>
  </si>
  <si>
    <t>Dessert de mousse au chocolat</t>
  </si>
  <si>
    <t>Piles LR6 super alcaline x8</t>
  </si>
  <si>
    <t>Piles LR03 super alcaline</t>
  </si>
  <si>
    <t>Swiffer Duster kit + 5 recharges</t>
  </si>
  <si>
    <t>LU Napolitain Classic</t>
  </si>
  <si>
    <t>Dattes Medjoul</t>
  </si>
  <si>
    <t>4 coupes au Marc de Champagne</t>
  </si>
  <si>
    <t>2 filets limande du Nord meunière</t>
  </si>
  <si>
    <t>Gratin savoyard emmental de Savoie</t>
  </si>
  <si>
    <t>Citrouille Halloween</t>
  </si>
  <si>
    <t xml:space="preserve">Pavés de kangourou marinés au vin </t>
  </si>
  <si>
    <t>Saumon MSC en croûte petits légumes</t>
  </si>
  <si>
    <t>Pâté en croûte cocktail assorti</t>
  </si>
  <si>
    <t>Boudins blancs truffe de la St Jean</t>
  </si>
  <si>
    <t>Mir Liquide vaisselle citron/pomme</t>
  </si>
  <si>
    <t>Pintade chaponnée Label Rouge</t>
  </si>
  <si>
    <t>Macarons au foie gras x 12</t>
  </si>
  <si>
    <t>Feuilleté veau/caille</t>
  </si>
  <si>
    <t>Panzani Spaghetti cuiss. rapide 2+1</t>
  </si>
  <si>
    <t>Eau de Vie Mirabelle 40%</t>
  </si>
  <si>
    <t>Samia Arôme de fleur d'oranger</t>
  </si>
  <si>
    <t>Pavés de cerf marinés au vin</t>
  </si>
  <si>
    <t>12 mini corolles</t>
  </si>
  <si>
    <t>Boudins blancs Saint-Jacques</t>
  </si>
  <si>
    <t>Oeufs de truite</t>
  </si>
  <si>
    <t>Guacamole</t>
  </si>
  <si>
    <t>Cidre doux de Bretagne IGP</t>
  </si>
  <si>
    <t>Panés au colin d'Alaska</t>
  </si>
  <si>
    <t>20 Mini Croque Monsieur</t>
  </si>
  <si>
    <t>Mennen Déo Stick</t>
  </si>
  <si>
    <t>Boudin blanc cognac et amandes</t>
  </si>
  <si>
    <t>Lipton Thé Marrakech Mint 20 sach.</t>
  </si>
  <si>
    <t>FM Blanc de poulet halal 6+3 grtes</t>
  </si>
  <si>
    <t>Pringles</t>
  </si>
  <si>
    <t>Lustucru Ravioli 4 fromages</t>
  </si>
  <si>
    <t>Lu Pépito Pépites lot de trois</t>
  </si>
  <si>
    <t>Fruit d'Or Pro Activ tartine</t>
  </si>
  <si>
    <t>Ducros Herbes de Provence</t>
  </si>
  <si>
    <t>San Marco Pur Arabica 2x250g + 250g</t>
  </si>
  <si>
    <t>Magnum White x6</t>
  </si>
  <si>
    <t>Lutti Arlequin Original</t>
  </si>
  <si>
    <t>Pepsi Cola Max</t>
  </si>
  <si>
    <t>William Peel Blended Scotch</t>
  </si>
  <si>
    <t>Sobieski Vodka Pure Pologne</t>
  </si>
  <si>
    <t>Gillette Fusion Lames</t>
  </si>
  <si>
    <t>Maizena Fleur de Maïs</t>
  </si>
  <si>
    <t>Yoplait Crème fraîche 30 % M.G.</t>
  </si>
  <si>
    <t xml:space="preserve">Fruit d'Or Doux margarine </t>
  </si>
  <si>
    <t>Amora Mayonnaise</t>
  </si>
  <si>
    <t>Magnum Classic x6</t>
  </si>
  <si>
    <t>Magnum Amande x6</t>
  </si>
  <si>
    <t>Mennen Mousse à raser</t>
  </si>
  <si>
    <t>Nivea Déodorant bille homme</t>
  </si>
  <si>
    <t>Nivea Déodorant bille femme</t>
  </si>
  <si>
    <t>Kinder Bueno Lait T12</t>
  </si>
  <si>
    <t>Panzani Tomacouli bio</t>
  </si>
  <si>
    <t>Persil Lessive liquide 28 lavages</t>
  </si>
  <si>
    <t>Dove Savon crème</t>
  </si>
  <si>
    <t>Lipton Ice Tea pêche boîte</t>
  </si>
  <si>
    <t>Bénédicta Mayonnaise Top-Down</t>
  </si>
  <si>
    <t>Omo Capsules Fleurs des Tropiques</t>
  </si>
  <si>
    <t>Harpic Power Plus Nettoyant WC</t>
  </si>
  <si>
    <t>Joker Pur Jus de pomme</t>
  </si>
  <si>
    <t>FM Jambon supérieur TSR BBC 4T</t>
  </si>
  <si>
    <t xml:space="preserve">FM Filet de poulet doré 4T </t>
  </si>
  <si>
    <t>Mars x5</t>
  </si>
  <si>
    <t>Mennen Gel à raser</t>
  </si>
  <si>
    <t>Snickers x5</t>
  </si>
  <si>
    <t>Sachets FL PL135</t>
  </si>
  <si>
    <t>Tubo Guimauve lait</t>
  </si>
  <si>
    <t>Kinder Schokobons</t>
  </si>
  <si>
    <t>Orangettes</t>
  </si>
  <si>
    <t>Ferrero Prestige T21</t>
  </si>
  <si>
    <t xml:space="preserve">Kinder Surprise T4 </t>
  </si>
  <si>
    <t>Tuiles chocolat lait et noir UTZ</t>
  </si>
  <si>
    <t>Les P'tits oeufs</t>
  </si>
  <si>
    <t>Ferrero Mon Chéri T30</t>
  </si>
  <si>
    <t>Ferrero Rocher T30</t>
  </si>
  <si>
    <t>SACHETS FL PL103</t>
  </si>
  <si>
    <t>PAQUETS TRACTS PUBLICITAIRES</t>
  </si>
  <si>
    <t>Cacahuètes enrobées sucrées</t>
  </si>
  <si>
    <t>DUMMY A NE PAS TOUCHER</t>
  </si>
  <si>
    <t>Pintade PAC standard</t>
  </si>
  <si>
    <t>Raifort doux d'Alsace</t>
  </si>
  <si>
    <t>Tournedos de filet de dinde</t>
  </si>
  <si>
    <t>Jambon cru entier à l'os</t>
  </si>
  <si>
    <t>Rôti de dinde farci morilles&amp;Armag.</t>
  </si>
  <si>
    <t>Tartiflette Reblochon AOP</t>
  </si>
  <si>
    <t>Taboulé au poulet</t>
  </si>
  <si>
    <t>Accras de morue</t>
  </si>
  <si>
    <t>Rôti de dinde farci aux marrons</t>
  </si>
  <si>
    <t>Rubis 5°</t>
  </si>
  <si>
    <t>Pintade farcie morilles Armagnac</t>
  </si>
  <si>
    <t>Saucisson sec aux chanterelles</t>
  </si>
  <si>
    <t>Saucisson sec au sanglier</t>
  </si>
  <si>
    <t>Bjorg lait d'amande sans sucre bio</t>
  </si>
  <si>
    <t>Mini saucisses cocktail</t>
  </si>
  <si>
    <t>Airelles (PNE 95 g)</t>
  </si>
  <si>
    <t>Gâteau moelleux du Limousin</t>
  </si>
  <si>
    <t>Osso buco de dinde</t>
  </si>
  <si>
    <t>Biscuits salés au beurre fin</t>
  </si>
  <si>
    <t>Plateau fruits secs mélangés</t>
  </si>
  <si>
    <t>Paupiettes de poulet x 4</t>
  </si>
  <si>
    <t>Andouille de Bretagne</t>
  </si>
  <si>
    <t>Gousse vanille Bourbon</t>
  </si>
  <si>
    <t>Terrines x6</t>
  </si>
  <si>
    <t>Eau de vie Poire prisonnière 40%vol</t>
  </si>
  <si>
    <t>Jus de pomme gazéifié</t>
  </si>
  <si>
    <t>Bjorg Flocons d'avoine bio</t>
  </si>
  <si>
    <t>Cailles farcies raisins &amp; Cognac x4</t>
  </si>
  <si>
    <t>Blanquette de veau</t>
  </si>
  <si>
    <t>Chapon</t>
  </si>
  <si>
    <t>Rôti de dindonneau cuit sous vide</t>
  </si>
  <si>
    <t>Canette farcie morilles Armagnac</t>
  </si>
  <si>
    <t>Moelleux chocolat x2 coeur coulant</t>
  </si>
  <si>
    <t>Opéra</t>
  </si>
  <si>
    <t>Langres AOP</t>
  </si>
  <si>
    <t>Spécialité saucisson sec au jambon</t>
  </si>
  <si>
    <t>Gentiane 15°</t>
  </si>
  <si>
    <t xml:space="preserve">Clafoutis aux cerises </t>
  </si>
  <si>
    <t>Oeufs de caille x18</t>
  </si>
  <si>
    <t xml:space="preserve">Cèpes extra </t>
  </si>
  <si>
    <t>Morilles extra</t>
  </si>
  <si>
    <t>Pains d'épices figues et noix</t>
  </si>
  <si>
    <t>Pains d'épices figues raisins</t>
  </si>
  <si>
    <t>Cassolettes volaille et ris de veau</t>
  </si>
  <si>
    <t>Moules farcies x12</t>
  </si>
  <si>
    <t>Escalopes de foie gras x4</t>
  </si>
  <si>
    <t>Omelette norvégienne</t>
  </si>
  <si>
    <t>Sauce aneth</t>
  </si>
  <si>
    <t>12 mini aumônières apéritives</t>
  </si>
  <si>
    <t>Confit de figues</t>
  </si>
  <si>
    <t>Confit d'oignons</t>
  </si>
  <si>
    <t xml:space="preserve">Tarte aux petites gambas </t>
  </si>
  <si>
    <t>Girolles (PNE: 185g)</t>
  </si>
  <si>
    <t>Bjorg quinoa tomates olives bio</t>
  </si>
  <si>
    <t>Mises en bouche saumon / amandes</t>
  </si>
  <si>
    <t>Mises en bouche rouget et poivrons</t>
  </si>
  <si>
    <t xml:space="preserve">Mises en bouche St Jacques </t>
  </si>
  <si>
    <t>Riz cantonais</t>
  </si>
  <si>
    <t>TÉLÉCOMMANDE 10 EN 1 E 5174</t>
  </si>
  <si>
    <t>Rocamadour au lait cru AOP</t>
  </si>
  <si>
    <t>Beignets de crevettes</t>
  </si>
  <si>
    <t>Gâteaux à la noix de coco</t>
  </si>
  <si>
    <t>Beaufort AOP</t>
  </si>
  <si>
    <t>Mini gratin assortis</t>
  </si>
  <si>
    <t xml:space="preserve">Saucisson sec au Beaufort </t>
  </si>
  <si>
    <t xml:space="preserve">Canelés de Bordeaux </t>
  </si>
  <si>
    <t>Crème de pamplemousse rose 15%</t>
  </si>
  <si>
    <t>Hachés de porc savoyard</t>
  </si>
  <si>
    <t>Lot de 3 verrines Nord</t>
  </si>
  <si>
    <t>Huile d'olive aromatisée truffe</t>
  </si>
  <si>
    <t>Mini boudins blancs/noirs</t>
  </si>
  <si>
    <t>Fromage de chèvre frais</t>
  </si>
  <si>
    <t>3 Boudins blancs aux cèpes</t>
  </si>
  <si>
    <t>Crevettes cuites entières 60/80</t>
  </si>
  <si>
    <t>Préparation de mangues</t>
  </si>
  <si>
    <t>Colombo de poulet à l'ananas</t>
  </si>
  <si>
    <t xml:space="preserve">Barre de nougat de Montélimar </t>
  </si>
  <si>
    <t>Calissons d'Aix</t>
  </si>
  <si>
    <t>Crêpes dentelle chocolat noir</t>
  </si>
  <si>
    <t>Bière triple 8,5%</t>
  </si>
  <si>
    <t>Di'vin Mix Rosé pamplemousse BABV</t>
  </si>
  <si>
    <t>NBRE PALETTES DUSSEL</t>
  </si>
  <si>
    <t>NBRE PALETTES EUROPE</t>
  </si>
  <si>
    <t>Bière d'Abbaye 75cl</t>
  </si>
  <si>
    <t>Verrines glacées</t>
  </si>
  <si>
    <t>Pineau des Charentes Rosé AOC</t>
  </si>
  <si>
    <t>Crépinettes x 4</t>
  </si>
  <si>
    <t>Huîtres creuses n°3</t>
  </si>
  <si>
    <t>2 Magrets de canard en tournedos</t>
  </si>
  <si>
    <t>Bulots cuits pasteurisés</t>
  </si>
  <si>
    <t>Chapon fermier Label Rouge</t>
  </si>
  <si>
    <t>Viande des grisons</t>
  </si>
  <si>
    <t xml:space="preserve">Frites de poulet </t>
  </si>
  <si>
    <t>Cordon bleu de poulet</t>
  </si>
  <si>
    <t>Saucisse sèche aux herbes</t>
  </si>
  <si>
    <t>Boules coco</t>
  </si>
  <si>
    <t>Pain surprise aux 6 céréales</t>
  </si>
  <si>
    <t>Curcuma</t>
  </si>
  <si>
    <t>Barbe à papa</t>
  </si>
  <si>
    <t>Gingembre</t>
  </si>
  <si>
    <t>Bière blonde 6.3% Vol</t>
  </si>
  <si>
    <t xml:space="preserve">Gauloise Bière ambrée 5,5% Vol </t>
  </si>
  <si>
    <t>Arôme naturel vanille Bourb.</t>
  </si>
  <si>
    <t>NON-FOOD 0.5 €</t>
  </si>
  <si>
    <t>NON FOOD 1,00 €</t>
  </si>
  <si>
    <t>NON FOOD 2,00 €</t>
  </si>
  <si>
    <t>NON FOOD 3,00 €</t>
  </si>
  <si>
    <t>NON FOOD 5,00 €</t>
  </si>
  <si>
    <t>NON FOOD 7,00 €</t>
  </si>
  <si>
    <t>Rôti de veau façon Orloff</t>
  </si>
  <si>
    <t>NON FOOD 10,00 €</t>
  </si>
  <si>
    <t>Bisque de homard</t>
  </si>
  <si>
    <t>FM 27 Bâton. surimi +5 grts - 4385</t>
  </si>
  <si>
    <t>NON FOOD 15,00 €</t>
  </si>
  <si>
    <t>NON FOOD 20,00 €</t>
  </si>
  <si>
    <t>NON FOOD 30,00 €</t>
  </si>
  <si>
    <t>NON FOOD 40,00 €</t>
  </si>
  <si>
    <t>NON FOOD 50,00 €</t>
  </si>
  <si>
    <t>Saucisson au Comté</t>
  </si>
  <si>
    <t>Bière brune 6.5% 4x0.33 l</t>
  </si>
  <si>
    <t>Plateau grill volaille</t>
  </si>
  <si>
    <t>Filets de canard marinés 3 saveurs</t>
  </si>
  <si>
    <t>Chlore 4 actions galets</t>
  </si>
  <si>
    <t>Chlore choc pastilles</t>
  </si>
  <si>
    <t>Dragées aux amandes blanches</t>
  </si>
  <si>
    <t xml:space="preserve">Dragées chocolat </t>
  </si>
  <si>
    <t>Petit Munster au cumin AOP</t>
  </si>
  <si>
    <t>Tarte pommes / rhubarbe</t>
  </si>
  <si>
    <t>Cabécou</t>
  </si>
  <si>
    <t>Bouchons du Quercy</t>
  </si>
  <si>
    <t>Préparation de rhubarbe</t>
  </si>
  <si>
    <t>Corne de gazelle x6</t>
  </si>
  <si>
    <t>Sacla eliche tricolore bio</t>
  </si>
  <si>
    <t>Fromage pur brebis Ossau Iraty AOP</t>
  </si>
  <si>
    <t>Filet mignon Label Rouge(5604424)</t>
  </si>
  <si>
    <t>Pâtes fraîches assorties</t>
  </si>
  <si>
    <t>Succès aux noix</t>
  </si>
  <si>
    <t>Tomates farcies x 4</t>
  </si>
  <si>
    <t>3 Boudins blancs aux morilles</t>
  </si>
  <si>
    <t>Saucisson sec au sel de Guérande</t>
  </si>
  <si>
    <t>Zelabia</t>
  </si>
  <si>
    <t xml:space="preserve">Lait fermenté </t>
  </si>
  <si>
    <t>Brochettes fromage frais et tomate</t>
  </si>
  <si>
    <t>Dés de fromage assortis</t>
  </si>
  <si>
    <t>Brochettes de fromage frais saumon</t>
  </si>
  <si>
    <t>Coquilles St-Jacques Baie St Brieuc</t>
  </si>
  <si>
    <t>Pommeau de Normandie AOC 17°</t>
  </si>
  <si>
    <t>Aligot</t>
  </si>
  <si>
    <t>Houmous</t>
  </si>
  <si>
    <t>Pied de vigne PM</t>
  </si>
  <si>
    <t>Sablés de l'Abbaye pur beurre</t>
  </si>
  <si>
    <t>Bière de garde la blonde de Ch'Nord</t>
  </si>
  <si>
    <t>Préparation de coings du Sud Ouest</t>
  </si>
  <si>
    <t>Knacks d'Alsace</t>
  </si>
  <si>
    <t>Crème de Munster</t>
  </si>
  <si>
    <t>Tigex Sucette Color T2</t>
  </si>
  <si>
    <t>Hollywood 2Fresh / Max Splash</t>
  </si>
  <si>
    <t>Fauquet Maroilles</t>
  </si>
  <si>
    <t>Tigex Sucette Color T3</t>
  </si>
  <si>
    <t>Gigot d'agneau (4001)</t>
  </si>
  <si>
    <t>Cadum Bébé eau nettoyante</t>
  </si>
  <si>
    <t>Ritter Sport Nut Selection</t>
  </si>
  <si>
    <t>Cadum Bébé Gel corps et cheveux</t>
  </si>
  <si>
    <t>Mixa bébé crème change/hydra.</t>
  </si>
  <si>
    <t>Raffaello boîte cadeau x30</t>
  </si>
  <si>
    <t>Lipton Thé vert/menthe 50+5 sachets</t>
  </si>
  <si>
    <t>Suchard coeur croustillant sort.</t>
  </si>
  <si>
    <t>Vivelle Dop Spray sort. lot de deux</t>
  </si>
  <si>
    <t>Panzani Sauce provençale</t>
  </si>
  <si>
    <t>Mixa Soin des lèvres</t>
  </si>
  <si>
    <t>Bjorg quinoa lentilles bio</t>
  </si>
  <si>
    <t>FM Surimi Coeur frais chèvre x12</t>
  </si>
  <si>
    <t>FM Jambon Braisé SC 4+2 grt - 1183</t>
  </si>
  <si>
    <t>Signal Dentifrice Soin x2</t>
  </si>
  <si>
    <t>Panzani sauces bolo x2 +1 prov. grt</t>
  </si>
  <si>
    <t>Vahiné sucre vanillé</t>
  </si>
  <si>
    <t>Savoie Yaourt yaourt bras. myrtille</t>
  </si>
  <si>
    <t>Panasonic TV 4K Modèle TX-40EX600E</t>
  </si>
  <si>
    <t>Seeberger Mélange grillé salé</t>
  </si>
  <si>
    <t>Seeberger Pistaches USA</t>
  </si>
  <si>
    <t>Seeberger Amande fumées</t>
  </si>
  <si>
    <t>Savoie Yaourt Brassé noisette</t>
  </si>
  <si>
    <t>Cambridge Cahier polyp. 24x32 gr. c</t>
  </si>
  <si>
    <t xml:space="preserve">Cambridge Cahier polyp. 21x29,7 </t>
  </si>
  <si>
    <t>Cambridge Cahier polyprop. 17x22</t>
  </si>
  <si>
    <t>Pochette papier à dessin 12 feuille</t>
  </si>
  <si>
    <t>Pochette papier calque 12 feuilles</t>
  </si>
  <si>
    <t>Pochette papier millimétré 12 feuil</t>
  </si>
  <si>
    <t>Cahier de texte</t>
  </si>
  <si>
    <t>Agenda</t>
  </si>
  <si>
    <t>Porte-vues 60 vues</t>
  </si>
  <si>
    <t xml:space="preserve">Cambridge Feuilles mob. perforées </t>
  </si>
  <si>
    <t xml:space="preserve">Cambridge Copies doubles perforées </t>
  </si>
  <si>
    <t xml:space="preserve">Lot de 100 pochettes transparentes </t>
  </si>
  <si>
    <t>Sac à dos</t>
  </si>
  <si>
    <t>Trousse</t>
  </si>
  <si>
    <t>FM Blanc de dinde fines tranches x6</t>
  </si>
  <si>
    <t>St Môret nature/allégé +30g - 745</t>
  </si>
  <si>
    <t>Oreo Original</t>
  </si>
  <si>
    <t>Sensodyne Dentifrice Soin Quotidien</t>
  </si>
  <si>
    <t>Taft Power Gel</t>
  </si>
  <si>
    <t>Red Bull Energy Drink Regular x4</t>
  </si>
  <si>
    <t>St Marc Lingettes maxi format x75</t>
  </si>
  <si>
    <t>Bordas Poster éducatif ardoise</t>
  </si>
  <si>
    <t>Sacla Tomates séchées +20% gratuit</t>
  </si>
  <si>
    <t>Joker Pur Jus d'orange avec pulpe</t>
  </si>
  <si>
    <t>Livre Je lis et j'explore</t>
  </si>
  <si>
    <t>Livre Mes histoires adorables</t>
  </si>
  <si>
    <t>Livres de bain</t>
  </si>
  <si>
    <t>Le guide complet (chien ou chat)</t>
  </si>
  <si>
    <t>Dolphino Livre Contes pour rêver</t>
  </si>
  <si>
    <t xml:space="preserve">Dolphino Livre Peinture à l'eau </t>
  </si>
  <si>
    <t xml:space="preserve">Delphino Livre "On s'amuse" </t>
  </si>
  <si>
    <t>Dolphino Editions Calendrier Cheval</t>
  </si>
  <si>
    <t>Dolphino Editions Le dictionnaire</t>
  </si>
  <si>
    <t>Elsève shamp./après-shampooing</t>
  </si>
  <si>
    <t>Tuc goût bacon lot de trois</t>
  </si>
  <si>
    <t>FM Le Torchon jambon 6T +3 - 2560</t>
  </si>
  <si>
    <t>Badoit Eau gazeuse</t>
  </si>
  <si>
    <t>Seven Up Mojito</t>
  </si>
  <si>
    <t>Dr. Oetker Ristorante Royale</t>
  </si>
  <si>
    <t>Grimbergen bière d'Abbaye 6,7%</t>
  </si>
  <si>
    <t>Ariel Lessive liquide 33 dose</t>
  </si>
  <si>
    <t>Tourtel Twist citron</t>
  </si>
  <si>
    <t>Sprite Fresh</t>
  </si>
  <si>
    <t>Lustucru Gnocchi à poêler+30% -8829</t>
  </si>
  <si>
    <t>Ferrero Golden Gallery T22</t>
  </si>
  <si>
    <t xml:space="preserve">Lustucru Gnocchi à poêler </t>
  </si>
  <si>
    <t>Elsève Masque</t>
  </si>
  <si>
    <t>Winng Jeu Monopoly/ Trivial Pursuit</t>
  </si>
  <si>
    <t>Dove Déodorant spray</t>
  </si>
  <si>
    <t>Kinder Calendrier de Noël</t>
  </si>
  <si>
    <t>FM Bâtonnets surimi coeur frais AFH</t>
  </si>
  <si>
    <t xml:space="preserve">Tampax Compak tampons avec app. </t>
  </si>
  <si>
    <t>Saint Agaûne saucisson sec</t>
  </si>
  <si>
    <t>Ebly Blé tendre vrac</t>
  </si>
  <si>
    <t>Fruit d'Or doux marg. +15% - 5804</t>
  </si>
  <si>
    <t>Labello x2</t>
  </si>
  <si>
    <t>Danone Mousse Liègeoise</t>
  </si>
  <si>
    <t>Kit Kat Mini x18</t>
  </si>
  <si>
    <t>Smarties Mini x18</t>
  </si>
  <si>
    <t>LU Pépito Choco pépites</t>
  </si>
  <si>
    <t>Hollywood Bottle Fresh</t>
  </si>
  <si>
    <t>Carambar Atomic</t>
  </si>
  <si>
    <t>Brut déodorant lot de deux</t>
  </si>
  <si>
    <t>Ducros Curcuma moulu</t>
  </si>
  <si>
    <t>Ducros Echalote semoule</t>
  </si>
  <si>
    <t>Magazine Fan de barbecue</t>
  </si>
  <si>
    <t>Vanish Oxi Action Poudre détachant</t>
  </si>
  <si>
    <t>Kinder Chocolat T12 x3</t>
  </si>
  <si>
    <t>L'Or Intense Café moulu 100%Arabica</t>
  </si>
  <si>
    <t>Mr Propre Nettoyant ménager</t>
  </si>
  <si>
    <t>Kinder Country T24</t>
  </si>
  <si>
    <t>Carte d'Or Authentiq. vanille</t>
  </si>
  <si>
    <t>Nivea Soft Crème</t>
  </si>
  <si>
    <t xml:space="preserve">Tartare 10 portions </t>
  </si>
  <si>
    <t>Carte d'Or Chocolat</t>
  </si>
  <si>
    <t>Lays Chips barbecue</t>
  </si>
  <si>
    <t xml:space="preserve">Lustucru Gnocchi à poêler fromage </t>
  </si>
  <si>
    <t>Lustucru Tortellini jambon cru</t>
  </si>
  <si>
    <t>Hansaplast Pansements Universal</t>
  </si>
  <si>
    <t xml:space="preserve">Hansaplast Pansements Aqua Protect </t>
  </si>
  <si>
    <t>Hansaplast Alcool 70% usage cutané</t>
  </si>
  <si>
    <t>Vanish Pistolet détachant</t>
  </si>
  <si>
    <t>Garnier Ambre sol. Lait Res. FPS50</t>
  </si>
  <si>
    <t>Garnier Amb. sol. spray sens. Enft</t>
  </si>
  <si>
    <t>Garnier Ambre sol. Brume prot. 50</t>
  </si>
  <si>
    <t>Pyrel Plaquette anti-mouches</t>
  </si>
  <si>
    <t>Rôti porc filet LR chaîn. (5604422)</t>
  </si>
  <si>
    <t>Père Dodu Cordon bleu de dinde</t>
  </si>
  <si>
    <t>JB Mini Bâton de Berger</t>
  </si>
  <si>
    <t>Potjevleesch aux 3 viandes</t>
  </si>
  <si>
    <t>Gaufres artisanales pur beurre</t>
  </si>
  <si>
    <t>Gaufres pur beurre/chicorée assort.</t>
  </si>
  <si>
    <t>Confiture de lait au lait de Norm.</t>
  </si>
  <si>
    <t>Bière blonde artisanale bretonne</t>
  </si>
  <si>
    <t>Saucisse fumée cuite au comté</t>
  </si>
  <si>
    <t>Tarte au sucre et vergeoise</t>
  </si>
  <si>
    <t>Backeoffe alsacien</t>
  </si>
  <si>
    <t>Rôti de porc façon Orloff</t>
  </si>
  <si>
    <t>Carte d'Or Rhum-Raisins</t>
  </si>
  <si>
    <t>Terrine tripack Grand Est</t>
  </si>
  <si>
    <t>Gaufres au beurre</t>
  </si>
  <si>
    <t>Saucisse sèche droite aux noisettes</t>
  </si>
  <si>
    <t>Saucisse de Morteau cuite IGP VPF</t>
  </si>
  <si>
    <t>Grillades de veau aux herbes</t>
  </si>
  <si>
    <t>Plateau maxi grill</t>
  </si>
  <si>
    <t>Saucisses grillées au curry</t>
  </si>
  <si>
    <t>Saucisses fumées Hot-Dog PNE 300g</t>
  </si>
  <si>
    <t>Vinaigre balsamique</t>
  </si>
  <si>
    <t>Jambon de Parme en tranches</t>
  </si>
  <si>
    <t>Sauce aigre-douce</t>
  </si>
  <si>
    <t>Véritables saucisses de Thuringe</t>
  </si>
  <si>
    <t>Saucisses fumées x 10</t>
  </si>
  <si>
    <t>Gendarmes fumés bois de hêtre</t>
  </si>
  <si>
    <t>Choucroute Royale</t>
  </si>
  <si>
    <t>Huile de tournesol 3l-PET</t>
  </si>
  <si>
    <t>Palette à la Diable</t>
  </si>
  <si>
    <t>Filets de poulet panés épicés</t>
  </si>
  <si>
    <t>Filet de dinde entier</t>
  </si>
  <si>
    <t>Riz façon gyros</t>
  </si>
  <si>
    <t>Huile d'olive vierge extra</t>
  </si>
  <si>
    <t>Antipasti grecs</t>
  </si>
  <si>
    <t>Blanc de dinde/poulet rôti</t>
  </si>
  <si>
    <t>Saucisses porc ou volaille en bocal</t>
  </si>
  <si>
    <t>Fines tranches de jamb./poul./dinde</t>
  </si>
  <si>
    <t>XXL Jambon / Poitrine de dinde</t>
  </si>
  <si>
    <t>Salade de pommes de terre</t>
  </si>
  <si>
    <t>Antipasti Italiens</t>
  </si>
  <si>
    <t>Paëlla Royale</t>
  </si>
  <si>
    <t>PAPRIKA 50G</t>
  </si>
  <si>
    <t>Carvi</t>
  </si>
  <si>
    <t>MOULIN A EPICES</t>
  </si>
  <si>
    <t>Huile d'olive vierge extra Espagne</t>
  </si>
  <si>
    <t>Mélange légumes vapeurs microondes</t>
  </si>
  <si>
    <t>Oeufs de lompe noirs</t>
  </si>
  <si>
    <t>Filets de poulet panés sauce épicée</t>
  </si>
  <si>
    <t>Sauce chili</t>
  </si>
  <si>
    <t xml:space="preserve">Tendres filets de harengs frits </t>
  </si>
  <si>
    <t>Riz Basmati</t>
  </si>
  <si>
    <t>Mortadella Bologna IGP</t>
  </si>
  <si>
    <t>Spéculoos aux épices</t>
  </si>
  <si>
    <t>Galette pain d'épices chocolat</t>
  </si>
  <si>
    <t>Pains d'épices chocolat</t>
  </si>
  <si>
    <t xml:space="preserve">Filet pièces d'or  </t>
  </si>
  <si>
    <t>Assortiment de pain d'épices</t>
  </si>
  <si>
    <t>Coeurs de pain d'épices fourrés</t>
  </si>
  <si>
    <t>Pâte d'amande enrobée chocolat</t>
  </si>
  <si>
    <t>Barre pâte d'amandes four. praliné</t>
  </si>
  <si>
    <t>Herbes de provence</t>
  </si>
  <si>
    <t>Oignons grillés</t>
  </si>
  <si>
    <t>Beignets d'oignons</t>
  </si>
  <si>
    <t>Préparation pour pancakes</t>
  </si>
  <si>
    <t>Canneberges sucrées séchées</t>
  </si>
  <si>
    <t>Noix de pécan</t>
  </si>
  <si>
    <t>Noix de cajou</t>
  </si>
  <si>
    <t>Gaufrettes carrées noisettes choc.</t>
  </si>
  <si>
    <t>Peau chamoisée</t>
  </si>
  <si>
    <t>Huile moteur SAE 5W/40 API SM/CF</t>
  </si>
  <si>
    <t>Salami Snack</t>
  </si>
  <si>
    <t>Lingettes nettoyantes pour cuir</t>
  </si>
  <si>
    <t>Poêlée de pâtes</t>
  </si>
  <si>
    <t>Pommes croquettes</t>
  </si>
  <si>
    <t>Nettoyant lave-vaisselle liquide</t>
  </si>
  <si>
    <t>Gel nettoyant pour canalisation</t>
  </si>
  <si>
    <t>Cruspies paprika</t>
  </si>
  <si>
    <t>Cacahuètes grillées et salées</t>
  </si>
  <si>
    <t>Cacahuètes à la saveur tzatziki</t>
  </si>
  <si>
    <t>Tequila Silver 38% vol.</t>
  </si>
  <si>
    <t>Matelas à langer jetables</t>
  </si>
  <si>
    <t>Mini biscuits assortis</t>
  </si>
  <si>
    <t>Biscuit sablé choco au lait</t>
  </si>
  <si>
    <t>Petales maïs/anneaux fruits</t>
  </si>
  <si>
    <t>Papier cuisson 30 feuilles</t>
  </si>
  <si>
    <t>Pétales de blé choco</t>
  </si>
  <si>
    <t>Lessive concentrée 28 lavages ass.</t>
  </si>
  <si>
    <t>Thé Bio SK 12</t>
  </si>
  <si>
    <t>Amaretto 28% vol.</t>
  </si>
  <si>
    <t>Galettes de riz Bio choco 3 sortes</t>
  </si>
  <si>
    <t>Mini mozzarella</t>
  </si>
  <si>
    <t>Croquettes 10 kg chien</t>
  </si>
  <si>
    <t>Panna cotta au caramel</t>
  </si>
  <si>
    <t>Pains d'épices enrobé chocolat</t>
  </si>
  <si>
    <t>Riz micro-ondable</t>
  </si>
  <si>
    <t xml:space="preserve">Fruits de mer en chocolat </t>
  </si>
  <si>
    <t>Pain d'épices mini Elisen</t>
  </si>
  <si>
    <t>Gorgonzola doux/piquant</t>
  </si>
  <si>
    <t>Chocolat blanc</t>
  </si>
  <si>
    <t>Mouchoirs blanc 2 plis</t>
  </si>
  <si>
    <t>Flocons d'avoine complets</t>
  </si>
  <si>
    <t>Têtes avec glaçage chocolat</t>
  </si>
  <si>
    <t xml:space="preserve">Raclette en tranches </t>
  </si>
  <si>
    <t>Sucettes au chocolat au lait</t>
  </si>
  <si>
    <t>Bouchées choco céréales Noi. / Lait</t>
  </si>
  <si>
    <t>Pâtes ruban 3 sortes</t>
  </si>
  <si>
    <t>Compote de pomme Bio</t>
  </si>
  <si>
    <t>Mini stollen beurre d'amandes</t>
  </si>
  <si>
    <t xml:space="preserve">Mélange de bonbons aux fruits   </t>
  </si>
  <si>
    <t>Chocolat noir</t>
  </si>
  <si>
    <t>Boisson pomme/figue/citron vert</t>
  </si>
  <si>
    <t>Mousse fondante sur lit de fruit</t>
  </si>
  <si>
    <t>Bavoirs</t>
  </si>
  <si>
    <t>Crème glacée à l'italienne</t>
  </si>
  <si>
    <t>Glace feuilletée cap./van./fraise</t>
  </si>
  <si>
    <t>Bac crème glacée vani./caramel/rhum</t>
  </si>
  <si>
    <t>Glace vanille bourbon</t>
  </si>
  <si>
    <t>Antivol en silicone couleur</t>
  </si>
  <si>
    <t>Couronne de crevettes</t>
  </si>
  <si>
    <t>Gressins</t>
  </si>
  <si>
    <t>Sachet de glaçons x20</t>
  </si>
  <si>
    <t>Crème de Citron 17% Vol.</t>
  </si>
  <si>
    <t>Sucre vanilliné</t>
  </si>
  <si>
    <t>Bâtonnets assortis blanc/choco/clas</t>
  </si>
  <si>
    <t>Fraise crisp</t>
  </si>
  <si>
    <t>Galettes de pain rondes</t>
  </si>
  <si>
    <t>Cannelloni</t>
  </si>
  <si>
    <t>Cantuccini</t>
  </si>
  <si>
    <t>Ouzo 38% Vol.</t>
  </si>
  <si>
    <t>Spaghetti Tricolore</t>
  </si>
  <si>
    <t>Glace vanille</t>
  </si>
  <si>
    <t>Noix du Brésil</t>
  </si>
  <si>
    <t>Lingettes imprégnées pour sols</t>
  </si>
  <si>
    <t>Engrais plantes pour balcons</t>
  </si>
  <si>
    <t>Sauces italiennes 4 from./carbonara</t>
  </si>
  <si>
    <t>Bissinger Champagne brut rosé AOC</t>
  </si>
  <si>
    <t xml:space="preserve">Préparation pour risotto </t>
  </si>
  <si>
    <t>Huile d'olive extra de Toscane IGP</t>
  </si>
  <si>
    <t>Huile d'olive vierge extra Italie</t>
  </si>
  <si>
    <t>Cacao en poudre pour pâtisserie</t>
  </si>
  <si>
    <t>Tranches de pain à Bruschetta</t>
  </si>
  <si>
    <t>Olives vertes grecques dénoyautées</t>
  </si>
  <si>
    <t>Champagne Premium Cuvée</t>
  </si>
  <si>
    <t>Choco'Nours fourrés lait-noisette</t>
  </si>
  <si>
    <t>Petits pains pour Hot-Dog x4</t>
  </si>
  <si>
    <t>Fromage blanc en saumure</t>
  </si>
  <si>
    <t>Fruits de mer à l'huile</t>
  </si>
  <si>
    <t>Pâte à tartiner Bio</t>
  </si>
  <si>
    <t>Pâte à tartiner 13% noisettes</t>
  </si>
  <si>
    <t>Kit pour fajitas</t>
  </si>
  <si>
    <t>Pâte lavante pour les mains</t>
  </si>
  <si>
    <t>Tresse canadienne</t>
  </si>
  <si>
    <t>Petit gâteaux amandes/noisettes</t>
  </si>
  <si>
    <t>Spéc. saucisses autrichiennes</t>
  </si>
  <si>
    <t>Crumble aux fruits</t>
  </si>
  <si>
    <t>Salami italien</t>
  </si>
  <si>
    <t>Boules Praliné</t>
  </si>
  <si>
    <t>Vinaigre balsamique aux fruits</t>
  </si>
  <si>
    <t>Biscuits suisses</t>
  </si>
  <si>
    <t>Lassi Yaourt à boire</t>
  </si>
  <si>
    <t>Melange de légumes Bio</t>
  </si>
  <si>
    <t>Fruits confits</t>
  </si>
  <si>
    <t>Barre de pâte d'amandes enrobée</t>
  </si>
  <si>
    <t>Crème solaire transparante LSF 30</t>
  </si>
  <si>
    <t>Crème solaire enfant spray LSF 50</t>
  </si>
  <si>
    <t>Mini crème solaire indice 30</t>
  </si>
  <si>
    <t>Ferrero Mon Chéri T15</t>
  </si>
  <si>
    <t>Sachet assortiment chocolat au lait</t>
  </si>
  <si>
    <t>Muesli croust. choc./noix de pecan</t>
  </si>
  <si>
    <t>Oeufs choco.four.pral.nois/amandes</t>
  </si>
  <si>
    <t>Mozzarella classic</t>
  </si>
  <si>
    <t>Huile de graine de courge de styrie</t>
  </si>
  <si>
    <t>Spaghetti bio</t>
  </si>
  <si>
    <t>Pain de Mozzarella</t>
  </si>
  <si>
    <t>Set d'aromathérapie</t>
  </si>
  <si>
    <t xml:space="preserve">Pizza feu de bois 4 fromages  </t>
  </si>
  <si>
    <t>Pizza jambon/fromage/mozzarella</t>
  </si>
  <si>
    <t xml:space="preserve">Pizza fdb salami/poivron grillé  </t>
  </si>
  <si>
    <t>Maasdam en tranches</t>
  </si>
  <si>
    <t>Demi-poulet épicé</t>
  </si>
  <si>
    <t>Pérail</t>
  </si>
  <si>
    <t>Amaretti</t>
  </si>
  <si>
    <t xml:space="preserve">Gouda jeune en tranches </t>
  </si>
  <si>
    <t>Parmigiano Reggiano (3331)</t>
  </si>
  <si>
    <t>Cerneaux de noix</t>
  </si>
  <si>
    <t>Chips craquantes salées</t>
  </si>
  <si>
    <t>Pointe de Brie</t>
  </si>
  <si>
    <t>Côtes de Provence Domaines rosé AOC</t>
  </si>
  <si>
    <t>Minis escalopes poulets panées</t>
  </si>
  <si>
    <t>Bardolino DOC / DOP</t>
  </si>
  <si>
    <t>Spaghetti</t>
  </si>
  <si>
    <t>Crème solaire sport/anti âge</t>
  </si>
  <si>
    <t>Crème solaire enfant FPS 50</t>
  </si>
  <si>
    <t>Vieux Kirsch de la fôret noire</t>
  </si>
  <si>
    <t xml:space="preserve">Yaourt Bio assort. fruits </t>
  </si>
  <si>
    <t>Jambon italien</t>
  </si>
  <si>
    <t>Chocolat lait noisettes entières</t>
  </si>
  <si>
    <t xml:space="preserve">Mini mix classic  </t>
  </si>
  <si>
    <t>Mini Mix aux fruits X12</t>
  </si>
  <si>
    <t xml:space="preserve">Montepulciano d'Abruzzo DOC </t>
  </si>
  <si>
    <t xml:space="preserve">Pays de l'Herault IGP rouge </t>
  </si>
  <si>
    <t>Crème dessert caramel</t>
  </si>
  <si>
    <t>Pays de l'Aude rouge IGP</t>
  </si>
  <si>
    <t>Miel de fleurs</t>
  </si>
  <si>
    <t>Thon Albacore au naturel x3</t>
  </si>
  <si>
    <t>Thon à l'huile de tournesol</t>
  </si>
  <si>
    <t>Sardines huile tournesol (PNE 90 g)</t>
  </si>
  <si>
    <t xml:space="preserve">Assortiment de snacks américains </t>
  </si>
  <si>
    <t xml:space="preserve"> Baguette céréales rustique</t>
  </si>
  <si>
    <t xml:space="preserve"> Baguette 250g</t>
  </si>
  <si>
    <t>Herbes aromatiques pour salade</t>
  </si>
  <si>
    <t xml:space="preserve">Pandoro </t>
  </si>
  <si>
    <t xml:space="preserve">Panettone </t>
  </si>
  <si>
    <t>Déshumidificateur</t>
  </si>
  <si>
    <t>Choc.noir dég.pistache/fleur de sel</t>
  </si>
  <si>
    <t>Camembert de caractère</t>
  </si>
  <si>
    <t>Recharge absorbeur d'humidité</t>
  </si>
  <si>
    <t>Demi-poires au sirop léger</t>
  </si>
  <si>
    <t>Flan au caramel</t>
  </si>
  <si>
    <t>Thé sachets pyramide</t>
  </si>
  <si>
    <t>Flips cacahuètes</t>
  </si>
  <si>
    <t>Flips au fromage</t>
  </si>
  <si>
    <t>Homard Américain</t>
  </si>
  <si>
    <t>Etendoir à linge</t>
  </si>
  <si>
    <t>Pur jus d'ananas</t>
  </si>
  <si>
    <t>Jus multivitaminé 100 %</t>
  </si>
  <si>
    <t>Noisettes en poudre</t>
  </si>
  <si>
    <t>Noix de coco râpée</t>
  </si>
  <si>
    <t>Noisettes décortiquées</t>
  </si>
  <si>
    <t>Amandes en poudre</t>
  </si>
  <si>
    <t>Biscuits feuill. glaçage abricot</t>
  </si>
  <si>
    <t>Thon à l'huile de tournesol PNE140g</t>
  </si>
  <si>
    <t>Thon au naturel 195g  PNE 150g</t>
  </si>
  <si>
    <t>Miettes et pattes de crabe PNE 121g</t>
  </si>
  <si>
    <t>Filet de Hareng à la crème</t>
  </si>
  <si>
    <t>Crème dessert vanille</t>
  </si>
  <si>
    <t>Crème dessert chocolat</t>
  </si>
  <si>
    <t>Aiguillettes de poulet</t>
  </si>
  <si>
    <t>Pansements assortis</t>
  </si>
  <si>
    <t>Double concentré de tomates - tube</t>
  </si>
  <si>
    <t xml:space="preserve"> Fruits rouges</t>
  </si>
  <si>
    <t>Marmelade orange</t>
  </si>
  <si>
    <t>Kit pour burritos</t>
  </si>
  <si>
    <t>Kit pour tacos</t>
  </si>
  <si>
    <t>Petits pois (PNE 265g)</t>
  </si>
  <si>
    <t>Tomates pelées 400g / PNE 240g</t>
  </si>
  <si>
    <t>Sauce tomate au basilic</t>
  </si>
  <si>
    <t xml:space="preserve">Asperges vertes </t>
  </si>
  <si>
    <t>Haricots blancs PNE 530 g</t>
  </si>
  <si>
    <t>Cornichons extra fins PNE: 360g</t>
  </si>
  <si>
    <t>Marrons glacés</t>
  </si>
  <si>
    <t>Vin d'Espagne Rosé</t>
  </si>
  <si>
    <t>Tarragona DO Gran Reserva</t>
  </si>
  <si>
    <t>Petits suisses nature 10,4%</t>
  </si>
  <si>
    <t>Feta grecque</t>
  </si>
  <si>
    <t>Nettoyant vitres</t>
  </si>
  <si>
    <t>Ananas morc. au sirop léger PNE340g</t>
  </si>
  <si>
    <t>Abricots au sirop léger PNE 475 g</t>
  </si>
  <si>
    <t>Papier toilette recyclé 8x200 feuil</t>
  </si>
  <si>
    <t>Mangues en tranches (PNE250g)</t>
  </si>
  <si>
    <t>Antipasti ital.</t>
  </si>
  <si>
    <t>Raisins secs</t>
  </si>
  <si>
    <t>Préservatifs</t>
  </si>
  <si>
    <t>Tarte au crumble</t>
  </si>
  <si>
    <t>Filets de saumon x4</t>
  </si>
  <si>
    <t>Desserts italiens assortis</t>
  </si>
  <si>
    <t>Nettoyant vitro-céramique/inox</t>
  </si>
  <si>
    <t>Condrieu Antoine Borget AOP</t>
  </si>
  <si>
    <t>VR-24 Côte Rôtie Borget AOP</t>
  </si>
  <si>
    <t>Hermitage AOP</t>
  </si>
  <si>
    <t>Pastilles nettoyantes WC</t>
  </si>
  <si>
    <t>Amandes entières</t>
  </si>
  <si>
    <t>Pignons de pin</t>
  </si>
  <si>
    <t>Filet de colin d'Alaska MSC PNE950g</t>
  </si>
  <si>
    <t>Frites au four</t>
  </si>
  <si>
    <t>Glace avec tourbillon</t>
  </si>
  <si>
    <t>Confiture extra d'abricots</t>
  </si>
  <si>
    <t>Confiture extra de griottes</t>
  </si>
  <si>
    <t>Confiture extra de framboises</t>
  </si>
  <si>
    <t>Confiture 4 fruits</t>
  </si>
  <si>
    <t>Chocolats fourrés assortis</t>
  </si>
  <si>
    <t>Bâtonnets fourrés chocolat et lait</t>
  </si>
  <si>
    <t>Cônes multipack x 8</t>
  </si>
  <si>
    <t>Bougies parfumées</t>
  </si>
  <si>
    <t>Jarret 1/2 sel (1053)</t>
  </si>
  <si>
    <t>Chocolat suisse en tablette</t>
  </si>
  <si>
    <t>Absorbeur d'humidité</t>
  </si>
  <si>
    <t>Rioja  DOCa Crianza Premium</t>
  </si>
  <si>
    <t xml:space="preserve">Saumon fumé </t>
  </si>
  <si>
    <t>Engrais liquide pour rosiers</t>
  </si>
  <si>
    <t>Saumon sauvage fumé du Pacifique</t>
  </si>
  <si>
    <t>Champignons émincés 1er chx.PNE230g</t>
  </si>
  <si>
    <t xml:space="preserve">Space Runners </t>
  </si>
  <si>
    <t>Adoucissant concentré 30 lavages</t>
  </si>
  <si>
    <t xml:space="preserve">Veneto, Amarone della Valpolicella </t>
  </si>
  <si>
    <t>Kalanchoé déco Papillon</t>
  </si>
  <si>
    <t>Raclette en tranches</t>
  </si>
  <si>
    <t>Cacahuètes enrobées chocolat</t>
  </si>
  <si>
    <t>Cabernet Sauvignon Afrique du Sud</t>
  </si>
  <si>
    <t>Chardonnay colombard AFS [2016]</t>
  </si>
  <si>
    <t>Tampons périodiques assortis</t>
  </si>
  <si>
    <t>Essuie-tout 3 plis</t>
  </si>
  <si>
    <t>Lotion après solaire</t>
  </si>
  <si>
    <t>Crème solaire FPS 10 / FPS 20</t>
  </si>
  <si>
    <t>Sangria</t>
  </si>
  <si>
    <t>PYJAMA GARCON "LUPILU"</t>
  </si>
  <si>
    <t>Poivre noir moulu</t>
  </si>
  <si>
    <t>CURRY</t>
  </si>
  <si>
    <t>Thym</t>
  </si>
  <si>
    <t xml:space="preserve">Préparation laitière américaine </t>
  </si>
  <si>
    <t>Ail mariné PNE 180g</t>
  </si>
  <si>
    <t>VR-19 Vacqueyras AOP</t>
  </si>
  <si>
    <t>Bouillon de boeuf</t>
  </si>
  <si>
    <t>Bouillon de légumes</t>
  </si>
  <si>
    <t>Litière agglomérante parfumée</t>
  </si>
  <si>
    <t>Bonbons aux fruits fourrés</t>
  </si>
  <si>
    <t xml:space="preserve">Glace stracciatella sandwich  </t>
  </si>
  <si>
    <t xml:space="preserve">Huile de colza / tournesol pressée </t>
  </si>
  <si>
    <t>Tagliatelles</t>
  </si>
  <si>
    <t>Jus multivitaminé 12 fruits ABC</t>
  </si>
  <si>
    <t>BÂTONNETS CHOCO FOUR. AUX AMANDES</t>
  </si>
  <si>
    <t>Sangiovese Cabernet Toscana IGP</t>
  </si>
  <si>
    <t>Carrés chocolat/lait</t>
  </si>
  <si>
    <t>Pétales maïs sucrés</t>
  </si>
  <si>
    <t>Blé soufflé au caramel</t>
  </si>
  <si>
    <t>Bouchées en pâte d'amandes chocolat</t>
  </si>
  <si>
    <t>Muesli</t>
  </si>
  <si>
    <t>Sticks friandise pour chat</t>
  </si>
  <si>
    <t>Figurines de Noël</t>
  </si>
  <si>
    <t>Sachet ass. chocolats de Noël</t>
  </si>
  <si>
    <t xml:space="preserve">Calendrier de l'Avent </t>
  </si>
  <si>
    <t xml:space="preserve">Gressins </t>
  </si>
  <si>
    <t>Nems</t>
  </si>
  <si>
    <t>Maïs doux PNE: 140gx3</t>
  </si>
  <si>
    <t>Tortillas de farine de blé</t>
  </si>
  <si>
    <t>Croquettes Pdt rapées farcies</t>
  </si>
  <si>
    <t>Glace vanille/choc entre 2 biscuits</t>
  </si>
  <si>
    <t xml:space="preserve">Smoothie </t>
  </si>
  <si>
    <t>Allume feu x 32</t>
  </si>
  <si>
    <t>Frappuccino poudre</t>
  </si>
  <si>
    <t>Glace Neo vanille / chocolat</t>
  </si>
  <si>
    <t>Lot de 3 désodorisants</t>
  </si>
  <si>
    <t xml:space="preserve">Lasagne aux oeufs </t>
  </si>
  <si>
    <t xml:space="preserve">Asti Spumante DOCG </t>
  </si>
  <si>
    <t>Mozzarella râpée</t>
  </si>
  <si>
    <t>Sauces tomate bio assorties</t>
  </si>
  <si>
    <t>Sauce balsamique assortiment</t>
  </si>
  <si>
    <t>Antipasti PNE 140, 157, 180g</t>
  </si>
  <si>
    <t>Litiere chat 10kg</t>
  </si>
  <si>
    <t>Olives vertes entières PNE 600g</t>
  </si>
  <si>
    <t>Lingettes cockpit</t>
  </si>
  <si>
    <t>Épice asiatique</t>
  </si>
  <si>
    <t>Party Chips paprika</t>
  </si>
  <si>
    <t>Engrais pour rosier</t>
  </si>
  <si>
    <t>Fine chapelure de pain</t>
  </si>
  <si>
    <t>Fromage râpé fondant</t>
  </si>
  <si>
    <t>Antipasto Misto Emiliano tranché</t>
  </si>
  <si>
    <t>Essuie tout multi-usages</t>
  </si>
  <si>
    <t>Engrais liquide universel</t>
  </si>
  <si>
    <t>Engrais pour Géranium</t>
  </si>
  <si>
    <t xml:space="preserve">Riz à risotto </t>
  </si>
  <si>
    <t>Sauce asiatique</t>
  </si>
  <si>
    <t>Escalope de dinde marinée</t>
  </si>
  <si>
    <t>Fond de tarte</t>
  </si>
  <si>
    <t xml:space="preserve">XXL Tablette lave vaisselle </t>
  </si>
  <si>
    <t>Tortilla Wraps XXL</t>
  </si>
  <si>
    <t>Pâtes tricolores à la semoule</t>
  </si>
  <si>
    <t>Scamorza blanche/fumée</t>
  </si>
  <si>
    <t>Décor à parsemer en sucre</t>
  </si>
  <si>
    <t>Fusilli Giganti</t>
  </si>
  <si>
    <t>Nettoyeur pour vitres de voiture</t>
  </si>
  <si>
    <t>Pennoni Giganti</t>
  </si>
  <si>
    <t>Cookies American Star</t>
  </si>
  <si>
    <t>Yaourt à la crème 4 sortes</t>
  </si>
  <si>
    <t>Haricots verts E.F. bocal PNE 280g</t>
  </si>
  <si>
    <t xml:space="preserve">Saucisses à griller x10 </t>
  </si>
  <si>
    <t>Biscuits sablés au cacao</t>
  </si>
  <si>
    <t>Biscuits sablés à la crème</t>
  </si>
  <si>
    <t>Détachant avt lavage/déso. textiles</t>
  </si>
  <si>
    <t>Nettoyant voiture</t>
  </si>
  <si>
    <t xml:space="preserve">Beaujolais Villages AOP </t>
  </si>
  <si>
    <t>Fettucine oeufs/épinard</t>
  </si>
  <si>
    <t>Infusions pyramides</t>
  </si>
  <si>
    <t>Sapin Nordman 1er choix</t>
  </si>
  <si>
    <t>Farfalle tricolore</t>
  </si>
  <si>
    <t>Muscadet Sèvre&amp;Maine sur lie</t>
  </si>
  <si>
    <t>Petits pois/carottes PNE 445/425g</t>
  </si>
  <si>
    <t>Petits pois/pois car. PNE:130gx3</t>
  </si>
  <si>
    <t>Bonbons pour la gorge assortis</t>
  </si>
  <si>
    <t xml:space="preserve">Ravioles souabes </t>
  </si>
  <si>
    <t>Cassonade pure canne</t>
  </si>
  <si>
    <t>Stollen aux pommes</t>
  </si>
  <si>
    <t>Duo twists aromatisés</t>
  </si>
  <si>
    <t>GRILLE POUR BARBECUE "FLORABEST"</t>
  </si>
  <si>
    <t>Mélange de biscuits toscans</t>
  </si>
  <si>
    <t xml:space="preserve">Assortiment de chocolats Belges </t>
  </si>
  <si>
    <t>Biscuit nappé caramel</t>
  </si>
  <si>
    <t>Pâte à tartiner</t>
  </si>
  <si>
    <t>Rasoir jetable pour homme</t>
  </si>
  <si>
    <t>Rhum ambré traditionnel 40% vol.</t>
  </si>
  <si>
    <t>Punch Planteur 16% Vol.</t>
  </si>
  <si>
    <t>Marmiton Les meilleures recettes Pâ</t>
  </si>
  <si>
    <t>Confiserie gélifiée Halloween</t>
  </si>
  <si>
    <t>PlayBac Livre Marmiton les meilleu</t>
  </si>
  <si>
    <t>Net. lave vaisselle sachet soluble</t>
  </si>
  <si>
    <t xml:space="preserve">COOX Moule dépliable </t>
  </si>
  <si>
    <t>Toasts ronds Nature</t>
  </si>
  <si>
    <t>Spécialité de fruits</t>
  </si>
  <si>
    <t xml:space="preserve">Boulettes de boeuf à la provençale </t>
  </si>
  <si>
    <t>Tarte au fromage blanc</t>
  </si>
  <si>
    <t>Mini spray désodorisant</t>
  </si>
  <si>
    <t>Huile végétale spéciale friture XXL</t>
  </si>
  <si>
    <t>Chewing-gum sans sucre</t>
  </si>
  <si>
    <t>Crème Brûlée</t>
  </si>
  <si>
    <t>Brioche tressée</t>
  </si>
  <si>
    <t>Ananas en tranches sir. lég.PNE340g</t>
  </si>
  <si>
    <t>Pommes frites</t>
  </si>
  <si>
    <t>Crème de jour Q10</t>
  </si>
  <si>
    <t>Crème de nuit Q10</t>
  </si>
  <si>
    <t>Crème soin visage</t>
  </si>
  <si>
    <t>Petit pain bretzel</t>
  </si>
  <si>
    <t>Gouda en tranches XXL</t>
  </si>
  <si>
    <t>Boisson lactée chocolatée</t>
  </si>
  <si>
    <t>Snack goût oignon</t>
  </si>
  <si>
    <t>Spray solaire enfant FPS 50</t>
  </si>
  <si>
    <t>Biscottes 100 tranches</t>
  </si>
  <si>
    <t>Lait de croissance</t>
  </si>
  <si>
    <t>Hibiscus de jardin</t>
  </si>
  <si>
    <t>Rosier en jardinière</t>
  </si>
  <si>
    <t>Lavande</t>
  </si>
  <si>
    <t>Echinocactus grusonii</t>
  </si>
  <si>
    <t>Chrysanthème barquette</t>
  </si>
  <si>
    <t>Eustoma</t>
  </si>
  <si>
    <t xml:space="preserve">Plante verte </t>
  </si>
  <si>
    <t>Bonsaï Ficus Ginseng</t>
  </si>
  <si>
    <t>Plante verte à suspendre</t>
  </si>
  <si>
    <t>Chrysanthème Multifleur</t>
  </si>
  <si>
    <t>Coupe plante fleurie</t>
  </si>
  <si>
    <t>Barquette 10 plants de pensées</t>
  </si>
  <si>
    <t>Bruyère Erica</t>
  </si>
  <si>
    <t>Cyclamen</t>
  </si>
  <si>
    <t xml:space="preserve">Cyclamen en corbeille </t>
  </si>
  <si>
    <t>Chrysanthèmes en coupe</t>
  </si>
  <si>
    <t>Chrysantheme 12cm</t>
  </si>
  <si>
    <t>Rhododendron</t>
  </si>
  <si>
    <t>Conifère</t>
  </si>
  <si>
    <t>Plante fleurie en céramique déco</t>
  </si>
  <si>
    <t>Plante fleurie</t>
  </si>
  <si>
    <t>Plante de rocaille</t>
  </si>
  <si>
    <t>Bulbes de fleurs premium</t>
  </si>
  <si>
    <t>Bulbes de fleurs standard</t>
  </si>
  <si>
    <t>XXL Papier toilette 3 plis</t>
  </si>
  <si>
    <t>Pizza américaineHawaï/Suprême</t>
  </si>
  <si>
    <t xml:space="preserve">Tonic  </t>
  </si>
  <si>
    <t>Popcorn caramélisé</t>
  </si>
  <si>
    <t>Cerises amarena au sirop PNE 235</t>
  </si>
  <si>
    <t xml:space="preserve"> Petit pain special au fromage</t>
  </si>
  <si>
    <t>Bière blanche 4,5 %</t>
  </si>
  <si>
    <t>Bière aromatisée à la Tequila 5,9%</t>
  </si>
  <si>
    <t>Confiture bio assorties</t>
  </si>
  <si>
    <t>XXL Pizza feu de bois margherita x4</t>
  </si>
  <si>
    <t>Yum Yum Nouilles instantanées ass.</t>
  </si>
  <si>
    <t>Miel Bio crémeux/liquide</t>
  </si>
  <si>
    <t>Croquettes chien adulte/light</t>
  </si>
  <si>
    <t xml:space="preserve"> Safari nuggets</t>
  </si>
  <si>
    <t>Housse de protection pour voiture</t>
  </si>
  <si>
    <t xml:space="preserve">Essuie-tout </t>
  </si>
  <si>
    <t>Champ. 1er choix ent. PNE 3 x 115 g</t>
  </si>
  <si>
    <t>Fines escalopes de poulet paprika</t>
  </si>
  <si>
    <t>Vin de Pays d'Oc Gris</t>
  </si>
  <si>
    <t>XXL Gel douche</t>
  </si>
  <si>
    <t>XXL Lingettes imprégnées pour bébé</t>
  </si>
  <si>
    <t>Tubes glacés orange/fraise/cola</t>
  </si>
  <si>
    <t xml:space="preserve">Mini cônes </t>
  </si>
  <si>
    <t>Porto rosé</t>
  </si>
  <si>
    <t>XXL Brosse à dents</t>
  </si>
  <si>
    <t xml:space="preserve">Cônes x 6 </t>
  </si>
  <si>
    <t>XXL Rasoir +5 lames gratuites</t>
  </si>
  <si>
    <t>Huile d'olive vierge extra de Crète</t>
  </si>
  <si>
    <t>XXL Chips paprika</t>
  </si>
  <si>
    <t>Lotion pour le corps hydratante</t>
  </si>
  <si>
    <t>Sacs poubelle 120 L x 20</t>
  </si>
  <si>
    <t>Thé glacé arôme mangue / fraise</t>
  </si>
  <si>
    <t>Emmental français râpé 3x70g</t>
  </si>
  <si>
    <t>Barquette de 6 plantes d'automne</t>
  </si>
  <si>
    <t>Rhododdendron ou Azalée</t>
  </si>
  <si>
    <t>Amaryllis 2 tiges</t>
  </si>
  <si>
    <t>Grande étoile de Noël</t>
  </si>
  <si>
    <t>Etoile de Noël</t>
  </si>
  <si>
    <t>Anthurium 17cm</t>
  </si>
  <si>
    <t>Rosier pailleté</t>
  </si>
  <si>
    <t>Cactus de Noël</t>
  </si>
  <si>
    <t>Bromelia Aechmea Primera</t>
  </si>
  <si>
    <t>Jacinthe en corbeille</t>
  </si>
  <si>
    <t>Jacinthe en pot céramique</t>
  </si>
  <si>
    <t>Petit sapin lumineux, en vase</t>
  </si>
  <si>
    <t>Plantes fleuries en pot Noël</t>
  </si>
  <si>
    <t>Centre table / Plante de Noël</t>
  </si>
  <si>
    <t>Sapin enneigé</t>
  </si>
  <si>
    <t>Gros Chrysanthèmes</t>
  </si>
  <si>
    <t>Chrysanthème grosses fleurs</t>
  </si>
  <si>
    <t>Plante fleurie nouvel an</t>
  </si>
  <si>
    <t>Grande Etoile de Noël</t>
  </si>
  <si>
    <t>XXL Boisson au yaourt</t>
  </si>
  <si>
    <t>Biscuits sablés amandes/coco/vanill</t>
  </si>
  <si>
    <t>XXL Riz basmati</t>
  </si>
  <si>
    <t>XXL Riz étuvé cuisson rapide</t>
  </si>
  <si>
    <t>XXL Filets de hareng sauce tomate</t>
  </si>
  <si>
    <t>Bonhomme de Noël sort</t>
  </si>
  <si>
    <t>Huile d'olive vierge extra bio</t>
  </si>
  <si>
    <t>XXL bouchées chat sachet</t>
  </si>
  <si>
    <t>Sticks friandise pour chien</t>
  </si>
  <si>
    <t>Mimolette jeune</t>
  </si>
  <si>
    <t>Salami mexicain</t>
  </si>
  <si>
    <t>XXL Poêlée de pâtes</t>
  </si>
  <si>
    <t>LOT DE 3 SERVIETTES INVITÉS 30 X 50</t>
  </si>
  <si>
    <t>CAHIER/CARNETS À SPIRALES "UNITED O</t>
  </si>
  <si>
    <t>Petits pains au lait au beurre</t>
  </si>
  <si>
    <t>XXL Mini chinois fourrés crème</t>
  </si>
  <si>
    <t>Confiserie gélifiée party mix</t>
  </si>
  <si>
    <t>Bonbons à la crème</t>
  </si>
  <si>
    <t xml:space="preserve"> Escargots aux raisins</t>
  </si>
  <si>
    <t>Campanule</t>
  </si>
  <si>
    <t>Campanule en  céramique</t>
  </si>
  <si>
    <t>Primevère</t>
  </si>
  <si>
    <t>Cinéraire des Fleuristes</t>
  </si>
  <si>
    <t>Primevère en clayette</t>
  </si>
  <si>
    <t>Kalanchoe en coupe XXL</t>
  </si>
  <si>
    <t>Gerbera en céramique</t>
  </si>
  <si>
    <t>Guzmania/Orchidée en céramique</t>
  </si>
  <si>
    <t>Anthurium</t>
  </si>
  <si>
    <t>Cactus en pot terre cuite</t>
  </si>
  <si>
    <t>Support de culture pour plantes</t>
  </si>
  <si>
    <t>Terreau pour Géranium</t>
  </si>
  <si>
    <t>Plantations de printemps</t>
  </si>
  <si>
    <t>Coupe de Pensées</t>
  </si>
  <si>
    <t>Plantes fleuries en pot déco</t>
  </si>
  <si>
    <t>Ass de 6 plantes à massif</t>
  </si>
  <si>
    <t>Ficus Ginseng Tressé</t>
  </si>
  <si>
    <t>Plants de fraisiers</t>
  </si>
  <si>
    <t>Arbres Fruitiers</t>
  </si>
  <si>
    <t>Plante verte exclusive céramique</t>
  </si>
  <si>
    <t>Hibiscus</t>
  </si>
  <si>
    <t>Graines fruits légumes fleurs</t>
  </si>
  <si>
    <t>Orchidée 2 tiges en vase</t>
  </si>
  <si>
    <t>Jacinthe de Saint Valentin</t>
  </si>
  <si>
    <t>Rosier ou Kalanchoé</t>
  </si>
  <si>
    <t>Mini rosier</t>
  </si>
  <si>
    <t>Rosier Passionata</t>
  </si>
  <si>
    <t>Bulbes fleurs automne premium</t>
  </si>
  <si>
    <t>Orchidée 2 tiges</t>
  </si>
  <si>
    <t>Kalanchoé de Pâques</t>
  </si>
  <si>
    <t>Pierre nettoyage biologique</t>
  </si>
  <si>
    <t>Boisson au café</t>
  </si>
  <si>
    <t>Bulbes mix coloris variés</t>
  </si>
  <si>
    <t>Bulbes mix couleurs</t>
  </si>
  <si>
    <t>Amarone della Valpolicella DOG 2012</t>
  </si>
  <si>
    <t>Sorbets aux fruits</t>
  </si>
  <si>
    <t>Chicken Nuggets mit Dips sort.</t>
  </si>
  <si>
    <t>Saucisses cuites fumées</t>
  </si>
  <si>
    <t>Sempervivum</t>
  </si>
  <si>
    <t>Buis Pyramide</t>
  </si>
  <si>
    <t>Noix de cajou grillées salées VRAC</t>
  </si>
  <si>
    <t>Snack 4 Friends</t>
  </si>
  <si>
    <t>Cacahuètes jumbo</t>
  </si>
  <si>
    <t>Choco Rings / Céréales Cookies</t>
  </si>
  <si>
    <t>Calluna vulgaris</t>
  </si>
  <si>
    <t>Le moelleux</t>
  </si>
  <si>
    <t xml:space="preserve">Antipasti </t>
  </si>
  <si>
    <t>Pizza américaine salami/fromage</t>
  </si>
  <si>
    <t>Bouquet de roses arlequin</t>
  </si>
  <si>
    <t>Bouquet de tulipes arlequin</t>
  </si>
  <si>
    <t>Savon liquide mains fruits</t>
  </si>
  <si>
    <t>Savon liquide pour les mains</t>
  </si>
  <si>
    <t xml:space="preserve">Pop-corn caramélisé </t>
  </si>
  <si>
    <t>Lingettes nettoyantes optiques</t>
  </si>
  <si>
    <t>Double plaque de cuisson</t>
  </si>
  <si>
    <t>Allume-gaz</t>
  </si>
  <si>
    <t>Mélange 4 huiles</t>
  </si>
  <si>
    <t>Men Deo Roller Aqua</t>
  </si>
  <si>
    <t>Déodorant Roller</t>
  </si>
  <si>
    <t>Pinot Noir prestige Bourgogne AOP</t>
  </si>
  <si>
    <t>Mélanges d'épices Fan de BBQ</t>
  </si>
  <si>
    <t>Kebab</t>
  </si>
  <si>
    <t>Pizza jambon/champignons</t>
  </si>
  <si>
    <t>Recharge savon liquide</t>
  </si>
  <si>
    <t>Bruschetta</t>
  </si>
  <si>
    <t>Pieds de vigne GM</t>
  </si>
  <si>
    <t>Jambon Serrano</t>
  </si>
  <si>
    <t xml:space="preserve">Spe. From. ail &amp; Fines herbes   </t>
  </si>
  <si>
    <t>Filets de cabillaud MSC (PNE: 540g)</t>
  </si>
  <si>
    <t>XXL Papier toilette 4 plis</t>
  </si>
  <si>
    <t>Fuchsia</t>
  </si>
  <si>
    <t>Pelargonium grandiflorum</t>
  </si>
  <si>
    <t>Calla en céramique</t>
  </si>
  <si>
    <t>Ass de plantes printanières</t>
  </si>
  <si>
    <t>Bougainvillier en espalier</t>
  </si>
  <si>
    <t>Plantes à Massif</t>
  </si>
  <si>
    <t>Vivaces mix</t>
  </si>
  <si>
    <t>Fleur de Tournesol en pot</t>
  </si>
  <si>
    <t>Cana Indica</t>
  </si>
  <si>
    <t>Bananier</t>
  </si>
  <si>
    <t>Palmier de jardin</t>
  </si>
  <si>
    <t>Laurier Rose</t>
  </si>
  <si>
    <t>Hortensia</t>
  </si>
  <si>
    <t>Lys en pot</t>
  </si>
  <si>
    <t>Lys asiatique</t>
  </si>
  <si>
    <t>Bégonia</t>
  </si>
  <si>
    <t>Vriesa ou Guzmania</t>
  </si>
  <si>
    <t>Dendrobium pot déco</t>
  </si>
  <si>
    <t>serre cactus/succulentes</t>
  </si>
  <si>
    <t>Cactus et succulentes</t>
  </si>
  <si>
    <t>Grande plante fleurie</t>
  </si>
  <si>
    <t>Composition Tendresse</t>
  </si>
  <si>
    <t>Déodorant spray femme</t>
  </si>
  <si>
    <t>Déodorant spray homme</t>
  </si>
  <si>
    <t>Eau de parfum Madame Glamour</t>
  </si>
  <si>
    <t>Corte alle Mura Chianti DOCG</t>
  </si>
  <si>
    <t>Fromage frais sous mousse de crème</t>
  </si>
  <si>
    <t xml:space="preserve">Lessive liq. laine/text. délicats </t>
  </si>
  <si>
    <t>Bouillon de poulet</t>
  </si>
  <si>
    <t>Pâtes courtes bio assorties</t>
  </si>
  <si>
    <t>Dosettes café classique x36</t>
  </si>
  <si>
    <t>Dosettes café corsé x36</t>
  </si>
  <si>
    <t>Chiffonnade de jambon sec supérieur</t>
  </si>
  <si>
    <t xml:space="preserve">Petit beurre choco pocket mousse </t>
  </si>
  <si>
    <t>Chicorée café soluble</t>
  </si>
  <si>
    <t>Saumon fumé origine Ecosse</t>
  </si>
  <si>
    <t xml:space="preserve">Tiramisu premium </t>
  </si>
  <si>
    <t>Cacahuètes avec enrobage wasabi</t>
  </si>
  <si>
    <t>KM Matches Allumettes 4 x 100</t>
  </si>
  <si>
    <t xml:space="preserve">Gâteau Forêt Noire  </t>
  </si>
  <si>
    <t>Adoucissant</t>
  </si>
  <si>
    <t>Spray solaire transparent FPS 20</t>
  </si>
  <si>
    <t>Couverts jetables</t>
  </si>
  <si>
    <t>Gobelets en carton</t>
  </si>
  <si>
    <t>Plateau aluminium grill x10</t>
  </si>
  <si>
    <t>Assiettes en carton</t>
  </si>
  <si>
    <t xml:space="preserve">Chausson aux pommes  </t>
  </si>
  <si>
    <t>Pizza bolognaise cuite sur pierre</t>
  </si>
  <si>
    <t>Allume feu liquide</t>
  </si>
  <si>
    <t>XXL Jus de pomme</t>
  </si>
  <si>
    <t>XXL Flips cacahuète / fromage</t>
  </si>
  <si>
    <t>XXL Nuggets poulet nature/fromage</t>
  </si>
  <si>
    <t>Papier aluminium renforcé</t>
  </si>
  <si>
    <t>Filets de poulet XXL</t>
  </si>
  <si>
    <t>XXL Pain au lait au beurre</t>
  </si>
  <si>
    <t>Allume-feu barbecue</t>
  </si>
  <si>
    <t>Allume feu</t>
  </si>
  <si>
    <t>Bellona gaufrettes enr. choc. lait</t>
  </si>
  <si>
    <t>Saucisse fumée cuite XXL</t>
  </si>
  <si>
    <t>Yaourt asiatique aux fruits</t>
  </si>
  <si>
    <t xml:space="preserve">Pils XXL 4.9% </t>
  </si>
  <si>
    <t>Desodorisant longue durée</t>
  </si>
  <si>
    <t xml:space="preserve">Jus d'orange du Brésil avec pulpe </t>
  </si>
  <si>
    <t>Dosettes café doux/décaféiné x36</t>
  </si>
  <si>
    <t>Crème mains hydratante/anti-age</t>
  </si>
  <si>
    <t>XXL Bâtonnets vanille/amandes</t>
  </si>
  <si>
    <t>XXL Glace fraise choco blanc</t>
  </si>
  <si>
    <t>Dissolvant ongles avec/sans acetone</t>
  </si>
  <si>
    <t>Jambon Forêt Noire XXL</t>
  </si>
  <si>
    <t>Travers de porc cuits doux/épicés</t>
  </si>
  <si>
    <t>Gel nett./Gel gommage quotidien</t>
  </si>
  <si>
    <t>Mini-steaks de dinde marinés</t>
  </si>
  <si>
    <t>Gâteau de riz nappé caramel</t>
  </si>
  <si>
    <t>Antipasti méditerra. (PNE 360/375g)</t>
  </si>
  <si>
    <t>Tartes citron merin./moelleux choc.</t>
  </si>
  <si>
    <t>Jacinthe en coupe ton sur ton</t>
  </si>
  <si>
    <t xml:space="preserve">Saucisse de Lyon en tranches  </t>
  </si>
  <si>
    <t>Herbes lyophilisées</t>
  </si>
  <si>
    <t>Filets de maquereaux assortis</t>
  </si>
  <si>
    <t>Pina Colada 14,9% vol.</t>
  </si>
  <si>
    <t>Mojito 14,9% vol.</t>
  </si>
  <si>
    <t>Mini Brownies noisettes</t>
  </si>
  <si>
    <t>Mini Brownies choco</t>
  </si>
  <si>
    <t>XXL Classic vanille</t>
  </si>
  <si>
    <t>XXL Jus d'orange 100%</t>
  </si>
  <si>
    <t>Lingettes visage enfants</t>
  </si>
  <si>
    <t>Champagne brut premium AOC</t>
  </si>
  <si>
    <t>XXL Fricadelles assortiment</t>
  </si>
  <si>
    <t>Gâteau de riz/crème caramel</t>
  </si>
  <si>
    <t>Gros Plant AOP</t>
  </si>
  <si>
    <t>Croissants fourrés crème pâtissière</t>
  </si>
  <si>
    <t>Fromage pour burgers</t>
  </si>
  <si>
    <t>Amandes cacahuètes noise. grillées</t>
  </si>
  <si>
    <t xml:space="preserve">Bouquet de roses </t>
  </si>
  <si>
    <t>Bouquet de grandes roses</t>
  </si>
  <si>
    <t>Bouquet de tulipes</t>
  </si>
  <si>
    <t>Bouquet de Narcisses</t>
  </si>
  <si>
    <t xml:space="preserve">Mini oeillet </t>
  </si>
  <si>
    <t>Bouquet de Lys</t>
  </si>
  <si>
    <t>Bouquet de Glaïeuls</t>
  </si>
  <si>
    <t>Bouquet d'arum</t>
  </si>
  <si>
    <t>Bouquet de pivoines</t>
  </si>
  <si>
    <t>Bouquet de Lisianthus</t>
  </si>
  <si>
    <t>Bouquet Bulle</t>
  </si>
  <si>
    <t>Mascara Volume</t>
  </si>
  <si>
    <t>Ombre à paupières</t>
  </si>
  <si>
    <t>Nuggets de poulet</t>
  </si>
  <si>
    <t xml:space="preserve"> Croissant pur beurre</t>
  </si>
  <si>
    <t xml:space="preserve"> Pain au chocolat pur beurre (21%)</t>
  </si>
  <si>
    <t>Père Noël chocolat au lait</t>
  </si>
  <si>
    <t>Tortellini/Gnocchi</t>
  </si>
  <si>
    <t>Assortiment de pains d'épices</t>
  </si>
  <si>
    <t>Gâteau aux amandes</t>
  </si>
  <si>
    <t>Lave glace antigel</t>
  </si>
  <si>
    <t>Confiserie gél.fourrée aux fruits</t>
  </si>
  <si>
    <t>Levure boulangère</t>
  </si>
  <si>
    <t>SEL D EPANDAGE</t>
  </si>
  <si>
    <t>Blocs WC 2en1</t>
  </si>
  <si>
    <t>Mâcon Villages 2015 AOP</t>
  </si>
  <si>
    <t>XXL Essuie-tout 2 plis x8 rouleaux</t>
  </si>
  <si>
    <t>Mouchoirs 4 plis</t>
  </si>
  <si>
    <t>Yaourt à la grecque lit fraise</t>
  </si>
  <si>
    <t>Yaourt à la grecque nature</t>
  </si>
  <si>
    <t xml:space="preserve">XXL Lingettes multi usages </t>
  </si>
  <si>
    <t>Pur jus multifruits</t>
  </si>
  <si>
    <t>Assortiment de mini barres</t>
  </si>
  <si>
    <t>Bonbons aux plantes sans sucre</t>
  </si>
  <si>
    <t>Bâtonnets filet de poulet asiatique</t>
  </si>
  <si>
    <t>Assortiment d'épices</t>
  </si>
  <si>
    <t>Pommes Duchesse</t>
  </si>
  <si>
    <t>Thé bio commerce EQ</t>
  </si>
  <si>
    <t>Bouchée massepain amande et pistach</t>
  </si>
  <si>
    <t>Sauces froides assorties</t>
  </si>
  <si>
    <t>Lait solaire LSF 30</t>
  </si>
  <si>
    <t>Gratin dauphinois à l'emmental</t>
  </si>
  <si>
    <t>Gratin de pommes de terre &amp; brocoli</t>
  </si>
  <si>
    <t>Préparation pour fondant chocolat</t>
  </si>
  <si>
    <t>Prép. pour moelleux SK2 435g</t>
  </si>
  <si>
    <t>Pur jus de pomme</t>
  </si>
  <si>
    <t>Adoucissant concentré</t>
  </si>
  <si>
    <t>Goûter Gourmand</t>
  </si>
  <si>
    <t>Aiguillettes de poulet panées</t>
  </si>
  <si>
    <t>Mini filet de poulet pané</t>
  </si>
  <si>
    <t>XXL Pistaches grillées/salées</t>
  </si>
  <si>
    <t>XXL Cacahuètes enrobées assorties</t>
  </si>
  <si>
    <t>Verrines dessert</t>
  </si>
  <si>
    <t>Nettoyant WC avec javel</t>
  </si>
  <si>
    <t>Flips géants</t>
  </si>
  <si>
    <t>Antipasti grecs (PNE 650g)</t>
  </si>
  <si>
    <t>Yaourts brassés aux fruits mixés</t>
  </si>
  <si>
    <t>Yaourt brassé 3.5%</t>
  </si>
  <si>
    <t xml:space="preserve">Mousse à la liégeoise choc/vanille </t>
  </si>
  <si>
    <t>Café grains UTZ XXL</t>
  </si>
  <si>
    <t>Eau de toilette for Men X-Bolt [GB]</t>
  </si>
  <si>
    <t xml:space="preserve">Saumon fumé salé à la main XXL </t>
  </si>
  <si>
    <t>Feuilletés aux escargots x16</t>
  </si>
  <si>
    <t>Asia cup</t>
  </si>
  <si>
    <t>Jus d'orange frais sans pulpe 100%</t>
  </si>
  <si>
    <t>Eau de parfum Diamonds</t>
  </si>
  <si>
    <t>Thon à l'huile d'olive (PNE 280g)</t>
  </si>
  <si>
    <t xml:space="preserve">Sac poubelle poignée 30l </t>
  </si>
  <si>
    <t>Emince de filet de poulet</t>
  </si>
  <si>
    <t>Pâtes Arcobaleno</t>
  </si>
  <si>
    <t>Sauvignon Blanc Pays d'OC IGP</t>
  </si>
  <si>
    <t xml:space="preserve">Glace à l'américaine 4 sortes  </t>
  </si>
  <si>
    <t>Lingettes anti-décoloration</t>
  </si>
  <si>
    <t>Lait bio 1/2 écrémé bouteille</t>
  </si>
  <si>
    <t>Magic Ohh...</t>
  </si>
  <si>
    <t>Nettoyant lave-linge liquide</t>
  </si>
  <si>
    <t>Café en dosettes Normal XXL</t>
  </si>
  <si>
    <t>Thon SANS DCP au naturel PNE 150g</t>
  </si>
  <si>
    <t>Croissants fourrés choco-noisette</t>
  </si>
  <si>
    <t>XXL Spaghetti</t>
  </si>
  <si>
    <t>Assortiment de harengs marinés</t>
  </si>
  <si>
    <t>Cônes coco/caramel beurre salé</t>
  </si>
  <si>
    <t>Eau de source mont. bouchon sport</t>
  </si>
  <si>
    <t>Bretzel</t>
  </si>
  <si>
    <t>Biscuits cuillers</t>
  </si>
  <si>
    <t>NAPPE 150 X 280 160 X 220 CM MERADI</t>
  </si>
  <si>
    <t>Mix de bonbons halloween</t>
  </si>
  <si>
    <t>Soin visage pour homme</t>
  </si>
  <si>
    <t>Crème dépilatoire</t>
  </si>
  <si>
    <t>Glace saveur fraise</t>
  </si>
  <si>
    <t>Glace à l'eau à la poire</t>
  </si>
  <si>
    <t>Bac crème glacée choco/café/caramel</t>
  </si>
  <si>
    <t>Pancakes</t>
  </si>
  <si>
    <t>Filets de colin d'Alaska panés</t>
  </si>
  <si>
    <t>Dos de cabillaud x3, (PNE : 337g)</t>
  </si>
  <si>
    <t>Bergerac AOP blanc 2016</t>
  </si>
  <si>
    <t>Chewing-gum dragées</t>
  </si>
  <si>
    <t>Chewing-gum mini sticks</t>
  </si>
  <si>
    <t>Chewing-gum dragées coeur liquide</t>
  </si>
  <si>
    <t>Tab. lave-vais. All in 1 sans phos.</t>
  </si>
  <si>
    <t>Crackers emmental/mini pizza</t>
  </si>
  <si>
    <t>Crackers emmen.-mini pizza-multimix</t>
  </si>
  <si>
    <t>Jus de fruits assortis pomme/orange</t>
  </si>
  <si>
    <t>Jambon cuit doré</t>
  </si>
  <si>
    <t>Barre caramel</t>
  </si>
  <si>
    <t>Lessive liq. sav. Marseille 40 lav.</t>
  </si>
  <si>
    <t>Lessive liquide 40 lavages</t>
  </si>
  <si>
    <t>Brosse à dent Performance</t>
  </si>
  <si>
    <t>Papier aluminium 30m x 30cm [12µ]</t>
  </si>
  <si>
    <t>Gaufrettes framboise/choco</t>
  </si>
  <si>
    <t>Papier toilette</t>
  </si>
  <si>
    <t>Petite Orchidée 2 tiges en vase</t>
  </si>
  <si>
    <t>Palmiers</t>
  </si>
  <si>
    <t>Madeleines coquilles</t>
  </si>
  <si>
    <t xml:space="preserve">Yaourt à la grecque </t>
  </si>
  <si>
    <t>Parfum d'ambiance</t>
  </si>
  <si>
    <t>Tartufo/Capuccio</t>
  </si>
  <si>
    <t>Tiramisu spéculoos / fraise</t>
  </si>
  <si>
    <t>Coeurs d'artichauts PNE 225g</t>
  </si>
  <si>
    <t>Funny Fruit Drinks 14 x 0.2 l</t>
  </si>
  <si>
    <t>Café chicorée au lait Bon matin</t>
  </si>
  <si>
    <t>Bouquet de Chrysanthèmes</t>
  </si>
  <si>
    <t>Ketchup</t>
  </si>
  <si>
    <t>Biscuits farmer cookies</t>
  </si>
  <si>
    <t>Nectar abricot/mangue</t>
  </si>
  <si>
    <t>Ratatouille cuisinée</t>
  </si>
  <si>
    <t>Poêlée de pâtes à l'italienne</t>
  </si>
  <si>
    <t>Bouquet de Lys Oriental</t>
  </si>
  <si>
    <t>Graines de légumes premium</t>
  </si>
  <si>
    <t>Graines de légumes en ruban/disque</t>
  </si>
  <si>
    <t>Graines de fleurs en ruban/disque</t>
  </si>
  <si>
    <t>Grand sachet graines fleurs(Hyb.F1)</t>
  </si>
  <si>
    <t>Semences d'herbes aromatiques</t>
  </si>
  <si>
    <t>Graines d'herbes aromatiques disque</t>
  </si>
  <si>
    <t>Dés de poulet</t>
  </si>
  <si>
    <t>Banane vrac</t>
  </si>
  <si>
    <t xml:space="preserve">Banane sachet </t>
  </si>
  <si>
    <t xml:space="preserve">Banane frécinette </t>
  </si>
  <si>
    <t>Pomelo Corse</t>
  </si>
  <si>
    <t>Pomelo</t>
  </si>
  <si>
    <t>Pamplemousse géant</t>
  </si>
  <si>
    <t>Citron vert</t>
  </si>
  <si>
    <t>Mandarine Orri</t>
  </si>
  <si>
    <t>Mandarine caissette 2kg</t>
  </si>
  <si>
    <t>Mandarine</t>
  </si>
  <si>
    <t>Clémentine</t>
  </si>
  <si>
    <t>Clémentine caissette</t>
  </si>
  <si>
    <t>Clémentine Corse vrac</t>
  </si>
  <si>
    <t>Clémentine Corse barquette</t>
  </si>
  <si>
    <t>Orange litée</t>
  </si>
  <si>
    <t>Orange corse vrac</t>
  </si>
  <si>
    <t>Orange Corse 1kg</t>
  </si>
  <si>
    <t>Oranges à dessert 2 kg</t>
  </si>
  <si>
    <t>Orange à dessert XXL</t>
  </si>
  <si>
    <t>Orange à jus 1.5 kg</t>
  </si>
  <si>
    <t>Orange à Jus 2 kg</t>
  </si>
  <si>
    <t>Orange maltaise 2Kg</t>
  </si>
  <si>
    <t>Orange à jus 3kg</t>
  </si>
  <si>
    <t>Citron 500g</t>
  </si>
  <si>
    <t>Citron 1kg</t>
  </si>
  <si>
    <t>Pomme Golden vrac</t>
  </si>
  <si>
    <t>Pomme granny 1 Kg</t>
  </si>
  <si>
    <t>Pomme Golden 2 Kg</t>
  </si>
  <si>
    <t>Pomme Golden du Limousin</t>
  </si>
  <si>
    <t xml:space="preserve">Pomme Pink Lady ® </t>
  </si>
  <si>
    <t>Pomme bicolore 1.5 kg</t>
  </si>
  <si>
    <t xml:space="preserve">Pomme Choupette ® </t>
  </si>
  <si>
    <t>Pomme Bicolore Vrac</t>
  </si>
  <si>
    <t>Pomme Choupette 4 fruits</t>
  </si>
  <si>
    <t>Pommes bicolores  2 kg</t>
  </si>
  <si>
    <t>Pomme bicolore 3 Kg</t>
  </si>
  <si>
    <t>Poire Vrac</t>
  </si>
  <si>
    <t>Poire 1 Kg</t>
  </si>
  <si>
    <t>Pomme à cuire</t>
  </si>
  <si>
    <t>Abricot vrac</t>
  </si>
  <si>
    <t>Abricot mûr à point</t>
  </si>
  <si>
    <t>Abricot 500 g</t>
  </si>
  <si>
    <t>Abricots 1 kg</t>
  </si>
  <si>
    <t>Abricot caissette</t>
  </si>
  <si>
    <t>Cerise vrac</t>
  </si>
  <si>
    <t>Cerise 500g</t>
  </si>
  <si>
    <t>Mirabelle 500 g</t>
  </si>
  <si>
    <t>Nectarine 500 g</t>
  </si>
  <si>
    <t>Pêche vrac</t>
  </si>
  <si>
    <t>Pêche 500g</t>
  </si>
  <si>
    <t>Pêche 1 kg</t>
  </si>
  <si>
    <t>Prune rouge</t>
  </si>
  <si>
    <t>Reine Claude barquette 500g</t>
  </si>
  <si>
    <t xml:space="preserve">Pêche plate </t>
  </si>
  <si>
    <t>Pêche plate 500g</t>
  </si>
  <si>
    <t>Nectarine plate 500g</t>
  </si>
  <si>
    <t>Raisin noir sans pépin</t>
  </si>
  <si>
    <t>Raisin Noir vrac</t>
  </si>
  <si>
    <t>Raisin noir Muscat barquette 500g</t>
  </si>
  <si>
    <t>Raisin Rosé sans Pépin</t>
  </si>
  <si>
    <t>Raisin rosé vrac</t>
  </si>
  <si>
    <t>Raisin sans pépin 500g</t>
  </si>
  <si>
    <t>Raisin blanc vrac</t>
  </si>
  <si>
    <t>Baby Pastèque</t>
  </si>
  <si>
    <t>Melon Charentais</t>
  </si>
  <si>
    <t>Melon caissette</t>
  </si>
  <si>
    <t>Melon Galia</t>
  </si>
  <si>
    <t>Pastèque sans pépin</t>
  </si>
  <si>
    <t>Melon vert</t>
  </si>
  <si>
    <t>Ananas Victoria</t>
  </si>
  <si>
    <t>Ananas</t>
  </si>
  <si>
    <t>Avocat</t>
  </si>
  <si>
    <t>Avocat Filet 700g</t>
  </si>
  <si>
    <t>Avocat mûr à point 2 fruits</t>
  </si>
  <si>
    <t>Avocat 3 fruits</t>
  </si>
  <si>
    <t>Figue 500g</t>
  </si>
  <si>
    <t>Grenade</t>
  </si>
  <si>
    <t>Kaki</t>
  </si>
  <si>
    <t>Kaki 1 kg</t>
  </si>
  <si>
    <t>Kiwi</t>
  </si>
  <si>
    <t>Kiwi 1 kg</t>
  </si>
  <si>
    <t>Kiwi 1 kg + 250g offert</t>
  </si>
  <si>
    <t xml:space="preserve">Kiwi Jaune </t>
  </si>
  <si>
    <t>Noix de coco</t>
  </si>
  <si>
    <t>Litchi vrac</t>
  </si>
  <si>
    <t>Mangue</t>
  </si>
  <si>
    <t>Mangue mûre à point</t>
  </si>
  <si>
    <t>Fruit de la passion 3 fruits</t>
  </si>
  <si>
    <t>Patate douce</t>
  </si>
  <si>
    <t>Topinambour vrac</t>
  </si>
  <si>
    <t>Mûre</t>
  </si>
  <si>
    <t>Fraise 250g</t>
  </si>
  <si>
    <t>Fraise 500 g ES</t>
  </si>
  <si>
    <t>Fraise 500 g FR</t>
  </si>
  <si>
    <t>Fraise 250 g</t>
  </si>
  <si>
    <t>Myrtille</t>
  </si>
  <si>
    <t>Myrtilles 250g</t>
  </si>
  <si>
    <t>Framboise 125g</t>
  </si>
  <si>
    <t>Chataignes vrac</t>
  </si>
  <si>
    <t>Noix sèches</t>
  </si>
  <si>
    <t>Noix décortiquée</t>
  </si>
  <si>
    <t>Banane bio</t>
  </si>
  <si>
    <t>Banane bio fairtrade</t>
  </si>
  <si>
    <t>Mandarine bio 500g</t>
  </si>
  <si>
    <t>Clémentine corse bio</t>
  </si>
  <si>
    <t>Orange bio 750g</t>
  </si>
  <si>
    <t>Orange bio</t>
  </si>
  <si>
    <t>Citron bio</t>
  </si>
  <si>
    <t xml:space="preserve">Pomelos bio </t>
  </si>
  <si>
    <t>Pomme golden bio</t>
  </si>
  <si>
    <t>Pomme bio rouge</t>
  </si>
  <si>
    <t>Pomme bio</t>
  </si>
  <si>
    <t>Poire bio</t>
  </si>
  <si>
    <t>Mangue bio</t>
  </si>
  <si>
    <t>Avocat bio 3 fruits</t>
  </si>
  <si>
    <t>Avocat bio 2 fruits</t>
  </si>
  <si>
    <t>Kiwi bio</t>
  </si>
  <si>
    <t>Batavia</t>
  </si>
  <si>
    <t>Endive 5 fruits</t>
  </si>
  <si>
    <t>Endive 4 fruits</t>
  </si>
  <si>
    <t>Jeune Pousse d'endive</t>
  </si>
  <si>
    <t>Barbucine</t>
  </si>
  <si>
    <t>Endive rouge</t>
  </si>
  <si>
    <t>Salade iceberg</t>
  </si>
  <si>
    <t>Mâche 150 g</t>
  </si>
  <si>
    <t>Laitue</t>
  </si>
  <si>
    <t xml:space="preserve">Romaine </t>
  </si>
  <si>
    <t>Roquette</t>
  </si>
  <si>
    <t>Sucrine</t>
  </si>
  <si>
    <t>Jeunes Pousses</t>
  </si>
  <si>
    <t>Salade mix</t>
  </si>
  <si>
    <t>Aubergine vrac</t>
  </si>
  <si>
    <t>Haricots verts 500g</t>
  </si>
  <si>
    <t xml:space="preserve">Haricots verts </t>
  </si>
  <si>
    <t>Concombre</t>
  </si>
  <si>
    <t>Oignons Botte</t>
  </si>
  <si>
    <t>Blanc de poireau 500g</t>
  </si>
  <si>
    <t>Poireaux Botte</t>
  </si>
  <si>
    <t>Radis</t>
  </si>
  <si>
    <t>Radis roses équeutés</t>
  </si>
  <si>
    <t>Légumes à pot au feu</t>
  </si>
  <si>
    <t>Epinard 400g</t>
  </si>
  <si>
    <t>Haricot coco plat</t>
  </si>
  <si>
    <t>Légumes à pot au feu 1 kg</t>
  </si>
  <si>
    <t>Courgette vrac</t>
  </si>
  <si>
    <t>Courgette ronde</t>
  </si>
  <si>
    <t>Pois gourmand sachet</t>
  </si>
  <si>
    <t>Tomate Cerise Grappe 200g</t>
  </si>
  <si>
    <t>Tomate cocktail 500 g</t>
  </si>
  <si>
    <t>Tomate Cerise allongée</t>
  </si>
  <si>
    <t>Tomate cerise 1 kg</t>
  </si>
  <si>
    <t>Tomate cerise vrac</t>
  </si>
  <si>
    <t>Tomate cerise 250g</t>
  </si>
  <si>
    <t>Tomate cerise mix 350g</t>
  </si>
  <si>
    <t>Tomate cerise française</t>
  </si>
  <si>
    <t>Tomate à farcir</t>
  </si>
  <si>
    <t>Tomate ronde 1kg import</t>
  </si>
  <si>
    <t>Tomate grappe</t>
  </si>
  <si>
    <t xml:space="preserve">Tomate ronde grappe </t>
  </si>
  <si>
    <t>Tomate d'Antan 750 g</t>
  </si>
  <si>
    <t>Poivron vert</t>
  </si>
  <si>
    <t>Poivron Mix 500g</t>
  </si>
  <si>
    <t>Poivron rouge vrac</t>
  </si>
  <si>
    <t>Artichaut</t>
  </si>
  <si>
    <t>Fenouil</t>
  </si>
  <si>
    <t>Courge d'Halloween</t>
  </si>
  <si>
    <t>Gingembre vrac</t>
  </si>
  <si>
    <t>Ail tresse 1 Kg</t>
  </si>
  <si>
    <t>Ail 250 g</t>
  </si>
  <si>
    <t>Ail 500g</t>
  </si>
  <si>
    <t>Céleri rave</t>
  </si>
  <si>
    <t>Ail rosé 3 têtes</t>
  </si>
  <si>
    <t>Courge en tranche</t>
  </si>
  <si>
    <t>Navet 1 Kg</t>
  </si>
  <si>
    <t>Jeune Pousse Carotte</t>
  </si>
  <si>
    <t>Carotte vrac</t>
  </si>
  <si>
    <t>Carotte</t>
  </si>
  <si>
    <t>Carottes 1 kg</t>
  </si>
  <si>
    <t>Carottes 2 Kg</t>
  </si>
  <si>
    <t>Carotte 2kg + 1kg gratuit</t>
  </si>
  <si>
    <t>Assortiment de Mini Légumes</t>
  </si>
  <si>
    <t>Carotte Fane</t>
  </si>
  <si>
    <t>Panais 500g</t>
  </si>
  <si>
    <t>Radis noir</t>
  </si>
  <si>
    <t>Echalote Traditionnelle</t>
  </si>
  <si>
    <t>Echalote Traditionnelle 500g</t>
  </si>
  <si>
    <t>Butternut</t>
  </si>
  <si>
    <t>Potimarron</t>
  </si>
  <si>
    <t>Céleri branche</t>
  </si>
  <si>
    <t>Maïs frais</t>
  </si>
  <si>
    <t>Chou Fleur</t>
  </si>
  <si>
    <t>Brocoli</t>
  </si>
  <si>
    <t>Chou chinois</t>
  </si>
  <si>
    <t>Chou vert</t>
  </si>
  <si>
    <t>Chou de Bruxelles</t>
  </si>
  <si>
    <t>Chou blanc</t>
  </si>
  <si>
    <t>Chou dou</t>
  </si>
  <si>
    <t>Champignon blanc 250 g</t>
  </si>
  <si>
    <t>Champignon blanc 500 g</t>
  </si>
  <si>
    <t>Champignon à farcir</t>
  </si>
  <si>
    <t>Girolles 200g</t>
  </si>
  <si>
    <t>Persil botte</t>
  </si>
  <si>
    <t>Herbes Aromatiques</t>
  </si>
  <si>
    <t>Bouquet Garni</t>
  </si>
  <si>
    <t xml:space="preserve">Oignon doux </t>
  </si>
  <si>
    <t>Pomme de terre primeur 1 kg</t>
  </si>
  <si>
    <t>Pomme de terre primeur 1kg</t>
  </si>
  <si>
    <t>Pomme de terre 1kg Vitelotte</t>
  </si>
  <si>
    <t>Pomme de terre Amandine 1.5kg</t>
  </si>
  <si>
    <t>Pomme de terre à chair ferme 2.5kg</t>
  </si>
  <si>
    <t>Pomme de terre 2.5kg+500g XXL</t>
  </si>
  <si>
    <t>Pomme de terre Belle de Fontenay</t>
  </si>
  <si>
    <t>Pomme de terre four 2 Kg</t>
  </si>
  <si>
    <t>Pomme de terre 5 Kg</t>
  </si>
  <si>
    <t>Pomme de terre rouge 2.5kg</t>
  </si>
  <si>
    <t>Pomme de terre frites 2 kg</t>
  </si>
  <si>
    <t>Pomme de terre Minute 750g</t>
  </si>
  <si>
    <t>Oignon 1 Kg + 250g gratuit</t>
  </si>
  <si>
    <t>Oignon Saucier</t>
  </si>
  <si>
    <t>Oignon jaune 1 Kg</t>
  </si>
  <si>
    <t>Oignon rouge 4 têtes</t>
  </si>
  <si>
    <t>Oignon rosé 1 Kg</t>
  </si>
  <si>
    <t>Oignon Rosé de Roscoff</t>
  </si>
  <si>
    <t>Echalion 500g</t>
  </si>
  <si>
    <t>Pomme de terre Ratte 1kg</t>
  </si>
  <si>
    <t>Salade Iceberg Bio</t>
  </si>
  <si>
    <t>Mâche bio</t>
  </si>
  <si>
    <t>Roquette bio</t>
  </si>
  <si>
    <t>Aubergine bio</t>
  </si>
  <si>
    <t>Concombre Bio</t>
  </si>
  <si>
    <t>Poireau bio</t>
  </si>
  <si>
    <t>Courgette Bio</t>
  </si>
  <si>
    <t>Courgette bio 750 g</t>
  </si>
  <si>
    <t xml:space="preserve">Tomate cerise bio </t>
  </si>
  <si>
    <t>Tomate grappe bio</t>
  </si>
  <si>
    <t>Poivron mix bio</t>
  </si>
  <si>
    <t>Carotte Bio 1 kg</t>
  </si>
  <si>
    <t>Ail bio 250g</t>
  </si>
  <si>
    <t>Gingembre bio</t>
  </si>
  <si>
    <t>Echalote bio 250g</t>
  </si>
  <si>
    <t>Chou fleur bio</t>
  </si>
  <si>
    <t>Plantes aromatiques bio</t>
  </si>
  <si>
    <t xml:space="preserve">Oignon rouge bio </t>
  </si>
  <si>
    <t>Pomme de terre bio Primeur 1kg</t>
  </si>
  <si>
    <t xml:space="preserve">Pomme de terre bio </t>
  </si>
  <si>
    <t>Oignon jaune bio 500g</t>
  </si>
  <si>
    <t>Galettes de pomme de terre rapée</t>
  </si>
  <si>
    <t>Huile de noisette</t>
  </si>
  <si>
    <t>Huile de pistache</t>
  </si>
  <si>
    <t>Cornichons très fins PNE : 360g</t>
  </si>
  <si>
    <t>Cocktail de fruits PNE 500g</t>
  </si>
  <si>
    <t>Sacs congélation zipp</t>
  </si>
  <si>
    <t>Bulbes de tulipes</t>
  </si>
  <si>
    <t>Bouquet Tendresse</t>
  </si>
  <si>
    <t>Bouquet Noël</t>
  </si>
  <si>
    <t>Plats cuisinés asiatiques</t>
  </si>
  <si>
    <t xml:space="preserve"> Torsade aux pépites de chocolat</t>
  </si>
  <si>
    <t xml:space="preserve"> Mini-Viennoiseries</t>
  </si>
  <si>
    <t xml:space="preserve"> Brioche nature pur beurre</t>
  </si>
  <si>
    <t>Lavette/chiffon microfibre</t>
  </si>
  <si>
    <t>Confiserie gélifiée "Dent Dracula"</t>
  </si>
  <si>
    <t>Vodka Premium 40% Vol.</t>
  </si>
  <si>
    <t>Petits pois extra fins</t>
  </si>
  <si>
    <t>Macarons de noix de coco</t>
  </si>
  <si>
    <t>Jambon cru en tranches au poivre</t>
  </si>
  <si>
    <t>Tablette WC splash 2 en 1</t>
  </si>
  <si>
    <t>Désodorisant lave-vaiselle</t>
  </si>
  <si>
    <t>Margarine oméga 3 et 6</t>
  </si>
  <si>
    <t xml:space="preserve">Tonic </t>
  </si>
  <si>
    <t>Pain d'épices aux fruits</t>
  </si>
  <si>
    <t>Baba au Rhum</t>
  </si>
  <si>
    <t>Pâtes fraîches farcies assortiment</t>
  </si>
  <si>
    <t>Limonade agrumes light</t>
  </si>
  <si>
    <t>Chanterelles / Cèpes / Champignons</t>
  </si>
  <si>
    <t xml:space="preserve">Vodka 37.5% Vol. </t>
  </si>
  <si>
    <t>Chips de légumes</t>
  </si>
  <si>
    <t>Plateau noix &amp; fruits enrobés choco</t>
  </si>
  <si>
    <t>Carpaccio de saumon et parmesan</t>
  </si>
  <si>
    <t xml:space="preserve">Mini feuilletés au fromage  </t>
  </si>
  <si>
    <t>Petits pains de saucisses</t>
  </si>
  <si>
    <t>Petits friands</t>
  </si>
  <si>
    <t xml:space="preserve">Compote </t>
  </si>
  <si>
    <t>Sauce tomate, assortiments</t>
  </si>
  <si>
    <t>Fruits surgelés XXL</t>
  </si>
  <si>
    <t xml:space="preserve">Guimauve Halloween </t>
  </si>
  <si>
    <t>Bûche glacée aux trois chocolats</t>
  </si>
  <si>
    <t>Bûche vanille - caramel</t>
  </si>
  <si>
    <t>Nuggets de poulet tomates/mozza.</t>
  </si>
  <si>
    <t>Sacs poubelle 25l x 30 -14µ</t>
  </si>
  <si>
    <t>Cônes premium superb</t>
  </si>
  <si>
    <t>Westernbox</t>
  </si>
  <si>
    <t>Mini Mix Glaces</t>
  </si>
  <si>
    <t>Papier toilette, 4 épaisseurs</t>
  </si>
  <si>
    <t>Plante fleurie tricolore</t>
  </si>
  <si>
    <t>Mini-Fondue</t>
  </si>
  <si>
    <t>Frites Steakhouse</t>
  </si>
  <si>
    <t>Ass. jus orange/multifruits pulpe</t>
  </si>
  <si>
    <t>Saumon fumé de Norvège bio</t>
  </si>
  <si>
    <t xml:space="preserve">Premium Profiteroles </t>
  </si>
  <si>
    <t>Chocolat au lait raisins-noisettes</t>
  </si>
  <si>
    <t xml:space="preserve">Liqueur de citron de Sorrento 30% </t>
  </si>
  <si>
    <t>Câpres (PNE 180g)</t>
  </si>
  <si>
    <t>Shampooing anti-pelliculaire</t>
  </si>
  <si>
    <t>Fondue aux trois fromages</t>
  </si>
  <si>
    <t>Pyjama homme</t>
  </si>
  <si>
    <t>Compote de pomme en gourde</t>
  </si>
  <si>
    <t>Gants jetables</t>
  </si>
  <si>
    <t>Chocolat noir noisettes/amandes</t>
  </si>
  <si>
    <t>Filets de saumon x 3</t>
  </si>
  <si>
    <t>Pâtes cuisson rapide</t>
  </si>
  <si>
    <t xml:space="preserve">Snacks </t>
  </si>
  <si>
    <t>Bougie parfumée</t>
  </si>
  <si>
    <t>Tortilla</t>
  </si>
  <si>
    <t>Côtes du Rhône BIO AOP</t>
  </si>
  <si>
    <t>Lingettes humides pour vitres</t>
  </si>
  <si>
    <t xml:space="preserve">Couronne de crevettes avec sauce </t>
  </si>
  <si>
    <t>Cocktail de fruits au sirop léger</t>
  </si>
  <si>
    <t>Pastilles de javel 40-48</t>
  </si>
  <si>
    <t>Disque à démaquiller ovale</t>
  </si>
  <si>
    <t>Chocolat lait noisettes / raisins</t>
  </si>
  <si>
    <t>Tomates séchées tendres</t>
  </si>
  <si>
    <t>Ketchup Hot/Light</t>
  </si>
  <si>
    <t>Papier toilette 2 plis bleu parfumé</t>
  </si>
  <si>
    <t>Sticks dentaires pour chien</t>
  </si>
  <si>
    <t>Papier toilette humidifié</t>
  </si>
  <si>
    <t>Homme gel douche shampoing 2 en 1</t>
  </si>
  <si>
    <t>Barres glacées</t>
  </si>
  <si>
    <t>Tête avec glaçage au chocolat lait</t>
  </si>
  <si>
    <t>Bruyère calluna trois couleurs</t>
  </si>
  <si>
    <t>Papier toilette enfants</t>
  </si>
  <si>
    <t>Yaourts crémeux aux fruits</t>
  </si>
  <si>
    <t>Yaourt nature 0%</t>
  </si>
  <si>
    <t>Flan caramel</t>
  </si>
  <si>
    <t>Lingettes microfibres</t>
  </si>
  <si>
    <t>Bulbes de Narcisse</t>
  </si>
  <si>
    <t>Bifidus nature</t>
  </si>
  <si>
    <t>AriZona Iced Tea SK3</t>
  </si>
  <si>
    <t>Dessert à partager</t>
  </si>
  <si>
    <t>Yaourt aux fruits 0%</t>
  </si>
  <si>
    <t>Bifidus vanille</t>
  </si>
  <si>
    <t>Rouleaux de printemps</t>
  </si>
  <si>
    <t>Cônes pistache/3 chocolats</t>
  </si>
  <si>
    <t>Cuisses de poulet XXL.</t>
  </si>
  <si>
    <t xml:space="preserve">Fruits surgelés </t>
  </si>
  <si>
    <t xml:space="preserve"> Pain de campagne</t>
  </si>
  <si>
    <t xml:space="preserve"> Pain spécial graines céréales</t>
  </si>
  <si>
    <t xml:space="preserve"> Petit pain graines et céréales</t>
  </si>
  <si>
    <t>Iles Flottantes</t>
  </si>
  <si>
    <t>Culottes d'incontinence medium</t>
  </si>
  <si>
    <t>Chips ondulées salées (Multipack)</t>
  </si>
  <si>
    <t>Thon au naturel PNE 2x150g</t>
  </si>
  <si>
    <t>Queues crevett. crues 48/51 PNE720g</t>
  </si>
  <si>
    <t>Shampooing professionnel kératine</t>
  </si>
  <si>
    <t>Après-shampooing prof. kératine</t>
  </si>
  <si>
    <t>Laque professionnelle kératine</t>
  </si>
  <si>
    <t>Crème pour les mains hiver</t>
  </si>
  <si>
    <t>Crème pour les pieds hiver</t>
  </si>
  <si>
    <t>Crème pour le visage</t>
  </si>
  <si>
    <t>Crème pour le corps</t>
  </si>
  <si>
    <t>Marmite Halloween</t>
  </si>
  <si>
    <t>Petit Conifère enneigé en Céramique</t>
  </si>
  <si>
    <t>Kalanchoé en pot de Noël</t>
  </si>
  <si>
    <t>Thon à huile de tournesol PNE 650g</t>
  </si>
  <si>
    <t>Gouda hollandais vieux</t>
  </si>
  <si>
    <t>Assortiment de Pesto</t>
  </si>
  <si>
    <t>Mélange de cacahuètes</t>
  </si>
  <si>
    <t>Croissants fourrés noisette</t>
  </si>
  <si>
    <t>Alsace Lait Fromage blanc rhubarbe</t>
  </si>
  <si>
    <t>Alsace Lait Fromage blanc myrtille</t>
  </si>
  <si>
    <t>Gratin de macaroni jambon - fromage</t>
  </si>
  <si>
    <t>Pâtée pour chat gourmande</t>
  </si>
  <si>
    <t>Farmer Cookies Choc/Cranberry/Noise</t>
  </si>
  <si>
    <t>Snacks mexicains</t>
  </si>
  <si>
    <t>Alsace Lait From.bl. Bibelesk.framb</t>
  </si>
  <si>
    <t>Fromage blanc pomme cannelle</t>
  </si>
  <si>
    <t>Pain de seigle Bio assorti</t>
  </si>
  <si>
    <t xml:space="preserve">Tortelloni/Gnocchi XXL </t>
  </si>
  <si>
    <t>Boîte de mouchoirs</t>
  </si>
  <si>
    <t>Film étirable PVC 2 en 1</t>
  </si>
  <si>
    <t>Sucettes / bonbons à la crème</t>
  </si>
  <si>
    <t>Pesto frais</t>
  </si>
  <si>
    <t>Chips à l'espagnole</t>
  </si>
  <si>
    <t>Confiserie gélifiée animaux</t>
  </si>
  <si>
    <t>Stollen p. d'amande et raisins secs</t>
  </si>
  <si>
    <t>Café doux 2x250g</t>
  </si>
  <si>
    <t>Boisson aux fruits</t>
  </si>
  <si>
    <t>Bâtonnets panés XXL</t>
  </si>
  <si>
    <t>Barres céréales</t>
  </si>
  <si>
    <t>Préparation pour chocolat chaud</t>
  </si>
  <si>
    <t>Cola boîte 6x0,33l-DS</t>
  </si>
  <si>
    <t>Biscuits apéritifs</t>
  </si>
  <si>
    <t>12 Mini noix de st-Jacques MSC</t>
  </si>
  <si>
    <t>Torroncini 12x pistache 12x amandes</t>
  </si>
  <si>
    <t>Tuiles bacon, épicé, barbecue</t>
  </si>
  <si>
    <t>Bouquet Champêtre</t>
  </si>
  <si>
    <t>Bouquet fleuriste</t>
  </si>
  <si>
    <t>Capsules de café Classico</t>
  </si>
  <si>
    <t>Capsules de café Ristretto</t>
  </si>
  <si>
    <t>Prosciutto di Parma</t>
  </si>
  <si>
    <t>CC Huile moteur SAE 10W/40API SL/CF</t>
  </si>
  <si>
    <t>Pizza mozza/4 fromage SK10</t>
  </si>
  <si>
    <t>Pizza au jambon cuite sur pierre</t>
  </si>
  <si>
    <t>Pizza Spéciale</t>
  </si>
  <si>
    <t>Pizza au thon</t>
  </si>
  <si>
    <t>Coton-tiges x300</t>
  </si>
  <si>
    <t>Bonbonnière "Fantasy-Mix"</t>
  </si>
  <si>
    <t>Escalopes de dinde XXL</t>
  </si>
  <si>
    <t>Yaourt sucré aromatisé 1,9%</t>
  </si>
  <si>
    <t>Bio Muesli BA</t>
  </si>
  <si>
    <t>Croissants fourrés à l'abricot</t>
  </si>
  <si>
    <t>Mélange d'épices</t>
  </si>
  <si>
    <t>Demi-poires au sirop léger PNE:460g</t>
  </si>
  <si>
    <t>Kit dentaire</t>
  </si>
  <si>
    <t>Noix de Saint-Jacques sans corail</t>
  </si>
  <si>
    <t>Huile d'olive vierge italienne</t>
  </si>
  <si>
    <t>Amandes grillées et salées VRAC</t>
  </si>
  <si>
    <t>Pistaches grillées et salées VRAC</t>
  </si>
  <si>
    <t>Pizza Bolognaise</t>
  </si>
  <si>
    <t>Jus asiatique</t>
  </si>
  <si>
    <t>XXL Bouillon viande, volaille, lég.</t>
  </si>
  <si>
    <t>Légumes vapeurs surgelés</t>
  </si>
  <si>
    <t>Salami Ventricina en tranches</t>
  </si>
  <si>
    <t>Jambon cuits italien en tranches</t>
  </si>
  <si>
    <t>Noix de cajou, grillées et épicées</t>
  </si>
  <si>
    <t xml:space="preserve">Bouchées chat sachet BA </t>
  </si>
  <si>
    <t>Moulin à sel gemme de l'Himalaya</t>
  </si>
  <si>
    <t>Couches mini Drylock</t>
  </si>
  <si>
    <t>Couches midi Drylock</t>
  </si>
  <si>
    <t>Couches maxi Drylock</t>
  </si>
  <si>
    <t>Couches junior Drylock</t>
  </si>
  <si>
    <t>Parmigiano Reggiano DOP</t>
  </si>
  <si>
    <t>Snacks dentaire / Bâtonnets à mach.</t>
  </si>
  <si>
    <t>Muffins chocolat au lait / noisette</t>
  </si>
  <si>
    <t>Cheescake façon dessert</t>
  </si>
  <si>
    <t>Sushi BA</t>
  </si>
  <si>
    <t>Bâtonnets premium 3 parfums</t>
  </si>
  <si>
    <t>Liquide vaisselle édition limitée</t>
  </si>
  <si>
    <t>Coeurs d'artichaut 8-12 pièces</t>
  </si>
  <si>
    <t>Démaquillant pour les yeux</t>
  </si>
  <si>
    <t>Orchidée en verre à Cognac</t>
  </si>
  <si>
    <t>Calluna Vulgaris teintée</t>
  </si>
  <si>
    <t>Kalanchoé avec figurine Nöel</t>
  </si>
  <si>
    <t>Rasoir 3 lames + 2 recharges</t>
  </si>
  <si>
    <t>Recharges rasoir 3 lames</t>
  </si>
  <si>
    <t>Lait de coco Asie light</t>
  </si>
  <si>
    <t>Mini shampooing repar&amp;care</t>
  </si>
  <si>
    <t>Mini gel douche &amp; Shamp. Sport Men</t>
  </si>
  <si>
    <t>Crème pour les mains mini</t>
  </si>
  <si>
    <t>Crème solaire + stick à lèvres</t>
  </si>
  <si>
    <t>Mini déodorant en spray extra sec</t>
  </si>
  <si>
    <t>Mini Deospray Men</t>
  </si>
  <si>
    <t>BB crème visage</t>
  </si>
  <si>
    <t>Eau de toilette homme N°1</t>
  </si>
  <si>
    <t>Mini dentifrice menthe fraîche</t>
  </si>
  <si>
    <t>Thé vert japonais</t>
  </si>
  <si>
    <t>Bâtonnets de cabillaud panés</t>
  </si>
  <si>
    <t>Syrah Pays d'Oc IGP rosé 2016</t>
  </si>
  <si>
    <t>Pinot Noir</t>
  </si>
  <si>
    <t>Ornithogalum</t>
  </si>
  <si>
    <t>Rouge à lèvres</t>
  </si>
  <si>
    <t>Brillant à lèvres</t>
  </si>
  <si>
    <t>Hellebore</t>
  </si>
  <si>
    <t>Chocolat lait amande/bisc. cacaoté</t>
  </si>
  <si>
    <t>Prosecco Vino Spumante DOP</t>
  </si>
  <si>
    <t>Esquimaux chocolat/vanille</t>
  </si>
  <si>
    <t>Kalanchoé en sac</t>
  </si>
  <si>
    <t>Mini gel main hydroalcoolique</t>
  </si>
  <si>
    <t>Liquide vaisselle écologique</t>
  </si>
  <si>
    <t>Sac cabas avec impressions</t>
  </si>
  <si>
    <t>Sac isotherme</t>
  </si>
  <si>
    <t>Truite fumée</t>
  </si>
  <si>
    <t>Cruspies</t>
  </si>
  <si>
    <t xml:space="preserve"> Focaccia chèvre</t>
  </si>
  <si>
    <t>Haricots blancs à la sauce tomate</t>
  </si>
  <si>
    <t>Elixir de balsamique de Modène IGP</t>
  </si>
  <si>
    <t>Sangria Bag-in-Box</t>
  </si>
  <si>
    <t>Lambrusco dell' Emilia IGP</t>
  </si>
  <si>
    <t>Patatas Bravas</t>
  </si>
  <si>
    <t>Sushi kit</t>
  </si>
  <si>
    <t>Mini Rosier</t>
  </si>
  <si>
    <t>Masque professionnel kératine</t>
  </si>
  <si>
    <t>Gel coiffant pour homme</t>
  </si>
  <si>
    <t>Gel cheveux homme</t>
  </si>
  <si>
    <t>Eau micellaire/lait démaquillant</t>
  </si>
  <si>
    <t>Assortiment Antipasti</t>
  </si>
  <si>
    <t>Chauffage soufflant</t>
  </si>
  <si>
    <t>Nettoyeur à ultrasons</t>
  </si>
  <si>
    <t>Ustensiles de cuisine avec boîte</t>
  </si>
  <si>
    <t>Casque de ski et de snowboard enfan</t>
  </si>
  <si>
    <t>Set de 3 lampes à LED sous meuble</t>
  </si>
  <si>
    <t xml:space="preserve">Ruban de réparation </t>
  </si>
  <si>
    <t>Herbes aromatiques méditeranéennes</t>
  </si>
  <si>
    <t>Lentilles vertes</t>
  </si>
  <si>
    <t xml:space="preserve">Clementoni Puzzle msg ou fenêtre </t>
  </si>
  <si>
    <t>Écouteurs intra-auricul.+pochette</t>
  </si>
  <si>
    <t>Margaux Château d'Arsac AOP</t>
  </si>
  <si>
    <t>Robe femme</t>
  </si>
  <si>
    <t>Trottinette en aluminium</t>
  </si>
  <si>
    <t>BX-27 Pessac Léognan Malartic AOP</t>
  </si>
  <si>
    <t>BX-36 Saint-Estèphe Cht. Meyney AOC</t>
  </si>
  <si>
    <t>Simba Jeux d'extérieur enfant</t>
  </si>
  <si>
    <t>Chaussures de sport femme</t>
  </si>
  <si>
    <t xml:space="preserve">Château La Couspaude AOP 2014 </t>
  </si>
  <si>
    <t>Chateau Marquis de Terme AOC</t>
  </si>
  <si>
    <t>BX-33 Saint-Émilion Grand Cru AOC</t>
  </si>
  <si>
    <t>BX-28 Pessac-Léognan Olivier AOC</t>
  </si>
  <si>
    <t>Pessac-Léognan AOC</t>
  </si>
  <si>
    <t>Château Fleur de Boüard AOC</t>
  </si>
  <si>
    <t>Tapis de bain ép. 50x70cm/ 650g/m2</t>
  </si>
  <si>
    <t>Tranches de cornichons PNE 400 g</t>
  </si>
  <si>
    <t>Less. liqu. universelle 40 L sort.</t>
  </si>
  <si>
    <t>Noix de cajou grillées salées</t>
  </si>
  <si>
    <t>Choco Rings/Céréales Cookies SK62</t>
  </si>
  <si>
    <t>Dipladénia</t>
  </si>
  <si>
    <t>Mascara Volume tout-en-un 12ml</t>
  </si>
  <si>
    <t>Assortiment fruits secs</t>
  </si>
  <si>
    <t>Camembert de Normandie AOP lait cru</t>
  </si>
  <si>
    <t>Jus d'orange XXL</t>
  </si>
  <si>
    <t>Cocktail sans alcool</t>
  </si>
  <si>
    <t>Crème de douche Teeny</t>
  </si>
  <si>
    <t>Choux-fleurs en fleurette</t>
  </si>
  <si>
    <t>Dipladenia pyramide</t>
  </si>
  <si>
    <t>BJ-02 Juliénas Collin-Bourisset AOP</t>
  </si>
  <si>
    <t>BG-02 Mercurey Les Jablières  AOP</t>
  </si>
  <si>
    <t>Funny Fruit Drinks</t>
  </si>
  <si>
    <t>Huile d'olive bio vierge extra</t>
  </si>
  <si>
    <t>Sirop d'érable</t>
  </si>
  <si>
    <t>Riz de Camargue</t>
  </si>
  <si>
    <t>Figurine ou oiseau décoratif</t>
  </si>
  <si>
    <t xml:space="preserve">Choco Rice/Honey Rings </t>
  </si>
  <si>
    <t>Filets de harengs Matjes</t>
  </si>
  <si>
    <t xml:space="preserve">Liquide vaisselle </t>
  </si>
  <si>
    <t>Donut au chocolat</t>
  </si>
  <si>
    <t>Ciabatta figue</t>
  </si>
  <si>
    <t>Huile d'avocat</t>
  </si>
  <si>
    <t>Tiger Crunch</t>
  </si>
  <si>
    <t>Plantes Extérieurs en Suspension</t>
  </si>
  <si>
    <t>Terre de Bruyère</t>
  </si>
  <si>
    <t>Ecorce de paillage</t>
  </si>
  <si>
    <t>Bouchées chat sachet</t>
  </si>
  <si>
    <t>Pâtes fraîches Cappelletti/Tortelli</t>
  </si>
  <si>
    <t>Aster en pot</t>
  </si>
  <si>
    <t>Oeillets parfumés</t>
  </si>
  <si>
    <t>Platycodon</t>
  </si>
  <si>
    <t>Lentilles - PNE 530 g</t>
  </si>
  <si>
    <t>Lunettes soleil/ verres de rechange</t>
  </si>
  <si>
    <t>Bougies parfumées avec LED</t>
  </si>
  <si>
    <t>Serviette magique pour enfant</t>
  </si>
  <si>
    <t xml:space="preserve"> Champignons émincés</t>
  </si>
  <si>
    <t>Yaourts aux fruits pâtissiers</t>
  </si>
  <si>
    <t>Crème dessert choco. billes choco</t>
  </si>
  <si>
    <t>Pommes rissolées</t>
  </si>
  <si>
    <t>Milkshake sort.</t>
  </si>
  <si>
    <t>Veronique mix</t>
  </si>
  <si>
    <t>Gratin de pâtes aux légumes</t>
  </si>
  <si>
    <t>Passiflore Pyramide</t>
  </si>
  <si>
    <t>Crevettes rouges d'Argentine crues</t>
  </si>
  <si>
    <t>Eau de source de montagne</t>
  </si>
  <si>
    <t>Moulins à sel</t>
  </si>
  <si>
    <t>Risotto aux champ. ou épinards</t>
  </si>
  <si>
    <t>Morceaux de poulet</t>
  </si>
  <si>
    <t>Margarine Omega 3 54%</t>
  </si>
  <si>
    <t>Cacahuètes grillées sans sel</t>
  </si>
  <si>
    <t>Rhum blanc tradit. des Antilles</t>
  </si>
  <si>
    <t>Pains Hamburger X6, Maxi Burger X4</t>
  </si>
  <si>
    <t>Eaux aromatisées assorties</t>
  </si>
  <si>
    <t>Figues sèches</t>
  </si>
  <si>
    <t>Crocs Sabots enfant</t>
  </si>
  <si>
    <t>Serviette microfibre cuisine</t>
  </si>
  <si>
    <t>Jardinière Chrysanthèmes</t>
  </si>
  <si>
    <t>plantes exotiques pot mexicain</t>
  </si>
  <si>
    <t>Kalanchoé en vase</t>
  </si>
  <si>
    <t>Amandes chocolatées coco/sab/crème</t>
  </si>
  <si>
    <t>Projecteur solaire à LED 9 W</t>
  </si>
  <si>
    <t>Spot encastrable LED/télécommande</t>
  </si>
  <si>
    <t>Sucre en poudre</t>
  </si>
  <si>
    <t>Sticks Mozzarella</t>
  </si>
  <si>
    <t>Escargots de Bourgogne x12</t>
  </si>
  <si>
    <t>Ampoule LED réfl. GU5,32/GU10 5W</t>
  </si>
  <si>
    <t>Bouquet Nouvel an</t>
  </si>
  <si>
    <t>Sauce tomate à l'italienne</t>
  </si>
  <si>
    <t>Biscuits nappés chocolat lait/noir</t>
  </si>
  <si>
    <t>Sablés fourrés assortis</t>
  </si>
  <si>
    <t xml:space="preserve">BG-08 Chablis Cru Desvignes </t>
  </si>
  <si>
    <t>Couches nouveau né 2-5kg x 24</t>
  </si>
  <si>
    <t>Yaourt glacé</t>
  </si>
  <si>
    <t>Sauternes AOP Ch. Guiraud</t>
  </si>
  <si>
    <t>BX-24 Saint-Julien Cht Gloria AOC</t>
  </si>
  <si>
    <t>Yaourt brassé nature 3,2%</t>
  </si>
  <si>
    <t>Couches XL x30</t>
  </si>
  <si>
    <t>Bière Blanche Rosée</t>
  </si>
  <si>
    <t>Papier toilette 3ep XXL 20x200</t>
  </si>
  <si>
    <t>Ballon de foot/volley/basket/rugby</t>
  </si>
  <si>
    <t>Fond de teint liquide BA</t>
  </si>
  <si>
    <t>Lipgloss BA</t>
  </si>
  <si>
    <t>Pain 360g</t>
  </si>
  <si>
    <t>Rouge à lèvres BA</t>
  </si>
  <si>
    <t>Mascara BA</t>
  </si>
  <si>
    <t>Yaourt à boire</t>
  </si>
  <si>
    <t>Farine Bio type 110</t>
  </si>
  <si>
    <t>Cheesecake en pot</t>
  </si>
  <si>
    <t>Barquette Géranium Zonal</t>
  </si>
  <si>
    <t>Eau minérale naturelle Ca. Mg.</t>
  </si>
  <si>
    <t>Oeufs de saumon</t>
  </si>
  <si>
    <t>Rasoir 5 lames</t>
  </si>
  <si>
    <t>Recharges pour rasoir 5 lames</t>
  </si>
  <si>
    <t>Champignons pieds et morceaux</t>
  </si>
  <si>
    <t>Pêches au sirop léger PNE 480 g</t>
  </si>
  <si>
    <t>Lessive cap. class./coul. 20 lav.</t>
  </si>
  <si>
    <t>Disques à démaquiller x 140</t>
  </si>
  <si>
    <t>Assortiments de caramels</t>
  </si>
  <si>
    <t>Yucca</t>
  </si>
  <si>
    <t>Chocolat fourré</t>
  </si>
  <si>
    <t>Sac poubelle SDB 10L</t>
  </si>
  <si>
    <t>Projecteur LED 20 W/détecteur mouv.</t>
  </si>
  <si>
    <t>Yaourt nature 1,1 %</t>
  </si>
  <si>
    <t>Yaourt nature sucre de canne 3,5%</t>
  </si>
  <si>
    <t>Tampons avec applicateur compact</t>
  </si>
  <si>
    <t>Noix de Saint Jacques avec corail</t>
  </si>
  <si>
    <t>Liquide vaisselle Ed Lim. Retro USA</t>
  </si>
  <si>
    <t>XXL Jambon cru fumé</t>
  </si>
  <si>
    <t xml:space="preserve">Bière de Mythos </t>
  </si>
  <si>
    <t>Beaucarnéa en pot céramique</t>
  </si>
  <si>
    <t>Nuggets de poulet avec sauce</t>
  </si>
  <si>
    <t>Fromage fondu en tranches</t>
  </si>
  <si>
    <t>Boulettes de viande à la grècque</t>
  </si>
  <si>
    <t>Snacks Vampire BA</t>
  </si>
  <si>
    <t xml:space="preserve">Sauternes Ch. la Tour Blanche </t>
  </si>
  <si>
    <t>Graves Ch. Mamin 2010 AOP</t>
  </si>
  <si>
    <t>Robot Monsieur Cuisine 1 000 W</t>
  </si>
  <si>
    <t xml:space="preserve">Mozzarella bio </t>
  </si>
  <si>
    <t>Orchidée en fête</t>
  </si>
  <si>
    <t>Lessive liquide Moment de bien-être</t>
  </si>
  <si>
    <t>Lessive class. / coul. 65 lavages</t>
  </si>
  <si>
    <t xml:space="preserve"> Beignet fourré aux fruits</t>
  </si>
  <si>
    <t>Thon albacore à l'huile d'olive</t>
  </si>
  <si>
    <t>Thon à l'huile d'olive (PNE 7x52g)</t>
  </si>
  <si>
    <t>Gard Languedoc-Roussillon IGP rosé</t>
  </si>
  <si>
    <t>Flakers choco/fruits rouges</t>
  </si>
  <si>
    <t>Crème pour les mains</t>
  </si>
  <si>
    <t xml:space="preserve">Huile anti-cellulite </t>
  </si>
  <si>
    <t>Crème de jour à la rose sauvage</t>
  </si>
  <si>
    <t>Crème de jour à la grenade</t>
  </si>
  <si>
    <t>Crème pour les yeux rose sauvage</t>
  </si>
  <si>
    <t>Crème pour les yeux à la grenade</t>
  </si>
  <si>
    <t>Crème de nuit à la rose sauvage</t>
  </si>
  <si>
    <t>Crème de nuit à la grenade</t>
  </si>
  <si>
    <t>Yaourts brassés vanille</t>
  </si>
  <si>
    <t>Plume de lait</t>
  </si>
  <si>
    <t>Flan chocolat</t>
  </si>
  <si>
    <t>Sac poignées souples</t>
  </si>
  <si>
    <t>Fourrés vanille</t>
  </si>
  <si>
    <t>Epinards à la crème fraîche</t>
  </si>
  <si>
    <t>Riz au lait saveur vanille</t>
  </si>
  <si>
    <t>Gants de ménage</t>
  </si>
  <si>
    <t>Tapis de bain microfibre 60 x 90 cm</t>
  </si>
  <si>
    <t>Branflakes/fruit'n fibre/multigrain</t>
  </si>
  <si>
    <t>Liquide vaisselle concentré ed. lim</t>
  </si>
  <si>
    <t>Moutarde de Dijon 440g</t>
  </si>
  <si>
    <t>Sucre pour distributeur automatique</t>
  </si>
  <si>
    <t>Prépa Expresso grain. Mach. à café</t>
  </si>
  <si>
    <t>Poudre cacao. Distrib. Boissons ch.</t>
  </si>
  <si>
    <t>Sauvignon Blanc Pays d'Oc IGP</t>
  </si>
  <si>
    <t>Pays d'Oc Cabernet Sauvignon IGP</t>
  </si>
  <si>
    <t>Méditerranée Rosé IGP 3l-BOX</t>
  </si>
  <si>
    <t>Lait demi-écrémé 50 cl</t>
  </si>
  <si>
    <t>Hamburger, assortiment</t>
  </si>
  <si>
    <t>Pauillac Ch.Lynch Moussas AOC</t>
  </si>
  <si>
    <t>Mouchoirs à l'aloe vera</t>
  </si>
  <si>
    <t>Mascara volume extrême</t>
  </si>
  <si>
    <t>Gel à raser femme</t>
  </si>
  <si>
    <t>Baume de douche</t>
  </si>
  <si>
    <t>Gel douche</t>
  </si>
  <si>
    <t>Lotion pour le corps Teeny</t>
  </si>
  <si>
    <t>Deospray Limited Edition</t>
  </si>
  <si>
    <t>BJ-03 Beaujolais Brouilly Cru AOP</t>
  </si>
  <si>
    <t>VR-07 Côtes Rhône Vil. Seguret AOP</t>
  </si>
  <si>
    <t>Pouilly-Fuissé Collin-Bourisset 15</t>
  </si>
  <si>
    <t>BJ-01 Beaujolais Collin-B. AOP</t>
  </si>
  <si>
    <t>BJ-01 Fleurie Collin Bourisset AOP</t>
  </si>
  <si>
    <t>BJ-05 Morgon Collin-Bourisset AOP</t>
  </si>
  <si>
    <t>Préparation aux fruits</t>
  </si>
  <si>
    <t>Yaourt brassé fruits rouges</t>
  </si>
  <si>
    <t>Beurrier tendre doux 82% MG</t>
  </si>
  <si>
    <t>Beurrier tendre demi sel 80% MG</t>
  </si>
  <si>
    <t>Rôti de porc aux fines herbes</t>
  </si>
  <si>
    <t>LR-02 Lang.-Rous. Malbec Lorg. IGP</t>
  </si>
  <si>
    <t>Plats traditionnels</t>
  </si>
  <si>
    <t>Plats exotiques</t>
  </si>
  <si>
    <t>Vernis à ongles</t>
  </si>
  <si>
    <t xml:space="preserve">Gelée mûre/groseille </t>
  </si>
  <si>
    <t>Fromage frais fruits</t>
  </si>
  <si>
    <t>Pizza Royale pâte crue</t>
  </si>
  <si>
    <t>Préparation laitière</t>
  </si>
  <si>
    <t>Salami Veronese en tranches</t>
  </si>
  <si>
    <t>Spray dégraissant savon Marseille</t>
  </si>
  <si>
    <t>Potatoes XXL</t>
  </si>
  <si>
    <t>Mouchoirs 4ép. parfumés 24x10</t>
  </si>
  <si>
    <t>Disques fraîcheur pour WC</t>
  </si>
  <si>
    <t>Tablettes anticlaicaire</t>
  </si>
  <si>
    <t>Décorations en chocolat</t>
  </si>
  <si>
    <t>Peluche avec chocolat</t>
  </si>
  <si>
    <t>Mini figurines de Nöel en chocolat</t>
  </si>
  <si>
    <t xml:space="preserve">Etoile de noël à la cannelle </t>
  </si>
  <si>
    <t>Mini packs de céréales x8</t>
  </si>
  <si>
    <t>Crème de jour cellular anti-âge</t>
  </si>
  <si>
    <t>Crème de nuit cellular anti-âge</t>
  </si>
  <si>
    <t>Soin oeil cellular anti-âge</t>
  </si>
  <si>
    <t>Sérum visage cellular anti-âge</t>
  </si>
  <si>
    <t>Sardines à l'huile d'olive vierge</t>
  </si>
  <si>
    <t>Compote pomme-poire/pom.pêche</t>
  </si>
  <si>
    <t xml:space="preserve">Compote de pommes </t>
  </si>
  <si>
    <t>Préparation laitière améri.</t>
  </si>
  <si>
    <t>Parmesan en copeaux 22M AOP</t>
  </si>
  <si>
    <t>Chocolat à la menthe</t>
  </si>
  <si>
    <t>Mini orchidée en vase</t>
  </si>
  <si>
    <t>Flan catalan</t>
  </si>
  <si>
    <t>Capsules de café Modena Lungo</t>
  </si>
  <si>
    <t>Yaourt à boire assortis</t>
  </si>
  <si>
    <t>Bière de fête et sa chope</t>
  </si>
  <si>
    <t>Mousse au marron</t>
  </si>
  <si>
    <t>Coeur fondant au chocolat</t>
  </si>
  <si>
    <t>Pizzas Premium</t>
  </si>
  <si>
    <t>Campanule Get Mee</t>
  </si>
  <si>
    <t>Mini plante fleurie en céramique</t>
  </si>
  <si>
    <t>Rasoir 5 lames pour femme</t>
  </si>
  <si>
    <t>Recharges pour rasoir femme 5 lames</t>
  </si>
  <si>
    <t>XXL Tablette lave vaisselle</t>
  </si>
  <si>
    <t>Lessive liquide Ocean Breeze</t>
  </si>
  <si>
    <t>P'tit choco dessert enfant</t>
  </si>
  <si>
    <t xml:space="preserve"> Ciabatta classic</t>
  </si>
  <si>
    <t>Mini Orchidée en pot céramique</t>
  </si>
  <si>
    <t>Couches culottes Midi Promobox 2x56</t>
  </si>
  <si>
    <t xml:space="preserve"> Pain aux noix</t>
  </si>
  <si>
    <t>Bouchées de saumon fumé</t>
  </si>
  <si>
    <t>Genuss</t>
  </si>
  <si>
    <t>Capsules expresso décaféiné</t>
  </si>
  <si>
    <t>Yaourt aux fruits rouges</t>
  </si>
  <si>
    <t>Yaourt aux fruits jaunes</t>
  </si>
  <si>
    <t>2 Essuie-tout XXL</t>
  </si>
  <si>
    <t>Shampoing Spa Professionel</t>
  </si>
  <si>
    <t>Après shampoing Professional</t>
  </si>
  <si>
    <t>Sérum pour cheveux Professionel</t>
  </si>
  <si>
    <t>Baume pour cheveux professionel</t>
  </si>
  <si>
    <t>Diffuseur d'ambiance avec tige</t>
  </si>
  <si>
    <t>Moutarde mi-forte/à l'ancienne ass.</t>
  </si>
  <si>
    <t>Gazon sport et jeux</t>
  </si>
  <si>
    <t>Choco Moons / Honey Balls SK 66</t>
  </si>
  <si>
    <t>Amidala Gaufrette noisette pralinée</t>
  </si>
  <si>
    <t xml:space="preserve">Pralinés liqueur cerise  </t>
  </si>
  <si>
    <t>Raclette sans croûte</t>
  </si>
  <si>
    <t>Thon entier assorti</t>
  </si>
  <si>
    <t>Grand Sapin Nordman 1er choix</t>
  </si>
  <si>
    <t>Brocolis en fleurette</t>
  </si>
  <si>
    <t>Oignons émincés</t>
  </si>
  <si>
    <t>Falafel</t>
  </si>
  <si>
    <t>Roulés farcis variétés au choix</t>
  </si>
  <si>
    <t>Kefta</t>
  </si>
  <si>
    <t>Galette rois frangip./pépites choco</t>
  </si>
  <si>
    <t>Tapas espagnols</t>
  </si>
  <si>
    <t>Kebab Dinner Kit</t>
  </si>
  <si>
    <t>Pommes Dauphine</t>
  </si>
  <si>
    <t>Tomates séchées de Tunisie</t>
  </si>
  <si>
    <t>Huile de friture</t>
  </si>
  <si>
    <t>Légumes pour Couscous Potage</t>
  </si>
  <si>
    <t>Barres céréales sans sucres ajoutés</t>
  </si>
  <si>
    <t>Flan de quesos</t>
  </si>
  <si>
    <t>Filets de poulet panés</t>
  </si>
  <si>
    <t>Crayon Kajal</t>
  </si>
  <si>
    <t>Crayon à lèvres beauté</t>
  </si>
  <si>
    <t>Jus d'orange BIO ABC</t>
  </si>
  <si>
    <t>Glace Bio</t>
  </si>
  <si>
    <t>Pâtes fourées Bio</t>
  </si>
  <si>
    <t>Sucre de canne blond bio</t>
  </si>
  <si>
    <t>Maïs Bio PNE 285g</t>
  </si>
  <si>
    <t>Jambon Forêt-Noire Bio</t>
  </si>
  <si>
    <t>Sirop d'érable Bio</t>
  </si>
  <si>
    <t>Légumes secs Bio</t>
  </si>
  <si>
    <t>Sirop d'Agave Bio</t>
  </si>
  <si>
    <t>Sac en papier</t>
  </si>
  <si>
    <t>Sac cabas 4 anses</t>
  </si>
  <si>
    <t>Mini stick à lèvres</t>
  </si>
  <si>
    <t>Petits beurre Bio</t>
  </si>
  <si>
    <t>Yaourt Bio au choix</t>
  </si>
  <si>
    <t>Smoothie Bio</t>
  </si>
  <si>
    <t>Jus de fruits Bio</t>
  </si>
  <si>
    <t xml:space="preserve">Feta Bio </t>
  </si>
  <si>
    <t>Chips salées Bio</t>
  </si>
  <si>
    <t>Chips de légumes bio</t>
  </si>
  <si>
    <t>Thé vert assorti</t>
  </si>
  <si>
    <t>Chips Barbecue - Fromage SK19</t>
  </si>
  <si>
    <t>Chips Moutarde-Bolognaise SK20</t>
  </si>
  <si>
    <t>Potée de plantes extérieures</t>
  </si>
  <si>
    <t>Mini jardin d'intérieur</t>
  </si>
  <si>
    <t>Orchidée pot céramique</t>
  </si>
  <si>
    <t>Campanule en suspension</t>
  </si>
  <si>
    <t>Pain pita façon grècque</t>
  </si>
  <si>
    <t>Biscuits sablés chocolat au lait</t>
  </si>
  <si>
    <t>Gouda jeune</t>
  </si>
  <si>
    <t>Crème légère liquide 12%</t>
  </si>
  <si>
    <t>Muesli croust. Fraises/4 noix</t>
  </si>
  <si>
    <t>Grand Cyclamen</t>
  </si>
  <si>
    <t>Pourpier</t>
  </si>
  <si>
    <t>Cuphea de jardin</t>
  </si>
  <si>
    <t>Mini jardin d'interieur 15 cm</t>
  </si>
  <si>
    <t>Mini jardin d'intérieur 19 cm</t>
  </si>
  <si>
    <t>Plante verte en seau zinc</t>
  </si>
  <si>
    <t>Plante verte en cache pot vintage1</t>
  </si>
  <si>
    <t>Chips</t>
  </si>
  <si>
    <t>Après solaire</t>
  </si>
  <si>
    <t>Yaourt à la grecque</t>
  </si>
  <si>
    <t>Feta</t>
  </si>
  <si>
    <t xml:space="preserve">Crème dessert assortie </t>
  </si>
  <si>
    <t>Purée de pommes de terre</t>
  </si>
  <si>
    <t xml:space="preserve">Bâtonnets de glace Cruncher </t>
  </si>
  <si>
    <t>Conf. gélifiée cola/souris/fraise</t>
  </si>
  <si>
    <t>Yaourt sur lit de fraise pot verre</t>
  </si>
  <si>
    <t>Préparation thé machine à café</t>
  </si>
  <si>
    <t>Eau de toilette homme assorti</t>
  </si>
  <si>
    <t>Edam</t>
  </si>
  <si>
    <t>Pessac-Léognan Cht Larrivet Blanc</t>
  </si>
  <si>
    <t>Limonade Agrumes 6x33cl</t>
  </si>
  <si>
    <t>Café soluble express gold UTZ</t>
  </si>
  <si>
    <t>Café soluble décaféiné UTZ</t>
  </si>
  <si>
    <t>Cônes sorbet</t>
  </si>
  <si>
    <t>Jardinière de bruyère Calluna</t>
  </si>
  <si>
    <t>Brochettes de médaillons de poulet</t>
  </si>
  <si>
    <t>Bourgogne Côteaux Bourguignons AOP</t>
  </si>
  <si>
    <t>Bain moussant "Disney Frozen"</t>
  </si>
  <si>
    <t>Gel douche à la rose sauvage</t>
  </si>
  <si>
    <t>Shampoing hydratant rose sauvage</t>
  </si>
  <si>
    <t>Mousse nettoyante citron mélisse</t>
  </si>
  <si>
    <t>Crème visage mélisse ha.</t>
  </si>
  <si>
    <t>Crème pour le corps tonka &amp; Kari.</t>
  </si>
  <si>
    <t>Soin pour les lèvres calendula</t>
  </si>
  <si>
    <t>Super Alkaline AA XXL</t>
  </si>
  <si>
    <t>Super Alkaline Microzellen AAAA XXL</t>
  </si>
  <si>
    <t>Crème de spéculoos smooth ou crunc.</t>
  </si>
  <si>
    <t>Figurines Halloween sort.</t>
  </si>
  <si>
    <t xml:space="preserve">Mozzarella sans OGM </t>
  </si>
  <si>
    <t>Assortiment de miels</t>
  </si>
  <si>
    <t>Plantes Vertes Ceramique</t>
  </si>
  <si>
    <t>Mini gratins de pommes de T. Champ.</t>
  </si>
  <si>
    <t xml:space="preserve">Cheesecake assortiment </t>
  </si>
  <si>
    <t>Cheesecake américain</t>
  </si>
  <si>
    <t xml:space="preserve">Tiramisu Superfresco </t>
  </si>
  <si>
    <t>Chocolat noir 95% cacao</t>
  </si>
  <si>
    <t>Chocolat noir menthe</t>
  </si>
  <si>
    <t>Noix de Californie XXL</t>
  </si>
  <si>
    <t>Noix Royales XXL</t>
  </si>
  <si>
    <t>Cranberries séchées</t>
  </si>
  <si>
    <t>Brocoli / Choux fleur</t>
  </si>
  <si>
    <t>Compote pomme-abricot/pomme-rhub.</t>
  </si>
  <si>
    <t>Compote en gourde all./SSA/fraise</t>
  </si>
  <si>
    <t>Compote en gourde poire/bana./abric</t>
  </si>
  <si>
    <t>Compotes en pot x16</t>
  </si>
  <si>
    <t>Compote de pomme gourde Multipack</t>
  </si>
  <si>
    <t>Eau de coco</t>
  </si>
  <si>
    <t>Herbes  aromatique</t>
  </si>
  <si>
    <t>Pasticcini</t>
  </si>
  <si>
    <t>Légumes BIO au choix</t>
  </si>
  <si>
    <t xml:space="preserve">Filets de poulet à la mexicaine </t>
  </si>
  <si>
    <t>Demi-lune ricotta épinard</t>
  </si>
  <si>
    <t>Sauvignon blanc Marlborough</t>
  </si>
  <si>
    <t>Pointes filets cabillaud PNE 540g</t>
  </si>
  <si>
    <t>Prép. cappuccino vani. mach. à café</t>
  </si>
  <si>
    <t>Prep. capp. car. pour mach. à café</t>
  </si>
  <si>
    <t>Boisson au yaourt</t>
  </si>
  <si>
    <t>Côtes du Ventoux rouge</t>
  </si>
  <si>
    <t>Nouilles</t>
  </si>
  <si>
    <t xml:space="preserve">Prép. lait machine à caffé </t>
  </si>
  <si>
    <t>Composition Amaryllis colibri</t>
  </si>
  <si>
    <t>Conifère en pot père Noël</t>
  </si>
  <si>
    <t>Pains burger multigrains</t>
  </si>
  <si>
    <t>Bocal tradition muguet</t>
  </si>
  <si>
    <t>Poivrons farcis</t>
  </si>
  <si>
    <t>Feuilles de vigne farcies</t>
  </si>
  <si>
    <t xml:space="preserve">Courgettes farcies  </t>
  </si>
  <si>
    <t>Helexine de Noël</t>
  </si>
  <si>
    <t>Noix de cajou et Cranberries</t>
  </si>
  <si>
    <t>Amandes de Californie</t>
  </si>
  <si>
    <t>Mélange de noix et fruits secs</t>
  </si>
  <si>
    <t>Graine de potiron Bio</t>
  </si>
  <si>
    <t>Ketchup bio</t>
  </si>
  <si>
    <t>Queues de crevettes crues PNE 350 g</t>
  </si>
  <si>
    <t xml:space="preserve">Cornets XXL chocolat vanille </t>
  </si>
  <si>
    <t>Glace Fraise Vanille XXL</t>
  </si>
  <si>
    <t>Kalanchoé en pot couleur</t>
  </si>
  <si>
    <t xml:space="preserve">Essuie-tout 3 plis recyclage 23x24 </t>
  </si>
  <si>
    <t>Spray détachant</t>
  </si>
  <si>
    <t>Spray désodorisant</t>
  </si>
  <si>
    <t>Purio Sac Poubelle haute 50l</t>
  </si>
  <si>
    <t>Choco sticks lait/noir</t>
  </si>
  <si>
    <t>Sacs poubelle avec poignées 50L</t>
  </si>
  <si>
    <t>Chocolat n. dégustation car/fram/or</t>
  </si>
  <si>
    <t>Jus de Fruit Petit Déjeuner 1L PET</t>
  </si>
  <si>
    <t>Ravioli gorgonzola-noix</t>
  </si>
  <si>
    <t>Boulettes pour chien 4x400g</t>
  </si>
  <si>
    <t>Bouchées pour chat</t>
  </si>
  <si>
    <t>Fruit Blast Tropical</t>
  </si>
  <si>
    <t>Fruit Blast Multivitaminé</t>
  </si>
  <si>
    <t>Fruit Blast Fruits Rouges</t>
  </si>
  <si>
    <t>Chocolat noir dégustation origine</t>
  </si>
  <si>
    <t>Mini goûters fourrés chocolat/frais</t>
  </si>
  <si>
    <t>Demi-lune cèpes</t>
  </si>
  <si>
    <t>Couches mini x42</t>
  </si>
  <si>
    <t>Biscuits cacaotés Neo</t>
  </si>
  <si>
    <t>Buis 13 cm</t>
  </si>
  <si>
    <t>Orchidée cascade</t>
  </si>
  <si>
    <t>Dendrobium en pot céramique</t>
  </si>
  <si>
    <t>Ail semoule</t>
  </si>
  <si>
    <t>Biscuits crémeux</t>
  </si>
  <si>
    <t>Chips assorti.</t>
  </si>
  <si>
    <t>Bière blonde Pur Malt 5%</t>
  </si>
  <si>
    <t>Super Smoothie assort.</t>
  </si>
  <si>
    <t xml:space="preserve">Bulbes fleuris de printemps en pot </t>
  </si>
  <si>
    <t>Cactus Collection en céramique</t>
  </si>
  <si>
    <t>Orchidée en céramique design</t>
  </si>
  <si>
    <t>Bégonia XXL</t>
  </si>
  <si>
    <t>Bulbes de Bégonias</t>
  </si>
  <si>
    <t>Purée de tomates Bio</t>
  </si>
  <si>
    <t>Purina One croquettes chat adulte</t>
  </si>
  <si>
    <t>Liégeois chocolat</t>
  </si>
  <si>
    <t>Serviettes cocktail</t>
  </si>
  <si>
    <t>Perles d'huile pour le bain</t>
  </si>
  <si>
    <t>Display Savon liquide</t>
  </si>
  <si>
    <t>Lait autobronzant peau clair</t>
  </si>
  <si>
    <t>Spray autobronzant</t>
  </si>
  <si>
    <t>Aquaspray</t>
  </si>
  <si>
    <t>Base de teint</t>
  </si>
  <si>
    <t>Tiramisu Premium Fraise</t>
  </si>
  <si>
    <t>Dessert au chocolat</t>
  </si>
  <si>
    <t>Tiramisu classique</t>
  </si>
  <si>
    <t xml:space="preserve">Dessert au citron </t>
  </si>
  <si>
    <t>Halloween bonbons fruits acidulés</t>
  </si>
  <si>
    <t>Composition de Noël à offrir</t>
  </si>
  <si>
    <t>Jacinthe en coupe</t>
  </si>
  <si>
    <t>Galettes de riz/maïs Bio</t>
  </si>
  <si>
    <t>Yaourt Smoothie</t>
  </si>
  <si>
    <t>Liégeois assorti</t>
  </si>
  <si>
    <t>Oeillets en jardinière</t>
  </si>
  <si>
    <t>Compote en gourde Bio SSA</t>
  </si>
  <si>
    <t>Colin d'Alaska pané 8 portions</t>
  </si>
  <si>
    <t>Tablettes de choco lait/noisettes</t>
  </si>
  <si>
    <t>Bain dissolvant</t>
  </si>
  <si>
    <t>Energy Drink</t>
  </si>
  <si>
    <t>Sushis Family Box</t>
  </si>
  <si>
    <t>Jardinière d'automne</t>
  </si>
  <si>
    <t>Crème dessert billes choco/vanille</t>
  </si>
  <si>
    <t>Petit pot de crème vanille</t>
  </si>
  <si>
    <t>Camélia</t>
  </si>
  <si>
    <t>English Breakfast Thé</t>
  </si>
  <si>
    <t xml:space="preserve">Emincé de poulet façon Gyros </t>
  </si>
  <si>
    <t>Fromage frais framboise</t>
  </si>
  <si>
    <t>Fromage frais pommes caramelisées</t>
  </si>
  <si>
    <t>Aubergines farcies</t>
  </si>
  <si>
    <t xml:space="preserve">Boisson végétale soja sucrée Bio </t>
  </si>
  <si>
    <t>Papier toilette blanc 2 plis 12 rlx</t>
  </si>
  <si>
    <t>Spaghetti bio SK1</t>
  </si>
  <si>
    <t xml:space="preserve">Sorbet Bio assortie </t>
  </si>
  <si>
    <t>Pommes frites Bio</t>
  </si>
  <si>
    <t>Cookies Bio</t>
  </si>
  <si>
    <t>Mountone</t>
  </si>
  <si>
    <t>Maasdam</t>
  </si>
  <si>
    <t>Blocs WC actifs</t>
  </si>
  <si>
    <t xml:space="preserve"> Baguette "Croustille"</t>
  </si>
  <si>
    <t>Riz Basmati Traditionnel</t>
  </si>
  <si>
    <t>Petit lapin de Pâques en céramique</t>
  </si>
  <si>
    <t>Crevettes ASC assorties</t>
  </si>
  <si>
    <t xml:space="preserve">Bio Flan Caramel </t>
  </si>
  <si>
    <t>Fromage frais aux fruits</t>
  </si>
  <si>
    <t>Crème dessert Bio</t>
  </si>
  <si>
    <t>Yaourts brassés aux fruits Bio</t>
  </si>
  <si>
    <t>PEZ Distributeur + Recharge</t>
  </si>
  <si>
    <t>Crème douche 500 ml</t>
  </si>
  <si>
    <t>Riz long grain parboiled 8x125g</t>
  </si>
  <si>
    <t>Purée de pomme dt. sav. d'autrefois</t>
  </si>
  <si>
    <t xml:space="preserve">Filet de saumon entier </t>
  </si>
  <si>
    <t>Mascara Volume &amp; Curl</t>
  </si>
  <si>
    <t>Plante grasse en arrosoir</t>
  </si>
  <si>
    <t>Orchidée 2 Tiges</t>
  </si>
  <si>
    <t>Fromage fondue</t>
  </si>
  <si>
    <t>Filet de saumon fumé d'Ecosse</t>
  </si>
  <si>
    <t>Bougainvillier pyramide</t>
  </si>
  <si>
    <t>Pistaches de Californie non salées</t>
  </si>
  <si>
    <t>Glace à l'eau</t>
  </si>
  <si>
    <t>Mini Mix Classic XXL</t>
  </si>
  <si>
    <t>Miel bio en squeezer</t>
  </si>
  <si>
    <t>Jardinière de campanules</t>
  </si>
  <si>
    <t>Lingettes bébé humides crème lotion</t>
  </si>
  <si>
    <t>Lingettes visage enfants x40</t>
  </si>
  <si>
    <t>Gel à raser homme</t>
  </si>
  <si>
    <t>Lingettes bébé format voyage</t>
  </si>
  <si>
    <t>Gants de toilette humidifiés</t>
  </si>
  <si>
    <t>Ma Tradition crème main</t>
  </si>
  <si>
    <t>Ma Tradition savon liquide</t>
  </si>
  <si>
    <t>Ma Tradition lotion pour le corps</t>
  </si>
  <si>
    <t>Ma Tradition Crème douche</t>
  </si>
  <si>
    <t>Ma Tradition gel douche</t>
  </si>
  <si>
    <t>Flans assortis</t>
  </si>
  <si>
    <t>Frites de patates douce</t>
  </si>
  <si>
    <t>Pizza familiale Regina</t>
  </si>
  <si>
    <t>Café soluble corsé express UTZ</t>
  </si>
  <si>
    <t>Déodorant bille pour homme</t>
  </si>
  <si>
    <t xml:space="preserve">Fromage fondu XXL  </t>
  </si>
  <si>
    <t>Rosier Parfumé</t>
  </si>
  <si>
    <t>Orchidée XXL</t>
  </si>
  <si>
    <t>Bouvardia Bellevardia</t>
  </si>
  <si>
    <t>Curcuma d'ornement</t>
  </si>
  <si>
    <t>Chicorée café soluble UTZ</t>
  </si>
  <si>
    <t>Conifère collection</t>
  </si>
  <si>
    <t>Café chicoré au lait Bon Matin UTZ</t>
  </si>
  <si>
    <t>Plantes Carnivores</t>
  </si>
  <si>
    <t>Café soluble gold UTZ</t>
  </si>
  <si>
    <t>Saumon beurre maître d'Hôtel</t>
  </si>
  <si>
    <t>Dos de cabillaud</t>
  </si>
  <si>
    <t>Cacahuète grillée à sec</t>
  </si>
  <si>
    <t>Petits pains grillés Bio</t>
  </si>
  <si>
    <t>Biscottes Bio</t>
  </si>
  <si>
    <t>Proscuitto Cotto Alla Erbe</t>
  </si>
  <si>
    <t>Riz Basmati bio</t>
  </si>
  <si>
    <t xml:space="preserve"> Pastel de Nata</t>
  </si>
  <si>
    <t xml:space="preserve"> Demi Baguette Rustique</t>
  </si>
  <si>
    <t>Jasmin ou Stephanotis</t>
  </si>
  <si>
    <t>Pain 400g</t>
  </si>
  <si>
    <t>Bonbons acidulés ARC'andy</t>
  </si>
  <si>
    <t>Dés de fromage en huile assortis</t>
  </si>
  <si>
    <t>5 Mélanges arachides,raisins secs</t>
  </si>
  <si>
    <t>Véronique bicolore</t>
  </si>
  <si>
    <t>Crevettes rouges d'Argentine ss têt</t>
  </si>
  <si>
    <t>Quart de Maroilles AOP</t>
  </si>
  <si>
    <t>Biscuits petit déj. allég.Multicér.</t>
  </si>
  <si>
    <t>Friandises fourrées pour chat</t>
  </si>
  <si>
    <t>Café classic UTZ en dosettes</t>
  </si>
  <si>
    <t xml:space="preserve">Café fort en dosettes </t>
  </si>
  <si>
    <t>Chocolat noir pep. café/écl. cacao</t>
  </si>
  <si>
    <t xml:space="preserve">Spécialité de fruits </t>
  </si>
  <si>
    <t>Roquefort bio</t>
  </si>
  <si>
    <t>Cônes Menthe/Crème brûlée</t>
  </si>
  <si>
    <t>Chicken Nuggets Curry+Chili</t>
  </si>
  <si>
    <t>Cappuccino UTZ SK10</t>
  </si>
  <si>
    <t>Saumon fumé d'Irlande bio</t>
  </si>
  <si>
    <t>Infusions bien-être assorties</t>
  </si>
  <si>
    <t>Scotch Whisky 3 ans d'âge 40 %</t>
  </si>
  <si>
    <t>Whisky Speyside Single Malt 40%</t>
  </si>
  <si>
    <t>Mexico Burger</t>
  </si>
  <si>
    <t>Queue de homard</t>
  </si>
  <si>
    <t>Huile de truffe</t>
  </si>
  <si>
    <t xml:space="preserve">Barres de céréales assorties </t>
  </si>
  <si>
    <t>Cookies colorés</t>
  </si>
  <si>
    <t>Tarantules gélifiées</t>
  </si>
  <si>
    <t xml:space="preserve">Lardons </t>
  </si>
  <si>
    <t>Pains burger briochés</t>
  </si>
  <si>
    <t>Amandes grillées salées</t>
  </si>
  <si>
    <t>Etoile de Noël avec pralines</t>
  </si>
  <si>
    <t>Renne en peluche avec chocolats</t>
  </si>
  <si>
    <t>Savon liquide Teeny</t>
  </si>
  <si>
    <t xml:space="preserve"> Baguette Rustique</t>
  </si>
  <si>
    <t>Vin blanc pour cuisiner</t>
  </si>
  <si>
    <t>Cactus ou Kalanchoé en vase</t>
  </si>
  <si>
    <t>Eau minérale nat. gaz. aromatisée</t>
  </si>
  <si>
    <t>BG-08 Viré-Clessé Tourtelles 16 AOP</t>
  </si>
  <si>
    <t>Nuggets lapin</t>
  </si>
  <si>
    <t>Nectar de fruits</t>
  </si>
  <si>
    <t>Capsules expresso Viola Deca. UTZ</t>
  </si>
  <si>
    <t>Capsules de café Modena Lungo RFA</t>
  </si>
  <si>
    <t>Capsules expresso Classico UTZ</t>
  </si>
  <si>
    <t>Capsules expresso Ristretto RFA</t>
  </si>
  <si>
    <t>Capsules expresso Viola UTZ</t>
  </si>
  <si>
    <t>Capsules de café Forte Lungo UTZ</t>
  </si>
  <si>
    <t xml:space="preserve">Nuggets de poulet </t>
  </si>
  <si>
    <t>Jard'in pot - Kit 1 PCO</t>
  </si>
  <si>
    <t>Jard'in pot - Kit 2 TOM</t>
  </si>
  <si>
    <t>Jard'in pot - Kit 3 CAB</t>
  </si>
  <si>
    <t>Crème entière liquide 30%</t>
  </si>
  <si>
    <t>Préparation en grain expresso Fairt</t>
  </si>
  <si>
    <t>Barres choco fourrées lait</t>
  </si>
  <si>
    <t>Cyclamen en jardinière</t>
  </si>
  <si>
    <t>Barquettes chien assorties</t>
  </si>
  <si>
    <t>Bruyère Calluna trois couleurs</t>
  </si>
  <si>
    <t>Bruyère calluna en coupe</t>
  </si>
  <si>
    <t>Lingettes bébé refermables</t>
  </si>
  <si>
    <t>Snacks pour chiens</t>
  </si>
  <si>
    <t>Double Burger SK1</t>
  </si>
  <si>
    <t>Couscous légumes bio micro-ondables</t>
  </si>
  <si>
    <t>Quinoa légumes bio micro-ondables</t>
  </si>
  <si>
    <t>Démaquillant pour les yeux bi-phasé</t>
  </si>
  <si>
    <t xml:space="preserve">Haricots verts fins </t>
  </si>
  <si>
    <t>Carré coton bébé</t>
  </si>
  <si>
    <t xml:space="preserve">Chrysanthème Pyramide </t>
  </si>
  <si>
    <t>Coupe de piments d'ornement</t>
  </si>
  <si>
    <t>Bulbes de Pivoines de Chine</t>
  </si>
  <si>
    <t>Couches apprentissage Junior13/20kg</t>
  </si>
  <si>
    <t>Couches apprentissage junior 16/30k</t>
  </si>
  <si>
    <t>Couches mini3/6kg</t>
  </si>
  <si>
    <t>Couches nouveau-né 2/5kg</t>
  </si>
  <si>
    <t>Couches midi 4/9kg</t>
  </si>
  <si>
    <t>Couches junior 11/25kg</t>
  </si>
  <si>
    <t>Couches Maxi 7/18 kg</t>
  </si>
  <si>
    <t>Couches XL</t>
  </si>
  <si>
    <t>Couches culotte midi</t>
  </si>
  <si>
    <t>Couches culotte Maxi</t>
  </si>
  <si>
    <t>Couches culotte junior</t>
  </si>
  <si>
    <t>Boule de graisse XXL pour mésanges</t>
  </si>
  <si>
    <t>Boules de graisse pour oiseaux</t>
  </si>
  <si>
    <t>Muesli bio basique / multicéréales</t>
  </si>
  <si>
    <t>Suspension de graines à oiseaux</t>
  </si>
  <si>
    <t>distributeur graines pour oiseaux</t>
  </si>
  <si>
    <t>Sac de graines pour oiseaux</t>
  </si>
  <si>
    <t>Graines de tournesol pour oiseaux</t>
  </si>
  <si>
    <t>Graines pour oiseaux de forêt</t>
  </si>
  <si>
    <t>Orchidée Couleur Céramique</t>
  </si>
  <si>
    <t>Mini Sapin Disney</t>
  </si>
  <si>
    <t>Boule de Noël Orchidée</t>
  </si>
  <si>
    <t>Kalanchoé Halloween</t>
  </si>
  <si>
    <t>Petit sapin décoré</t>
  </si>
  <si>
    <t>Carré chocolat au lait</t>
  </si>
  <si>
    <t>Emincés de poulet</t>
  </si>
  <si>
    <t>Purée de céleri</t>
  </si>
  <si>
    <t>Purée de butternut</t>
  </si>
  <si>
    <t>Père noël en chocolat Bio</t>
  </si>
  <si>
    <t>Turtle Crousti</t>
  </si>
  <si>
    <t>Capsules Espresso (DG)</t>
  </si>
  <si>
    <t xml:space="preserve">Capsules Lungo (DG) </t>
  </si>
  <si>
    <t xml:space="preserve">Capsules Cappuccino (DG) </t>
  </si>
  <si>
    <t xml:space="preserve">Capsules Latte Macchiato (DG) </t>
  </si>
  <si>
    <t>Chrysanthème Collection</t>
  </si>
  <si>
    <t>Panier fleuri de printemps</t>
  </si>
  <si>
    <t>Antipasti</t>
  </si>
  <si>
    <t>Nuggets animaux avec sauce</t>
  </si>
  <si>
    <t>Halloween bonbons gélifiés fruits</t>
  </si>
  <si>
    <t>Burger mix SK2</t>
  </si>
  <si>
    <t>Mini galette des rois frangipane</t>
  </si>
  <si>
    <t>Thon Albacore entier au naturel</t>
  </si>
  <si>
    <t>Nuggets licorne</t>
  </si>
  <si>
    <t>Muffins au beurre x 4</t>
  </si>
  <si>
    <t>Capsules expresso Intenso RFA</t>
  </si>
  <si>
    <t xml:space="preserve"> Kebab</t>
  </si>
  <si>
    <t>Tiramisu Bio</t>
  </si>
  <si>
    <t>Grain d'Orge au Calvados</t>
  </si>
  <si>
    <t>Dentifrice pour enfants</t>
  </si>
  <si>
    <t>Pinot Noir Marlborough</t>
  </si>
  <si>
    <t>Mini toasts grillés</t>
  </si>
  <si>
    <t>Bac crème glacée vanille</t>
  </si>
  <si>
    <t>Briquettes charbon de bois</t>
  </si>
  <si>
    <t>Sticks dentaire SK5</t>
  </si>
  <si>
    <t>Fil dentaire SK6</t>
  </si>
  <si>
    <t>Filets de poisson cuisinés SK 10</t>
  </si>
  <si>
    <t xml:space="preserve">Désodorisant mèche </t>
  </si>
  <si>
    <t>Chips craquantes paysannes</t>
  </si>
  <si>
    <t>Côtes de Gascogne Colombard IGP</t>
  </si>
  <si>
    <t>Aspartame</t>
  </si>
  <si>
    <t>Yaourt nature au lait de brebis</t>
  </si>
  <si>
    <t>Litière cristaux de sillicat</t>
  </si>
  <si>
    <t>Cruspies SK1 BBQ/Mexicain</t>
  </si>
  <si>
    <t>Cruspies SK2 Salé/Bacon</t>
  </si>
  <si>
    <t>Légumes séchés</t>
  </si>
  <si>
    <t>Risotto</t>
  </si>
  <si>
    <t>Confiture avec alcool assort</t>
  </si>
  <si>
    <t>Linguine orange / citron / romarin</t>
  </si>
  <si>
    <t>Anneaux de calamar à la romaine</t>
  </si>
  <si>
    <t>Aprés-shampooing spécialisé SK3</t>
  </si>
  <si>
    <t>Shampooing spécialisé SK1</t>
  </si>
  <si>
    <t>Terrines premium chat aux poissons</t>
  </si>
  <si>
    <t>Pot premium</t>
  </si>
  <si>
    <t>Fromage de chèvre au lard</t>
  </si>
  <si>
    <t>Bonbons à l'eucalyptus</t>
  </si>
  <si>
    <t xml:space="preserve">Capsules café Costa Rica </t>
  </si>
  <si>
    <t>Capsules café Papouasie nvle Guinée</t>
  </si>
  <si>
    <t>Capsules café Malabar Moussonné</t>
  </si>
  <si>
    <t>Slips d'incontinence medium</t>
  </si>
  <si>
    <t>Cônes XXL vanille, meringue</t>
  </si>
  <si>
    <t>Chocolat fourré Tiramisu/crème brul</t>
  </si>
  <si>
    <t>Cookie gros éclats chocolat</t>
  </si>
  <si>
    <t>Muffins avec pépites de chocolat</t>
  </si>
  <si>
    <t>Lingettes bébés avec lotion</t>
  </si>
  <si>
    <t>Hot Dog SK1</t>
  </si>
  <si>
    <t>Mousse au chocolat avec coulis</t>
  </si>
  <si>
    <t>Crème solaire FPS 50</t>
  </si>
  <si>
    <t>Croquettes fourrées football</t>
  </si>
  <si>
    <t>Chrysanthèmes Sixty</t>
  </si>
  <si>
    <t>Noix de Cajou XXL</t>
  </si>
  <si>
    <t>Infusions verveine/fruits assorties</t>
  </si>
  <si>
    <t>Dosettes café corsé UTZ x36</t>
  </si>
  <si>
    <t>Dosettes café classique UTZ x36</t>
  </si>
  <si>
    <t>Dosettes café doux/décaféiné UTZx36</t>
  </si>
  <si>
    <t>Duo pack oeufs de lompes</t>
  </si>
  <si>
    <t>Calla de Pâques en céramique</t>
  </si>
  <si>
    <t>Passiflor Arceau</t>
  </si>
  <si>
    <t>Lavande XXL</t>
  </si>
  <si>
    <t>Alstromeria</t>
  </si>
  <si>
    <t>Pantes vertes pot Terracotta</t>
  </si>
  <si>
    <t>Cactus Maxi</t>
  </si>
  <si>
    <t>Pack 4 mini Kalanchoe</t>
  </si>
  <si>
    <t>Bouquet Passionément</t>
  </si>
  <si>
    <t>Succulente jardinière en pierre</t>
  </si>
  <si>
    <t>Orchidée cadre Photo</t>
  </si>
  <si>
    <t>Epinards PNE 530 g</t>
  </si>
  <si>
    <t>Haricots beurre très fins PNE 440g</t>
  </si>
  <si>
    <t>Chocolat noir Bio 70%</t>
  </si>
  <si>
    <t xml:space="preserve">Display céréales pour enfants </t>
  </si>
  <si>
    <t>Infusions tilleul/camomille assort.</t>
  </si>
  <si>
    <t>Filet de saumon fumé à découper</t>
  </si>
  <si>
    <t>Soft cakes assortis SK1</t>
  </si>
  <si>
    <t>Choux-fleurs précuits vapeur</t>
  </si>
  <si>
    <t>Brocolis précuits vapeur</t>
  </si>
  <si>
    <t>Haricots verts précuits vapeur</t>
  </si>
  <si>
    <t>Crème solaire 20</t>
  </si>
  <si>
    <t>Confiserie gélifiée Party Mix</t>
  </si>
  <si>
    <t>Rasoir jetable 3 lames femme</t>
  </si>
  <si>
    <t>Mini Jardin en bouteille</t>
  </si>
  <si>
    <t>Pomme ou poire en verre</t>
  </si>
  <si>
    <t>Bonsai en vase</t>
  </si>
  <si>
    <t>Jacinthe en lanterne</t>
  </si>
  <si>
    <t>Masque professionnel</t>
  </si>
  <si>
    <t>Vodka Premium 40%</t>
  </si>
  <si>
    <t>Jambon cru 14 mois d'affinage</t>
  </si>
  <si>
    <t>Mousse à raser assortie</t>
  </si>
  <si>
    <t xml:space="preserve">Crayon rouge à lèvres </t>
  </si>
  <si>
    <t>Poudre bronzante</t>
  </si>
  <si>
    <t xml:space="preserve">Fard à joues </t>
  </si>
  <si>
    <t>Baume à lèvres</t>
  </si>
  <si>
    <t>Crayon fard à paupières</t>
  </si>
  <si>
    <t>Eyeliner noir/marron</t>
  </si>
  <si>
    <t>Mascara volume extra</t>
  </si>
  <si>
    <t>Mascara résistant à l'eau</t>
  </si>
  <si>
    <t>Sucettes Mix</t>
  </si>
  <si>
    <t>Beauty Vernis à ongles</t>
  </si>
  <si>
    <t>Beauty Baume à lèvres</t>
  </si>
  <si>
    <t>Beauty  Anti-cernes</t>
  </si>
  <si>
    <t>Beauty Fard à joues</t>
  </si>
  <si>
    <t>Crayon à sourcils</t>
  </si>
  <si>
    <t>Golden Puffs / Frosted Flakes</t>
  </si>
  <si>
    <t>Choco Rice/Honey Rings</t>
  </si>
  <si>
    <t>Choco Moons / Honey Balls</t>
  </si>
  <si>
    <t>Café dosettes Fairtrade Bio</t>
  </si>
  <si>
    <t>Côtes de Gascogne Rosé IGP</t>
  </si>
  <si>
    <t>Moulins à épices</t>
  </si>
  <si>
    <t>Cumin</t>
  </si>
  <si>
    <t>Jambon cru italien 11 mois</t>
  </si>
  <si>
    <t>Juliénas AOP</t>
  </si>
  <si>
    <t>Entre deux mers AOP</t>
  </si>
  <si>
    <t>Nectar Bio Multi Gold</t>
  </si>
  <si>
    <t>Bio Organic Multi Rosso</t>
  </si>
  <si>
    <t>Jambon de Paris -25% de sel</t>
  </si>
  <si>
    <t>Fronton Rosé</t>
  </si>
  <si>
    <t>Pur jus de citron Bio</t>
  </si>
  <si>
    <t>Chardonnay Pays d'Oc IGP</t>
  </si>
  <si>
    <t>Glaces mini aux amandes</t>
  </si>
  <si>
    <t>Café noir 4er XXL</t>
  </si>
  <si>
    <t>Café Familial 2er XXL</t>
  </si>
  <si>
    <t>BJ-04 Chénas Les Michelots AOP</t>
  </si>
  <si>
    <t>Lambrusco Salamino di St Croce</t>
  </si>
  <si>
    <t>Truite fumée nature XXL ASC</t>
  </si>
  <si>
    <t>Minervois AOP</t>
  </si>
  <si>
    <t>Languedoc rouge AOP</t>
  </si>
  <si>
    <t>SO-05 DH Côtes de Gascogne IGP</t>
  </si>
  <si>
    <t>BG-04 CB Chardonnay AOP</t>
  </si>
  <si>
    <t>BG-01 Mâcon Collin-Bourisset AOP</t>
  </si>
  <si>
    <t>Eau de parfum</t>
  </si>
  <si>
    <t>Gourmet Pasta Mezzelune Gambas</t>
  </si>
  <si>
    <t>Gourmet Pasta tortellini chorizo</t>
  </si>
  <si>
    <t>Riz basmati</t>
  </si>
  <si>
    <t>Sandwichs glacés XXL</t>
  </si>
  <si>
    <t>Glace façon premium</t>
  </si>
  <si>
    <t>LR-29 Oc Viognier Sauvignon IGP</t>
  </si>
  <si>
    <t>LR-03 Pays d'Oc Bastion de Gar. IGP</t>
  </si>
  <si>
    <t>LR-15 Cabardes Les Pierres AOP</t>
  </si>
  <si>
    <t>LR616 Corbieres Le Crouzet AOC</t>
  </si>
  <si>
    <t>BJ-04 Moulin à Vent G. Badriou AOP</t>
  </si>
  <si>
    <t>Brouilly Domaine AOP</t>
  </si>
  <si>
    <t>Mini Mix double</t>
  </si>
  <si>
    <t>Bâtonnets double</t>
  </si>
  <si>
    <t>Schtrumpf fleuri</t>
  </si>
  <si>
    <t>Campanule pot zinc</t>
  </si>
  <si>
    <t>Chrysanthème Carnaval</t>
  </si>
  <si>
    <t>Gerbera Maxi</t>
  </si>
  <si>
    <t>Anemone</t>
  </si>
  <si>
    <t>Grande Composition d'automne</t>
  </si>
  <si>
    <t>Duo lavande en zinc</t>
  </si>
  <si>
    <t>Macon Villages Domaines AOP</t>
  </si>
  <si>
    <t>Après-shampooing Nature's Beauty</t>
  </si>
  <si>
    <t>Shampooing doux Nature's Beauty</t>
  </si>
  <si>
    <t>Cup enfant</t>
  </si>
  <si>
    <t>Bâtonnets vanille/chocolat</t>
  </si>
  <si>
    <t>Huile d'Olive vierge extra (non EU)</t>
  </si>
  <si>
    <t>Côtes du Rhône Villages Valreas</t>
  </si>
  <si>
    <t>Spray anti-calcaire</t>
  </si>
  <si>
    <t>Préparation de fruits</t>
  </si>
  <si>
    <t xml:space="preserve">Soins dentaires </t>
  </si>
  <si>
    <t>Filets de saumon sans peau XXL</t>
  </si>
  <si>
    <t>Cônes triples</t>
  </si>
  <si>
    <t>Beach box glaces</t>
  </si>
  <si>
    <t>Defontaine Champagne brut AOP</t>
  </si>
  <si>
    <t>EF-08 Champagne Brut Defo. Mag. AOC</t>
  </si>
  <si>
    <t>Champagne AOP Brut Millesime</t>
  </si>
  <si>
    <t>Kalanchoé Couleur</t>
  </si>
  <si>
    <t>Bière sans alcool citron</t>
  </si>
  <si>
    <t>Bière sans alcool pamplemousse</t>
  </si>
  <si>
    <t>Cactus fleurs séchées 12 cm</t>
  </si>
  <si>
    <t>Cactus fleurs séchées 16 cm</t>
  </si>
  <si>
    <t>Crème dessert chocolat Smarties</t>
  </si>
  <si>
    <t>BX-22 Ch B. Haut-Médoc Bordeaux AOC</t>
  </si>
  <si>
    <t>Rivière St Jean Rhum La Réunion 40%</t>
  </si>
  <si>
    <t>Liquide vaisselle fruits</t>
  </si>
  <si>
    <t>Petite Composition d'automne</t>
  </si>
  <si>
    <t xml:space="preserve">Chocolat au lait </t>
  </si>
  <si>
    <t>Chocolat noir 3x100g</t>
  </si>
  <si>
    <t>Chocolat blanc 2x100g</t>
  </si>
  <si>
    <t>Crusti Choc 2x100g</t>
  </si>
  <si>
    <t>Bio-Plat cuisiné légumes</t>
  </si>
  <si>
    <t>Ducros Mélanges du monde</t>
  </si>
  <si>
    <t>Pâtes fraîches demi-lune au saumon</t>
  </si>
  <si>
    <t>Pâtes fraîches fromage de montagne</t>
  </si>
  <si>
    <t>Lingettes blancheur pour linge</t>
  </si>
  <si>
    <t>Profiteroles caramel beurre salé</t>
  </si>
  <si>
    <t>Pavés de saumon x4 ASC</t>
  </si>
  <si>
    <t>Brosse à dents enfant / junior</t>
  </si>
  <si>
    <t>Eau de Parfum Diamonds</t>
  </si>
  <si>
    <t>VR-13 Ventoux La Capucinade AOC</t>
  </si>
  <si>
    <t>Olives noires séchées</t>
  </si>
  <si>
    <t>Brume d'eau</t>
  </si>
  <si>
    <t>Crème de jour Diamant</t>
  </si>
  <si>
    <t>Crème de nuit Diamant</t>
  </si>
  <si>
    <t>Crème pour les yeux Diamant</t>
  </si>
  <si>
    <t>Ampoules Diamant</t>
  </si>
  <si>
    <t>Crème de douche soin</t>
  </si>
  <si>
    <t>Aqua Gel Hydro Expert</t>
  </si>
  <si>
    <t>Crème gel Hydro Expert</t>
  </si>
  <si>
    <t>Hyualuron Gel Hydro Expert</t>
  </si>
  <si>
    <t>Lotion démaquillante Hydro Expert</t>
  </si>
  <si>
    <t>Gel démaquillant Hydro Expert</t>
  </si>
  <si>
    <t>Eau micellaire Hydro Expert</t>
  </si>
  <si>
    <t xml:space="preserve">Soda Lemon Lime </t>
  </si>
  <si>
    <t>Jus frais Orange-Mango</t>
  </si>
  <si>
    <t>Jus frais orange-kiwi</t>
  </si>
  <si>
    <t>Jus frais mélange tropical</t>
  </si>
  <si>
    <t xml:space="preserve">Jus frais pommes-fruits rouges </t>
  </si>
  <si>
    <t>Jus frais groseille myrtille canneb</t>
  </si>
  <si>
    <t>Crème pour les mains Sensual</t>
  </si>
  <si>
    <t>Spray corporel Sensual</t>
  </si>
  <si>
    <t>Huile de douche Sensual</t>
  </si>
  <si>
    <t>Crème pour le corps paillettes Sen.</t>
  </si>
  <si>
    <t>Kong Strong Energy Drink</t>
  </si>
  <si>
    <t>Cola</t>
  </si>
  <si>
    <t>Fil dentaire</t>
  </si>
  <si>
    <t>Fairtrade Pépites de chocolat</t>
  </si>
  <si>
    <t>XXL tête glaçage au chocolat</t>
  </si>
  <si>
    <t>Filet de saumon ASC</t>
  </si>
  <si>
    <t>Pavé de saumon Bio</t>
  </si>
  <si>
    <t>LR-23 Collioure Evasion 2016 AOP</t>
  </si>
  <si>
    <t>Carpaccio de saumon ASC parmesan</t>
  </si>
  <si>
    <t>jeunes pousses bio à planter</t>
  </si>
  <si>
    <t>Véronique pot bois</t>
  </si>
  <si>
    <t>Orchidée de Noël</t>
  </si>
  <si>
    <t>Sempervivum coupe metallique</t>
  </si>
  <si>
    <t>Hellebore en pot déco</t>
  </si>
  <si>
    <t>Muesli croustillant aux fruits</t>
  </si>
  <si>
    <t>Boîte de mouchoirs en 3D pour enf.</t>
  </si>
  <si>
    <t>Cyclamen mini Int/Ext</t>
  </si>
  <si>
    <t>Succulente en lanterne en verre</t>
  </si>
  <si>
    <t>Spéculoos Bio</t>
  </si>
  <si>
    <t>Capsules expresso C'est la vie</t>
  </si>
  <si>
    <t>Capsules de café lungo Rendez-Vous</t>
  </si>
  <si>
    <t>Capsules expresso Chic</t>
  </si>
  <si>
    <t>Capsules café décaf tête à tête</t>
  </si>
  <si>
    <t>Capsules ristretto Excellence</t>
  </si>
  <si>
    <t>Capsules expresso Oh La La</t>
  </si>
  <si>
    <t>Ma plantation tomate</t>
  </si>
  <si>
    <t>Filets de poisson cuisinés</t>
  </si>
  <si>
    <t>Filets de poisson cuisinés MSC</t>
  </si>
  <si>
    <t>Quinoa/Chia Bio</t>
  </si>
  <si>
    <t>Echinacées 17cm</t>
  </si>
  <si>
    <t>Pastilles lave-vaiselle</t>
  </si>
  <si>
    <t>Capsules Café au lait</t>
  </si>
  <si>
    <t>Maquereaux MSC au vin blanc</t>
  </si>
  <si>
    <t>Maquereaux MSC à la moutarde</t>
  </si>
  <si>
    <t>Maquereaux MSC tomate / escabèche</t>
  </si>
  <si>
    <t>Huile pour le corps Sensual</t>
  </si>
  <si>
    <t>Mousse de douche Sensual</t>
  </si>
  <si>
    <t>Cadre fleuri</t>
  </si>
  <si>
    <t>Maasdam sans OGM</t>
  </si>
  <si>
    <t>Filet de saumon fumé de Norvège ASC</t>
  </si>
  <si>
    <t>Pain hamburger briochés</t>
  </si>
  <si>
    <t>Fromage frais mon p'tit plaisir</t>
  </si>
  <si>
    <t>Palmier Bio</t>
  </si>
  <si>
    <t xml:space="preserve">Barres choco fourrées au lait </t>
  </si>
  <si>
    <t>Gros Bougainviller</t>
  </si>
  <si>
    <t>Soda Orange pulpe 12 2%</t>
  </si>
  <si>
    <t>Soda Orange 10 + 2 %</t>
  </si>
  <si>
    <t xml:space="preserve">Limonade </t>
  </si>
  <si>
    <t>Boisson aux fruits Tropical</t>
  </si>
  <si>
    <t>Boisson Instantanée chocolatée</t>
  </si>
  <si>
    <t>Display Luxury Eau de Parfum Xmas</t>
  </si>
  <si>
    <t>Cola 6x0,33l-DS</t>
  </si>
  <si>
    <t>Barres céréales enfant</t>
  </si>
  <si>
    <t>Farfalle/Penne</t>
  </si>
  <si>
    <t>Euphorbia pot terracotta</t>
  </si>
  <si>
    <t>Thon à l'huile d'olive</t>
  </si>
  <si>
    <t>Café familial Robusta</t>
  </si>
  <si>
    <t>Boisson aux fruits rouges/Orange</t>
  </si>
  <si>
    <t>Calendrier de l'avent bières 6,4%</t>
  </si>
  <si>
    <t xml:space="preserve">Lessive savon de Marseille </t>
  </si>
  <si>
    <t xml:space="preserve">Lessive liquide 40 lavages  </t>
  </si>
  <si>
    <t>Capsules expresso viola</t>
  </si>
  <si>
    <t>Capsules expresso ristretto</t>
  </si>
  <si>
    <t>Capsules expresso classico</t>
  </si>
  <si>
    <t>Capsules Forte Lungo</t>
  </si>
  <si>
    <t>Capsules expresso Viola décaf</t>
  </si>
  <si>
    <t>Capsules Modena Lungo</t>
  </si>
  <si>
    <t>Nectar Goyave / banane</t>
  </si>
  <si>
    <t>Nectar Abricot/Mangue</t>
  </si>
  <si>
    <t xml:space="preserve">Kinder Calendrier Sapin "Happy" </t>
  </si>
  <si>
    <t>Jus de fr.frais oran./orange sangu.</t>
  </si>
  <si>
    <t>Jus de fruits frais pomme/multifr.</t>
  </si>
  <si>
    <t>Scotch Whisky 20 ans d'âge 44 %</t>
  </si>
  <si>
    <t>Scotch Whisky blended 16 ans 45 %</t>
  </si>
  <si>
    <t>Chinois sapin aux pépites de choco</t>
  </si>
  <si>
    <t>Beaujolais nouveau AOP rouge</t>
  </si>
  <si>
    <t>Tiger Crunch / Turtle Crousti</t>
  </si>
  <si>
    <t>Milk Pillows XXL</t>
  </si>
  <si>
    <t>Choco Shells XXL</t>
  </si>
  <si>
    <t>Choco Rice XXL</t>
  </si>
  <si>
    <t>Tiger Crunch XXL</t>
  </si>
  <si>
    <t>Nougat Bits XXL</t>
  </si>
  <si>
    <t>Milk-Choco-Bits XXL</t>
  </si>
  <si>
    <t>Domaine Château Bleu Beaujolais AOP</t>
  </si>
  <si>
    <t>Farine Bio T65</t>
  </si>
  <si>
    <t xml:space="preserve">Farine T45 </t>
  </si>
  <si>
    <t>Perlembourg Pils 4.2%</t>
  </si>
  <si>
    <t>Papier toilette rose 12 rouleaux</t>
  </si>
  <si>
    <t>Projecteur rechargeable 6 V</t>
  </si>
  <si>
    <t>Gants de toilette 16 x 21 cm 2p.</t>
  </si>
  <si>
    <t>Machine à pain 850 W</t>
  </si>
  <si>
    <t>Fer à boucler/lisser de voyage</t>
  </si>
  <si>
    <t>PFAFF Machine à coudre</t>
  </si>
  <si>
    <t>Pyjashort homme</t>
  </si>
  <si>
    <t>Minuteur de cuisine</t>
  </si>
  <si>
    <t>Mini-meuble décoratif</t>
  </si>
  <si>
    <t>Plat à four emaillé</t>
  </si>
  <si>
    <t>Coupe bordure sans fil</t>
  </si>
  <si>
    <t>Glacière électrique 230 V</t>
  </si>
  <si>
    <t>Compresseur portatif 180 l/min</t>
  </si>
  <si>
    <t>Groupe électrogène 2800 W</t>
  </si>
  <si>
    <t>Multimètre numérique 250 V</t>
  </si>
  <si>
    <t>Sorbetière 12 W</t>
  </si>
  <si>
    <t>Barbecue pliant</t>
  </si>
  <si>
    <t>Détecteur de mesure 5 en 1 + laser</t>
  </si>
  <si>
    <t>Sorbetière Duo 12 W</t>
  </si>
  <si>
    <t>Mini four gril 1200 W</t>
  </si>
  <si>
    <t>Machine à coudre 33 points</t>
  </si>
  <si>
    <t>Sheffield Guitare classique+access.</t>
  </si>
  <si>
    <t>Mini four/gril tournebroche 1500 W</t>
  </si>
  <si>
    <t>Plaque à induction 2 000 W</t>
  </si>
  <si>
    <t>Coussin décoratif</t>
  </si>
  <si>
    <t>Pèse-personne en verre</t>
  </si>
  <si>
    <t>Miroir Ø 39 cm</t>
  </si>
  <si>
    <t>Tondeuse barbe/cheveux 600 mAh</t>
  </si>
  <si>
    <t>Sanitas Épilateur à lumière pulsée</t>
  </si>
  <si>
    <t>Taille-haies à manche long 900 W</t>
  </si>
  <si>
    <t>Coupe-branches sans fil 12 V</t>
  </si>
  <si>
    <t>Coussin cervical chauffant 100 W</t>
  </si>
  <si>
    <t>Saladier / coupelles 4 p.</t>
  </si>
  <si>
    <t>Boîte cotons-tiges/démaquillants</t>
  </si>
  <si>
    <t>Emporte-pièces 26 p.</t>
  </si>
  <si>
    <t>Poêle en aluminium forgé Ø 28 cm</t>
  </si>
  <si>
    <t>Oreiller 60 x 60 cm</t>
  </si>
  <si>
    <t>Chaussures basses homme</t>
  </si>
  <si>
    <t>Blender Pro</t>
  </si>
  <si>
    <t>Blender 550 W</t>
  </si>
  <si>
    <t>Radiateur soufflant 2000 W</t>
  </si>
  <si>
    <t>Pochettes de plastification</t>
  </si>
  <si>
    <t>Montre femme</t>
  </si>
  <si>
    <t>Établi pour enfant avec accessoires</t>
  </si>
  <si>
    <t>Roulettes de transport 4 p./ 8 p.</t>
  </si>
  <si>
    <t>Mug isotherme électrique 12 V</t>
  </si>
  <si>
    <t>Lampe baladeuse rechargeable</t>
  </si>
  <si>
    <t>Coussin de tourbe cervical</t>
  </si>
  <si>
    <t>Planche à repasser de table</t>
  </si>
  <si>
    <t>Fer à repasser vapeur 2400 W</t>
  </si>
  <si>
    <t>Rasoir têtes rotatives 3,7V</t>
  </si>
  <si>
    <t>Mini-serre de jardin</t>
  </si>
  <si>
    <t>Nappe 85x85cm/chemin table 50x150cm</t>
  </si>
  <si>
    <t>Parure de lit renforcé 140x200 cm</t>
  </si>
  <si>
    <t>Mixeur plongeant 3 en 1 / 600 W</t>
  </si>
  <si>
    <t xml:space="preserve">Faitout acier inoxydable 24 cm </t>
  </si>
  <si>
    <t>Pèse-personne 180 kg</t>
  </si>
  <si>
    <t>Zenker Moule à charnière rectangul.</t>
  </si>
  <si>
    <t>Râpe électrique anti callosité</t>
  </si>
  <si>
    <t>Lampadaire LED</t>
  </si>
  <si>
    <t>Lampadaire LED avec pied en bois</t>
  </si>
  <si>
    <t>Brosse à dents électrique 3,7V</t>
  </si>
  <si>
    <t>Couette Aegis 140 x 200 cm</t>
  </si>
  <si>
    <t xml:space="preserve">Friteuse à air chaud </t>
  </si>
  <si>
    <t>Grille-pain double 1500 W</t>
  </si>
  <si>
    <t xml:space="preserve">Balance de cuisine motif vintage </t>
  </si>
  <si>
    <t>Balise solaire Led 25cm</t>
  </si>
  <si>
    <t xml:space="preserve">Faitout acier inoxydable 16 cm </t>
  </si>
  <si>
    <t>Montre homme</t>
  </si>
  <si>
    <t>Bottines fille</t>
  </si>
  <si>
    <t>Chargeur pour batterie de voiture</t>
  </si>
  <si>
    <t>Coussin massage Shiatsu nuque/dos</t>
  </si>
  <si>
    <t>Perceuse-visseuse sans fil 12 V</t>
  </si>
  <si>
    <t>Gril multifonction 1000 W</t>
  </si>
  <si>
    <t>Projecteur LED + détecteur mouv.</t>
  </si>
  <si>
    <t>Coupe-bordures taille-haie 3,6V</t>
  </si>
  <si>
    <t>Tondeuse électrique 1200 W</t>
  </si>
  <si>
    <t>Pot de fleurs rond/soucoupe 45 cm</t>
  </si>
  <si>
    <t>Moustiquaire fenêtre 130x160cm</t>
  </si>
  <si>
    <t>Rouleau de fitness</t>
  </si>
  <si>
    <t>Balai vapeur</t>
  </si>
  <si>
    <t>Couverture sol patchwork bébé</t>
  </si>
  <si>
    <t xml:space="preserve">Matelas enfant 70x140 </t>
  </si>
  <si>
    <t>Planche de service marbre</t>
  </si>
  <si>
    <t>Jean boyfriend femme</t>
  </si>
  <si>
    <t>Robot de cuisine 1200 W</t>
  </si>
  <si>
    <t>Grille de barbecue</t>
  </si>
  <si>
    <t>Set de boîtes de conservation 3 p.</t>
  </si>
  <si>
    <t>Planche à découper en verre</t>
  </si>
  <si>
    <t>Balance de cuisine</t>
  </si>
  <si>
    <t>Poêle céramique induction 28cm</t>
  </si>
  <si>
    <t>Batterie Powerbank 6000 mAh</t>
  </si>
  <si>
    <t>Coupe-branches aluminium</t>
  </si>
  <si>
    <t>Cisaille à gazon</t>
  </si>
  <si>
    <t>Mini-outil multifonction 160 W</t>
  </si>
  <si>
    <t>Poste à souder</t>
  </si>
  <si>
    <t>Chaussettes de course homme</t>
  </si>
  <si>
    <t>Couette microfibre 240x220cm</t>
  </si>
  <si>
    <t>Réchaud,lampe, lampe à souder</t>
  </si>
  <si>
    <t>Livre de bricolage</t>
  </si>
  <si>
    <t>Assortiment pièces de bricolage</t>
  </si>
  <si>
    <t>Dictionnaire en images et logiciel</t>
  </si>
  <si>
    <t xml:space="preserve">Arroseur oscillant/canon </t>
  </si>
  <si>
    <t>Pochettes plastification A3 20 p.</t>
  </si>
  <si>
    <t>Trieurs à soufflet 2 p.</t>
  </si>
  <si>
    <t>Balai d'extérieur télescopique</t>
  </si>
  <si>
    <t>Miroir grossissant</t>
  </si>
  <si>
    <t>Batterie+chargeur outils sans fil</t>
  </si>
  <si>
    <t>Tefal Easy Pressing Centrale vapeur</t>
  </si>
  <si>
    <t>Séchoir radiateur 3 m</t>
  </si>
  <si>
    <t>Sanitas Tensiomètre vocal</t>
  </si>
  <si>
    <t>Sanitas Bottes de pressothérapie</t>
  </si>
  <si>
    <t>Canne télescopique en aluminium</t>
  </si>
  <si>
    <t>Babyliss Tondeuse multiusage</t>
  </si>
  <si>
    <t>Coupe-bordure sans fil 20 V</t>
  </si>
  <si>
    <t>Plat à four</t>
  </si>
  <si>
    <t>Ustensile pour barbecue</t>
  </si>
  <si>
    <t>Batterie Powerbank 5000 mAh</t>
  </si>
  <si>
    <t>Ballarini Set poêle/plat/accessoi</t>
  </si>
  <si>
    <t>Grille pour barbecue</t>
  </si>
  <si>
    <t>Plaque de four extensible</t>
  </si>
  <si>
    <t>Mixeur plongeant 600 W</t>
  </si>
  <si>
    <t>Sorbetière 200 W</t>
  </si>
  <si>
    <t>Balance de cuisine avec horloge</t>
  </si>
  <si>
    <t>Ventilateur colonne 45 W</t>
  </si>
  <si>
    <t>Coupe-branches</t>
  </si>
  <si>
    <t>Set clés à douille/accessoires 216p</t>
  </si>
  <si>
    <t>Récepteur radio multibande</t>
  </si>
  <si>
    <t>Balance de cuisine vintage 5kg</t>
  </si>
  <si>
    <t>Caméra d'inspection avec écran</t>
  </si>
  <si>
    <t>Malle de rangement 270 L</t>
  </si>
  <si>
    <t>Accessoires pour perceuse</t>
  </si>
  <si>
    <t>Scie sauteuse pendulaire 800 W</t>
  </si>
  <si>
    <t>Lames de scie sauteuse</t>
  </si>
  <si>
    <t>Set de tournevis et embouts 37 p.</t>
  </si>
  <si>
    <t>Cutter professionnel</t>
  </si>
  <si>
    <t>Fauteuil relax anthracite</t>
  </si>
  <si>
    <t>Brosse pour barbecue</t>
  </si>
  <si>
    <t>Décapeur thermique 2 000 W</t>
  </si>
  <si>
    <t xml:space="preserve">Lampe solaire à LED </t>
  </si>
  <si>
    <t>Set arrosage goutte à goutte 57 p.</t>
  </si>
  <si>
    <t>Ponceuse vibrante/excentrique</t>
  </si>
  <si>
    <t>Pèse-personne bambou</t>
  </si>
  <si>
    <t>Pinces à linge 20 p.</t>
  </si>
  <si>
    <t xml:space="preserve">Montre femme </t>
  </si>
  <si>
    <t>Râpe électrique anti-callosités</t>
  </si>
  <si>
    <t>Ustensiles de cuisine 5 p.</t>
  </si>
  <si>
    <t xml:space="preserve">Station météo </t>
  </si>
  <si>
    <t>Organiseur de camping</t>
  </si>
  <si>
    <t>Horloge murale</t>
  </si>
  <si>
    <t>Menabo Barres de toit aluminium 120</t>
  </si>
  <si>
    <t>Bloc activités enfant</t>
  </si>
  <si>
    <t>Pantalon technique femme</t>
  </si>
  <si>
    <t>Pantalon sarouel grossesse</t>
  </si>
  <si>
    <t>Batteur avec accessoires 300 W</t>
  </si>
  <si>
    <t>Appareil croque/gaufres.3en1 750 W</t>
  </si>
  <si>
    <t>Set de douche</t>
  </si>
  <si>
    <t>Étagère de douche téléscopique</t>
  </si>
  <si>
    <t>Ponceuse station. bande 240 W</t>
  </si>
  <si>
    <t>Visseuse multi-embouts sans fil</t>
  </si>
  <si>
    <t>Accessoire de manucure/pédicure</t>
  </si>
  <si>
    <t>Top sans manches femme</t>
  </si>
  <si>
    <t>Photophore bouteille</t>
  </si>
  <si>
    <t>Housse protection barbecue</t>
  </si>
  <si>
    <t>Cadre photo en bois</t>
  </si>
  <si>
    <t>Tournevis-burins 6 p.</t>
  </si>
  <si>
    <t>Bâche de protection 4x5m</t>
  </si>
  <si>
    <t>Veilleuse LED USB</t>
  </si>
  <si>
    <t>Bougie LED/figurine LED</t>
  </si>
  <si>
    <t>Serviettes toilette 50x100cm 2p.</t>
  </si>
  <si>
    <t>Serviette de bain éponge 100x150cm</t>
  </si>
  <si>
    <t>Station météo</t>
  </si>
  <si>
    <t>Tapis multiusage 200x300 cm</t>
  </si>
  <si>
    <t>Rideau de fils 90x240 cm</t>
  </si>
  <si>
    <t>Couette avec Polygiene 140x200 cm</t>
  </si>
  <si>
    <t>Couette avec Polygiene 240x220 cm</t>
  </si>
  <si>
    <t>Pot/dessous plat/plateau oriental</t>
  </si>
  <si>
    <t>Tapis 150x90 cm</t>
  </si>
  <si>
    <t>Lampe à poser style oriental</t>
  </si>
  <si>
    <t>Convecteur 2 300 W</t>
  </si>
  <si>
    <t>Set de tampons 23p</t>
  </si>
  <si>
    <t>Coussin /cale-nuque</t>
  </si>
  <si>
    <t>Papier cadeau 5 m x 70 cm</t>
  </si>
  <si>
    <t>Sac de courses</t>
  </si>
  <si>
    <t>T-shirt technique seamless femme</t>
  </si>
  <si>
    <t>Corsaire technique femme</t>
  </si>
  <si>
    <t>Drap-housse jersey 180-200x200x25cm</t>
  </si>
  <si>
    <t>Débardeur technique seamless femme</t>
  </si>
  <si>
    <t>Veste technique seamless femme</t>
  </si>
  <si>
    <t>Jean stretch femme</t>
  </si>
  <si>
    <t>T-shirt technique homme</t>
  </si>
  <si>
    <t>Short technique homme</t>
  </si>
  <si>
    <t>Chaussettes de sport homme 2 paires</t>
  </si>
  <si>
    <t>Chaussettes de sport femme 2 p.</t>
  </si>
  <si>
    <t>Destructeur de documents portatif</t>
  </si>
  <si>
    <t>Papier photo A4 50 feuilles</t>
  </si>
  <si>
    <t>Ballerines femme</t>
  </si>
  <si>
    <t>Escarpins ou sandales femme</t>
  </si>
  <si>
    <t>Mitigeur de cuisine</t>
  </si>
  <si>
    <t>Scie sabre sans fil 20 V</t>
  </si>
  <si>
    <t xml:space="preserve">Valise polycarbonate argenté 60 l </t>
  </si>
  <si>
    <t>Valise polycarbonate anthra 60L</t>
  </si>
  <si>
    <t>Radiateur bain d'huile blanc 2400W</t>
  </si>
  <si>
    <t>Lanterne à LED</t>
  </si>
  <si>
    <t>Pince ou tenaille</t>
  </si>
  <si>
    <t>Plastifieuse</t>
  </si>
  <si>
    <t>Projecteur solaire à LED</t>
  </si>
  <si>
    <t>Fer à repasser vapeur 1750 W</t>
  </si>
  <si>
    <t>Four micro-ondes 4 en 1</t>
  </si>
  <si>
    <t>Scie sur table 2000 W</t>
  </si>
  <si>
    <t>Sauteuse en aluminium Ø 28 cm</t>
  </si>
  <si>
    <t>Coffret de rangement</t>
  </si>
  <si>
    <t>Set de roulettes 4 ou 8p</t>
  </si>
  <si>
    <t>Table d'appoint en bois Ø 40cm</t>
  </si>
  <si>
    <t>Nettoyeur haute pression 110 bar</t>
  </si>
  <si>
    <t>Caisse à monnaie</t>
  </si>
  <si>
    <t>Étagère de douche chromée</t>
  </si>
  <si>
    <t>Set d'embouts et cliquet 53p</t>
  </si>
  <si>
    <t>Marteau perforateur 1300 W</t>
  </si>
  <si>
    <t>Élagueuse sur perche sans fil 20 V</t>
  </si>
  <si>
    <t>Taille-haies sur perche 900 W</t>
  </si>
  <si>
    <t>Tronçonneuse électrique 2200 W</t>
  </si>
  <si>
    <t>Aspirateur souffleur broyeur 3000W</t>
  </si>
  <si>
    <t xml:space="preserve">Clé à choc pneumatique </t>
  </si>
  <si>
    <t>Brosse à dents électrique</t>
  </si>
  <si>
    <t>Wahl G.E. Tondeuse à cheveux</t>
  </si>
  <si>
    <t xml:space="preserve">Sanitas Ceinture lombaire </t>
  </si>
  <si>
    <t>Sanitas Set de manucure et pédicure</t>
  </si>
  <si>
    <t>Sanitas Coussin chauffant dos/nuque</t>
  </si>
  <si>
    <t>Support roulant pour plantes</t>
  </si>
  <si>
    <t>Banc avec coffre</t>
  </si>
  <si>
    <t>Jegging fille</t>
  </si>
  <si>
    <t>Lampe LED avec détecteur mouvement</t>
  </si>
  <si>
    <t>Outil multifonction 4 en 1 sans fil</t>
  </si>
  <si>
    <t>Saladier/Coupelles en bambou 2p</t>
  </si>
  <si>
    <t>Couvre-plaques cuisson verre 2 p.</t>
  </si>
  <si>
    <t>Balance de cuisine acier inoxydable</t>
  </si>
  <si>
    <t>Vacu Vin Plat de service pour dips</t>
  </si>
  <si>
    <t>Cocotte en fonte émaillée 2,8 l</t>
  </si>
  <si>
    <t>Mini piano enfant</t>
  </si>
  <si>
    <t xml:space="preserve">Ferme ou maison ou supermarché </t>
  </si>
  <si>
    <t>Train ou camion télécommandé</t>
  </si>
  <si>
    <t>Set de rails et de routes en bois</t>
  </si>
  <si>
    <t>Set de rails Tour du Monde en bois</t>
  </si>
  <si>
    <t xml:space="preserve">Cuisine en bois pour enfant </t>
  </si>
  <si>
    <t>Balance/caisse enregistreuse bois</t>
  </si>
  <si>
    <t>Casque Bluetooth®</t>
  </si>
  <si>
    <t>Jeu de marchande</t>
  </si>
  <si>
    <t xml:space="preserve">Lit d'appoint </t>
  </si>
  <si>
    <t>Accessoire cuisine en bois enfant</t>
  </si>
  <si>
    <t xml:space="preserve">Multiprise </t>
  </si>
  <si>
    <t>Jeu ou puzzle en bois</t>
  </si>
  <si>
    <t xml:space="preserve">Jouet d'éveil </t>
  </si>
  <si>
    <t>Parking, aéroport ou rails en bois</t>
  </si>
  <si>
    <t>Maison de poupées</t>
  </si>
  <si>
    <t>Bateau pirate/ferme/château en bois</t>
  </si>
  <si>
    <t>Sac à dos trolley enfant licence</t>
  </si>
  <si>
    <t xml:space="preserve">Sac à dos enfant licence </t>
  </si>
  <si>
    <t>Ponceuse à bande 600 W</t>
  </si>
  <si>
    <t>Fisher Price Trotteur zèbre</t>
  </si>
  <si>
    <t>Sac à végétaux avec couvercle</t>
  </si>
  <si>
    <t>Panier à provisions</t>
  </si>
  <si>
    <t>Débardeur technique femme</t>
  </si>
  <si>
    <t>Pot ou réducteur WC enfant licence</t>
  </si>
  <si>
    <t>Marchepied licence</t>
  </si>
  <si>
    <t>Corsaire ou legging technique femme</t>
  </si>
  <si>
    <t>Pfaff Machine à coudre</t>
  </si>
  <si>
    <t>Appareil petit-déjeuner américain</t>
  </si>
  <si>
    <t>Vileda Housses balai Ultramat 2p</t>
  </si>
  <si>
    <t>Set de coupelles 3 p.</t>
  </si>
  <si>
    <t>Coupe-légumes en spirale 80 W</t>
  </si>
  <si>
    <t>Tondeuse pour animaux</t>
  </si>
  <si>
    <t>Jean femme</t>
  </si>
  <si>
    <t>Gants de travail</t>
  </si>
  <si>
    <t>Mini-scie circulaire 500 W</t>
  </si>
  <si>
    <t>Aimant spécial soudure ou double</t>
  </si>
  <si>
    <t>Électrodes soudure universelles 1kg</t>
  </si>
  <si>
    <t>Pinces-étaux 3 p.</t>
  </si>
  <si>
    <t>Rideau de douche 180 x 200 cm</t>
  </si>
  <si>
    <t>Plafonnier LED variateur de blanc</t>
  </si>
  <si>
    <t>Casque de soudage automatique</t>
  </si>
  <si>
    <t>Set couture ou fil à coudre</t>
  </si>
  <si>
    <t xml:space="preserve">Écussons thermocollants </t>
  </si>
  <si>
    <t>Outil multifonction précision 160 W</t>
  </si>
  <si>
    <t>Rideaux à pattes 140x245 cm 2p</t>
  </si>
  <si>
    <t>Patère 3 crochets</t>
  </si>
  <si>
    <t>Vase/boîte décorative bois 1 ou 2p</t>
  </si>
  <si>
    <t>Jardinière suspendue</t>
  </si>
  <si>
    <t>Lampe de table</t>
  </si>
  <si>
    <t>Accessoires pour soutien-gorge</t>
  </si>
  <si>
    <t>Grille-pain 950 W</t>
  </si>
  <si>
    <t>Bottines cuir femme</t>
  </si>
  <si>
    <t xml:space="preserve">Polo homme </t>
  </si>
  <si>
    <t>Pull femme</t>
  </si>
  <si>
    <t>Veste en cuir femme</t>
  </si>
  <si>
    <t>Pantalon de tailleur femme</t>
  </si>
  <si>
    <t>Bocaux 0,5 l 4p</t>
  </si>
  <si>
    <t>Serre-joints à une main 2/4p.</t>
  </si>
  <si>
    <t>Vis pour bois aggloméré</t>
  </si>
  <si>
    <t>Humidimétre/détecteur/télémètre</t>
  </si>
  <si>
    <t>Pile rechargeable</t>
  </si>
  <si>
    <t>Lampe UV piège à insectes</t>
  </si>
  <si>
    <t>Mini four/gril 1500 W</t>
  </si>
  <si>
    <t>Pattex Colle contact</t>
  </si>
  <si>
    <t>Robot cuisine anthracite 1300W</t>
  </si>
  <si>
    <t>Pattex Colle instantanée</t>
  </si>
  <si>
    <t>Caméra d'inspection</t>
  </si>
  <si>
    <t xml:space="preserve">Sanitas Tensiomètre </t>
  </si>
  <si>
    <t>Mijoteuse électrique 215 W</t>
  </si>
  <si>
    <t>Set de casseroles 5 p.</t>
  </si>
  <si>
    <t>Gaufrier double 1 200 W</t>
  </si>
  <si>
    <t>Monsieur Cuisine édition plus</t>
  </si>
  <si>
    <t>Raclette-gril 1400 W</t>
  </si>
  <si>
    <t>Peinture blanche intérieur 10 l</t>
  </si>
  <si>
    <t>Flûtes à champagne/verres à vin 6p</t>
  </si>
  <si>
    <t>Service à fondue électrique 1500 W</t>
  </si>
  <si>
    <t>Peinture pièces humides 2,5 l</t>
  </si>
  <si>
    <t>Gel de protection pour bois 5 l</t>
  </si>
  <si>
    <t>Appareil de mise sous-vide</t>
  </si>
  <si>
    <t>Rouleaux de film plastique 2 ou 3p.</t>
  </si>
  <si>
    <t xml:space="preserve">Blender chauffant </t>
  </si>
  <si>
    <t>Projecteur extérieur LED 8,5 W</t>
  </si>
  <si>
    <t>Lubrifiant ou huile 300 ml</t>
  </si>
  <si>
    <t>Pinceaux plats 6p</t>
  </si>
  <si>
    <t>Pots de cuisine 2 p.</t>
  </si>
  <si>
    <t>Plat de service</t>
  </si>
  <si>
    <t>Réglette à LED</t>
  </si>
  <si>
    <t>Rouleau à peinture 25 cm</t>
  </si>
  <si>
    <t>Papier cadeau 0,7 x 5 m</t>
  </si>
  <si>
    <t>Rouleaux à peinture/rouleau d'angle</t>
  </si>
  <si>
    <t>Lampadaire à LED</t>
  </si>
  <si>
    <t>Suspension à LED double</t>
  </si>
  <si>
    <t>Lampe LED avec capteur</t>
  </si>
  <si>
    <t>3M Ruban adhésif mousse / saisons</t>
  </si>
  <si>
    <t>Cordon lumineux intérieur/extérieur</t>
  </si>
  <si>
    <t>Couverts enfant 4p.</t>
  </si>
  <si>
    <t>Câble de charge et synchronisation</t>
  </si>
  <si>
    <t>Platine vinyle USB</t>
  </si>
  <si>
    <t>Piles rechargeables NI-MH 4p.</t>
  </si>
  <si>
    <t>Sandales femme</t>
  </si>
  <si>
    <t>Mini enceinte Bluetooth®</t>
  </si>
  <si>
    <t>Ansmann piles pour app. auditifs</t>
  </si>
  <si>
    <t>Décoration de Noël en bois naturel</t>
  </si>
  <si>
    <t>Tapis égouttoirs/protection machine</t>
  </si>
  <si>
    <t>Housse de coussin effet LED</t>
  </si>
  <si>
    <t xml:space="preserve">Espadrilles femme </t>
  </si>
  <si>
    <t>Matelas confort 7 zones 140x190 cm</t>
  </si>
  <si>
    <t>Parure de lit double face 140x200cm</t>
  </si>
  <si>
    <t>Balai serpillière</t>
  </si>
  <si>
    <t xml:space="preserve">Dirt Devil Aspirateur Pick Up Plus </t>
  </si>
  <si>
    <t>Set de toiles à peindre 5 p.</t>
  </si>
  <si>
    <t>Tondeuse-épilateur femme 3,7 V</t>
  </si>
  <si>
    <t>Pistolet à cartouche/accessoires 7p</t>
  </si>
  <si>
    <t>Peinture ou craies pastel</t>
  </si>
  <si>
    <t>Set de perforatrices</t>
  </si>
  <si>
    <t>Stylos à paillettes 5p</t>
  </si>
  <si>
    <t>Porte-rouleau de papier toilette</t>
  </si>
  <si>
    <t>Rouleau peinture télescopique</t>
  </si>
  <si>
    <t>Mini-blocs de coloriage 6p</t>
  </si>
  <si>
    <t>UHU Colle instantanée/universelle/b</t>
  </si>
  <si>
    <t>Poubelle de salle de bains 3 L</t>
  </si>
  <si>
    <t>Serviette douche éponge 70x140 cm</t>
  </si>
  <si>
    <t>Serviette bain éponge 100x150 cm</t>
  </si>
  <si>
    <t>Marabu Creabox Feutres ou crayons</t>
  </si>
  <si>
    <t>Accessoire de maquillage</t>
  </si>
  <si>
    <t xml:space="preserve">Râpe céramique ou lime pour pieds </t>
  </si>
  <si>
    <t>Fer à souder sans fil</t>
  </si>
  <si>
    <t>Filets à linge 2 ou 3p</t>
  </si>
  <si>
    <t>Set de brosses métalliques 4p</t>
  </si>
  <si>
    <t>Housse pour table à repasser</t>
  </si>
  <si>
    <t>Panier à linge 37 L</t>
  </si>
  <si>
    <t>Pfaff Fer à vapeur</t>
  </si>
  <si>
    <t>Espadrilles femme</t>
  </si>
  <si>
    <t>Set de clés plates ou polygonales</t>
  </si>
  <si>
    <t>Set de tournevis et embouts</t>
  </si>
  <si>
    <t>Niveau laser en croix</t>
  </si>
  <si>
    <t>Coupe-bordure/taille-haie sans fil</t>
  </si>
  <si>
    <t>Serre-câbles 100p</t>
  </si>
  <si>
    <t xml:space="preserve">Corde / ficelle ou cordeau </t>
  </si>
  <si>
    <t>Set de pinces perforatrices</t>
  </si>
  <si>
    <t>Set de niveaux à bulle avec embouts</t>
  </si>
  <si>
    <t>Drap-housse jersey 140-160x200x25cm</t>
  </si>
  <si>
    <t>Parure de lit enfant 140x200cm</t>
  </si>
  <si>
    <t>Set de tournevis de précision</t>
  </si>
  <si>
    <t>T-shirt technique de ski femme</t>
  </si>
  <si>
    <t>Caleçon de ski femme</t>
  </si>
  <si>
    <t>Sous-vêtement de ski femme</t>
  </si>
  <si>
    <t>Cagoule de ski</t>
  </si>
  <si>
    <t>T-shirt technique de ski homme</t>
  </si>
  <si>
    <t>Veste polaire/powerstretch homme</t>
  </si>
  <si>
    <t>Guirlande d'été à LED</t>
  </si>
  <si>
    <t>Pinces à linge 20p</t>
  </si>
  <si>
    <t>Râpe à légumes électrique 150 W</t>
  </si>
  <si>
    <t>Boîte bijoux/organiseur maquillage</t>
  </si>
  <si>
    <t>Jean super skinny femme</t>
  </si>
  <si>
    <t>Station de charge USB</t>
  </si>
  <si>
    <t>Veste softshell femme</t>
  </si>
  <si>
    <t>Gants techniques femme</t>
  </si>
  <si>
    <t>Couteau de cuisine</t>
  </si>
  <si>
    <t>Set de manucure/pédicure</t>
  </si>
  <si>
    <t>Boîtes de conservation en verre 3p</t>
  </si>
  <si>
    <t>Boîte à pique-nique</t>
  </si>
  <si>
    <t>Vaisselle en plastique</t>
  </si>
  <si>
    <t>Sanitas Sèche-ongles UV et LED</t>
  </si>
  <si>
    <t>Housse banquette/coffre de voiture</t>
  </si>
  <si>
    <t>Set de cordes pour guitare</t>
  </si>
  <si>
    <t>Jegging femme</t>
  </si>
  <si>
    <t>Blouse femme</t>
  </si>
  <si>
    <t>Centrifugeuse 450 W</t>
  </si>
  <si>
    <t>Veste femme</t>
  </si>
  <si>
    <t>Pull en maille fine femme</t>
  </si>
  <si>
    <t>Couteau Kushino 32 cm</t>
  </si>
  <si>
    <t>Couteau Kushino 23 cm</t>
  </si>
  <si>
    <t xml:space="preserve">Couteau Kushino 19,5 cm </t>
  </si>
  <si>
    <t>Économe</t>
  </si>
  <si>
    <t>Pyjama femme</t>
  </si>
  <si>
    <t>Legging femme</t>
  </si>
  <si>
    <t>Set cliquet rotatif et accessoires</t>
  </si>
  <si>
    <t>Combinaison femme</t>
  </si>
  <si>
    <t>Cliquet ou rallonge cliquet 1/2p</t>
  </si>
  <si>
    <t>T-shirts femme 2 p.</t>
  </si>
  <si>
    <t>T-shirt wellness femme</t>
  </si>
  <si>
    <t>Portefeuille en cuir femme</t>
  </si>
  <si>
    <t>Pyjama femme 3p</t>
  </si>
  <si>
    <t>Saladiers acier inoxydable 3 p.</t>
  </si>
  <si>
    <t>Sauteuse revêtement céramique 28cm</t>
  </si>
  <si>
    <t>Olympia Massicot à levier et lame</t>
  </si>
  <si>
    <t>Poêle revêtement céramique 28 cm</t>
  </si>
  <si>
    <t>Poêle revêtement céramique 24 cm</t>
  </si>
  <si>
    <t>Planche à découper en bambou</t>
  </si>
  <si>
    <t>Appareil à panini et gril 2000 W</t>
  </si>
  <si>
    <t>Moulin à café électrique 150 W</t>
  </si>
  <si>
    <t>Bouilloire verre variation couleur</t>
  </si>
  <si>
    <t>Couverture bébé 75x100 cm</t>
  </si>
  <si>
    <t>Décorations de Noël en verre</t>
  </si>
  <si>
    <t>Ustensile de cuisine</t>
  </si>
  <si>
    <t>Set de décorations de Noël</t>
  </si>
  <si>
    <t>Scanner de diapositives et négatifs</t>
  </si>
  <si>
    <t>Set assaisonnement ou récipient</t>
  </si>
  <si>
    <t>Machine à pâtes</t>
  </si>
  <si>
    <t>Ponceuse orbitale pneumatique</t>
  </si>
  <si>
    <t>Moulin à râper</t>
  </si>
  <si>
    <t>Moules à chaussons ou raviolis 2/3p</t>
  </si>
  <si>
    <t>Ciseaux</t>
  </si>
  <si>
    <t>Zenker Set de cuisson spécial pizza</t>
  </si>
  <si>
    <t>Branches lumineuses à LED</t>
  </si>
  <si>
    <t>Cafetière italienne</t>
  </si>
  <si>
    <t>Brosse à cheveux</t>
  </si>
  <si>
    <t>Remington Tondeuse barbe et cheveux</t>
  </si>
  <si>
    <t>Mini-rasoir</t>
  </si>
  <si>
    <t xml:space="preserve">Râpe électrique anti-callosités </t>
  </si>
  <si>
    <t>Culotte gainante femme</t>
  </si>
  <si>
    <t>Slips homme 5 p.</t>
  </si>
  <si>
    <t>Accessoire de nettoyage</t>
  </si>
  <si>
    <t>Mixeur multifonction</t>
  </si>
  <si>
    <t>Pilulier semainier</t>
  </si>
  <si>
    <t>Balai à franges avec seau 12 l</t>
  </si>
  <si>
    <t>Verres 4 p</t>
  </si>
  <si>
    <t>Organiseur ou housses de rangement</t>
  </si>
  <si>
    <t>Pince préhension/canne télescopique</t>
  </si>
  <si>
    <t>Séchoir radiateur</t>
  </si>
  <si>
    <t>Mini-pédalier</t>
  </si>
  <si>
    <t>Lunettes de lecture</t>
  </si>
  <si>
    <t>Pèse-personne vocal</t>
  </si>
  <si>
    <t>Verres à paille 4p</t>
  </si>
  <si>
    <t>Plateau antidérapant</t>
  </si>
  <si>
    <t>Porte-serviettes de porte</t>
  </si>
  <si>
    <t>Coussin de tourbe dorsal</t>
  </si>
  <si>
    <t>Set de forets ou mèches 11p</t>
  </si>
  <si>
    <t>Sac de couchage léger</t>
  </si>
  <si>
    <t>Sanitas Thermomètre multifonctions</t>
  </si>
  <si>
    <t>Boîte ou cloche à gâteau fraîcheur</t>
  </si>
  <si>
    <t>Coussin massage Shiatsu dos/nuque</t>
  </si>
  <si>
    <t>Vileda Robot dépouss.+lingettes</t>
  </si>
  <si>
    <t>Saladier avec pain de glace</t>
  </si>
  <si>
    <t>Bac à glaçons/moule à glace</t>
  </si>
  <si>
    <t>Set d'embouts/embouts et douilles</t>
  </si>
  <si>
    <t>Ceinture lombaire Pro Comfort</t>
  </si>
  <si>
    <t>Genouillère Pro Comfort</t>
  </si>
  <si>
    <t>Vis pour aggloméré 450p</t>
  </si>
  <si>
    <t>Sèche-cheveux ionique 2 000 W</t>
  </si>
  <si>
    <t>Chevillères Pro Comfort 2p</t>
  </si>
  <si>
    <t>Vileda Table à repasser</t>
  </si>
  <si>
    <t>Étendoir à linge</t>
  </si>
  <si>
    <t>Centrale vapeur 2 400 W</t>
  </si>
  <si>
    <t>Fer à souder et accessoires</t>
  </si>
  <si>
    <t>Étau universel</t>
  </si>
  <si>
    <t>Set de forets et tarauds 15p</t>
  </si>
  <si>
    <t xml:space="preserve">Table d'appoint Ø 53,5 cm </t>
  </si>
  <si>
    <t xml:space="preserve">Table d'appoint Ø 43,5 cm </t>
  </si>
  <si>
    <t>Tournevis-burins 6p</t>
  </si>
  <si>
    <t xml:space="preserve">Pièces fixation et raccordement </t>
  </si>
  <si>
    <t>Brosse à dents à ultrasons</t>
  </si>
  <si>
    <t>Medisana Thermomètre à infrarouge</t>
  </si>
  <si>
    <t>Cuit-vapeur en silicone 600 ml</t>
  </si>
  <si>
    <t>Fer à repasser vapeur 2 600 W</t>
  </si>
  <si>
    <t>Extracteur de jus</t>
  </si>
  <si>
    <t>Presse-agrumes</t>
  </si>
  <si>
    <t>Set de manucure 217p</t>
  </si>
  <si>
    <t>Sanitas épilateur à lumière pulsée</t>
  </si>
  <si>
    <t>Rasoir à têtes rotatives 3,7 V</t>
  </si>
  <si>
    <t>Coussin de massage shiatsu nuque</t>
  </si>
  <si>
    <t>Sanitas Amplificateur auditif</t>
  </si>
  <si>
    <t>Ustensile ou accessoire de cuisine</t>
  </si>
  <si>
    <t>Sèche-cheveux licence</t>
  </si>
  <si>
    <t>Fer à coiffer multif. licence</t>
  </si>
  <si>
    <t>Brosse soufflante licence</t>
  </si>
  <si>
    <t>Brosse cheveux ionique licence</t>
  </si>
  <si>
    <t>Réglette à LED pour salle de bains</t>
  </si>
  <si>
    <t>Pinceau de maquillage</t>
  </si>
  <si>
    <t>Desserte de cuisine</t>
  </si>
  <si>
    <t xml:space="preserve">Mallette de poker </t>
  </si>
  <si>
    <t>Accessoire de couture</t>
  </si>
  <si>
    <t>Aspirateur à main 7,4 V</t>
  </si>
  <si>
    <t>Tente de jeu enfant</t>
  </si>
  <si>
    <t>Visseuse à chocs sans fil 20V</t>
  </si>
  <si>
    <t>Perceuse d'établi 500 W</t>
  </si>
  <si>
    <t xml:space="preserve">Jouet outil électrique </t>
  </si>
  <si>
    <t>Scie à onglet radiale 1500 W</t>
  </si>
  <si>
    <t>Jouet électroménager</t>
  </si>
  <si>
    <t>Set de pinces 4 p.</t>
  </si>
  <si>
    <t>Scie plongeante sur rail 1 200 W</t>
  </si>
  <si>
    <t>Guide de coupe/niveau/équerres</t>
  </si>
  <si>
    <t>Coffret à douilles 29 p.</t>
  </si>
  <si>
    <t xml:space="preserve">Baskets femme </t>
  </si>
  <si>
    <t xml:space="preserve">Baskets homme </t>
  </si>
  <si>
    <t>Scie sabre sans fil sans batterie</t>
  </si>
  <si>
    <t>Serre-câbles 250 p.</t>
  </si>
  <si>
    <t>Meuleuse d'angle sans fil</t>
  </si>
  <si>
    <t>Serre</t>
  </si>
  <si>
    <t>Batterie 20V et chargeur PAP 20 A1</t>
  </si>
  <si>
    <t>Petit outil de jardinage</t>
  </si>
  <si>
    <t>Sets de table 2p/plat de service</t>
  </si>
  <si>
    <t>Short en jean fille</t>
  </si>
  <si>
    <t>Aspirateur eau et poussière 1300W</t>
  </si>
  <si>
    <t>Robe longue fille</t>
  </si>
  <si>
    <t>Taille-haie télescopique</t>
  </si>
  <si>
    <t>Bol mélangeur avec couvercle 5 l</t>
  </si>
  <si>
    <t>Tondeuse barbe et cheveux 3,7 V</t>
  </si>
  <si>
    <t>Colonne de douche bien-être à LED</t>
  </si>
  <si>
    <t>Cloche à gâteau ou à cake</t>
  </si>
  <si>
    <t>Fil pour surjeteuse</t>
  </si>
  <si>
    <t>Brosse à cheveux à fonction ionique</t>
  </si>
  <si>
    <t>Pèse-personne impédancemètre</t>
  </si>
  <si>
    <t>Thermomètre multifonction 6 en 1</t>
  </si>
  <si>
    <t xml:space="preserve">Tensiomètre </t>
  </si>
  <si>
    <t>Nécessaire de couture/fil à coudre</t>
  </si>
  <si>
    <t>Set tricot animal en peluche</t>
  </si>
  <si>
    <t>Lampe de table à LED</t>
  </si>
  <si>
    <t>Pantalon femme</t>
  </si>
  <si>
    <t>Blazer femme</t>
  </si>
  <si>
    <t>Minijupe femme</t>
  </si>
  <si>
    <t>Débardeur à fines bretelles femme</t>
  </si>
  <si>
    <t>Débardeur à paillettes femme</t>
  </si>
  <si>
    <t>Top femme</t>
  </si>
  <si>
    <t>T-shirt fille</t>
  </si>
  <si>
    <t xml:space="preserve">Yamaha Clavier </t>
  </si>
  <si>
    <t>T-shirt de football homme</t>
  </si>
  <si>
    <t>Étagère spéciale charges lourdes</t>
  </si>
  <si>
    <t>Pochette femme</t>
  </si>
  <si>
    <t>Lampadaire LED intensité variable</t>
  </si>
  <si>
    <t>Thermomètre infrarouge</t>
  </si>
  <si>
    <t>Protège pare-brise isotherme</t>
  </si>
  <si>
    <t>Couvre-siège massant</t>
  </si>
  <si>
    <t>Pêle-mêle photos</t>
  </si>
  <si>
    <t>Film pour vitrage</t>
  </si>
  <si>
    <t>Oiseau décoratif de jardin</t>
  </si>
  <si>
    <t>Cadre photos</t>
  </si>
  <si>
    <t>Sweat zippé de football garçon</t>
  </si>
  <si>
    <t>Pompe immergée eaux chargées 1100W</t>
  </si>
  <si>
    <t>T-shirt manches longues homme</t>
  </si>
  <si>
    <t>Pots de fleurs 2p</t>
  </si>
  <si>
    <t>Mini-serre</t>
  </si>
  <si>
    <t>Sac à végétaux pliant</t>
  </si>
  <si>
    <t>Pantalon de travail professionnel</t>
  </si>
  <si>
    <t>Coussin protège-genoux</t>
  </si>
  <si>
    <t>Ensemble de football garçon 2p</t>
  </si>
  <si>
    <t>Nettoyeur haute pression 2 100 W</t>
  </si>
  <si>
    <t>Set de débouchage de canalisation</t>
  </si>
  <si>
    <t>Accessoire nettoyage haute pression</t>
  </si>
  <si>
    <t>Balai-brosse haute pression</t>
  </si>
  <si>
    <t>Parure de lit enfant 140x200 cm fla</t>
  </si>
  <si>
    <t>Gants de jardin 2p</t>
  </si>
  <si>
    <t>Chemin de table/sets de table</t>
  </si>
  <si>
    <t>Drap-housse en flanelle 90-100 x 20</t>
  </si>
  <si>
    <t>Serviettes et ronds de serviette 4p</t>
  </si>
  <si>
    <t>Pantalon de travail homme</t>
  </si>
  <si>
    <t>T-shirts homme 2 p.</t>
  </si>
  <si>
    <t>Tapis de cuisine en bambou 57x130cm</t>
  </si>
  <si>
    <t>Vis, clous ou chevilles</t>
  </si>
  <si>
    <t>Palan à chaîne 1 000 kg</t>
  </si>
  <si>
    <t>Jean slim homme</t>
  </si>
  <si>
    <t>Taille-haies élagueuse 2 en 1  900W</t>
  </si>
  <si>
    <t>Scarificateur/aérateur électrique</t>
  </si>
  <si>
    <t>Polo homme</t>
  </si>
  <si>
    <t>Pantalon en twill homme</t>
  </si>
  <si>
    <t>Brosse coiffante lissante 50 W</t>
  </si>
  <si>
    <t>Bâtons de colle pour pistolet</t>
  </si>
  <si>
    <t>Pistolet colle basse température 5W</t>
  </si>
  <si>
    <t>Hydropulseur sans fil 3,7 V</t>
  </si>
  <si>
    <t>Rabot électrique 750 W</t>
  </si>
  <si>
    <t>Fer à souder à gaz et accessoires</t>
  </si>
  <si>
    <t>Cale à poncer</t>
  </si>
  <si>
    <t>Ponceuse triangulaire 160 W</t>
  </si>
  <si>
    <t>Set de feuilles/bandes abrasives</t>
  </si>
  <si>
    <t>Cutter ou mètre ruban</t>
  </si>
  <si>
    <t>Set de feuilles abrasives 20p</t>
  </si>
  <si>
    <t>Visseuse sans fil et accessoires</t>
  </si>
  <si>
    <t xml:space="preserve">CFH Chalumeau de brasage/cartouche </t>
  </si>
  <si>
    <t>Bineuse électrique 750 W</t>
  </si>
  <si>
    <t>Set d'arrosage 13 mm (1/2"), 20 m</t>
  </si>
  <si>
    <t>Tronçonneuse électrique 2 200 W</t>
  </si>
  <si>
    <t>Pot de fleurs pour balustrade 28 cm</t>
  </si>
  <si>
    <t>Tondeuse à gazon électrique 1800W</t>
  </si>
  <si>
    <t>Parure de lit coton bio 240x220cm</t>
  </si>
  <si>
    <t>Sanitas Mini appareil de massage</t>
  </si>
  <si>
    <t>Brosse à dents électrique enfant</t>
  </si>
  <si>
    <t>Parure de lit coton bio 260x240cm</t>
  </si>
  <si>
    <t>Gril multi-usage 2 000 W</t>
  </si>
  <si>
    <t>Étagère à chaussures extensible</t>
  </si>
  <si>
    <t>Ampoules LED 2p.</t>
  </si>
  <si>
    <t>Faitout en acier inoxydable 24 cm</t>
  </si>
  <si>
    <t>Faitout en acier inoxydable 20 cm</t>
  </si>
  <si>
    <t>Forets, fraises ou mèches</t>
  </si>
  <si>
    <t>Faitout en acier inoxydable 16 cm</t>
  </si>
  <si>
    <t>Couteau ou couperet asiatique</t>
  </si>
  <si>
    <t>Suspension à LED</t>
  </si>
  <si>
    <t>Étagère métallique</t>
  </si>
  <si>
    <t>Batteur 300 W</t>
  </si>
  <si>
    <t>Balises solaires à LED</t>
  </si>
  <si>
    <t>Guirlande à LED</t>
  </si>
  <si>
    <t>Lampion solaire à LED</t>
  </si>
  <si>
    <t>Lampe LED ampoule 1 ou 2p</t>
  </si>
  <si>
    <t>Drap-housse coton bio 140 - 160 x20</t>
  </si>
  <si>
    <t>Tapis de cuisson 38 x 30 cm</t>
  </si>
  <si>
    <t>Drap-housse coton bio 180 - 200 x20</t>
  </si>
  <si>
    <t>Baladeuse rechargeable</t>
  </si>
  <si>
    <t>Étagère de jardin/supports plantes</t>
  </si>
  <si>
    <t>Embouts+mèches/embouts+forets 16p.</t>
  </si>
  <si>
    <t>Lampe solaire décorative</t>
  </si>
  <si>
    <t>Penderie</t>
  </si>
  <si>
    <t>Lampe solaire décorative à LED</t>
  </si>
  <si>
    <t>Parasol rectangulaire 200x125 cm</t>
  </si>
  <si>
    <t>Moule, plat ou plaque à four</t>
  </si>
  <si>
    <t xml:space="preserve">Clé à cliquet pneumatique </t>
  </si>
  <si>
    <t>Outil multifonction pneumatique</t>
  </si>
  <si>
    <t>Pistolet de graissage pneumatique</t>
  </si>
  <si>
    <t>Hachoir multifonction 260W</t>
  </si>
  <si>
    <t>Raccords pneumatiques</t>
  </si>
  <si>
    <t>Pistolet de sablage pneumatique</t>
  </si>
  <si>
    <t xml:space="preserve">Clé à chocs pneumatique </t>
  </si>
  <si>
    <t>Feuilles abrasives ponceuse orbital</t>
  </si>
  <si>
    <t>Tronçonneuse à métaux 1 280 W</t>
  </si>
  <si>
    <t>Tapis de voiture Prestige 4 p.</t>
  </si>
  <si>
    <t>Pompe à huile 12 V</t>
  </si>
  <si>
    <t>Arbre à chat, tunnel, griffoir</t>
  </si>
  <si>
    <t>Casque modulable taille L</t>
  </si>
  <si>
    <t>Casque modulable taille M</t>
  </si>
  <si>
    <t>Casque modulable taille XL</t>
  </si>
  <si>
    <t>Cric hydraulique 2 T</t>
  </si>
  <si>
    <t>Cliquet 3 en 1 et adaptateurs 4p</t>
  </si>
  <si>
    <t>T-shirt tech. manches longues femme</t>
  </si>
  <si>
    <t>Collant/corsaire/cuissard homme</t>
  </si>
  <si>
    <t>T-shirts homme 3 p.</t>
  </si>
  <si>
    <t>Ensemble collant + legging fille 3p</t>
  </si>
  <si>
    <t>Chaussettes de running femme</t>
  </si>
  <si>
    <t>Chaussettes de running homme</t>
  </si>
  <si>
    <t>Chaussettes invisibles femme 2p</t>
  </si>
  <si>
    <t xml:space="preserve">Collant fin femme </t>
  </si>
  <si>
    <t>Chaussettes garçon 7 p</t>
  </si>
  <si>
    <t>Chaussettes fille 7 p</t>
  </si>
  <si>
    <t>Coffret de douilles prise spéciale</t>
  </si>
  <si>
    <t>Soutien-gorge femme</t>
  </si>
  <si>
    <t>Slips femme 2p</t>
  </si>
  <si>
    <t>Boxers homme 2 p.</t>
  </si>
  <si>
    <t>Support magnétique pour couteaux</t>
  </si>
  <si>
    <t>Chauffe-biberon</t>
  </si>
  <si>
    <t>Robot cuiseur bébé</t>
  </si>
  <si>
    <t>Boîtes congélation ou conservation</t>
  </si>
  <si>
    <t>Appareil de mise sous vide à main</t>
  </si>
  <si>
    <t>Appareil à mini crêpes 1 000 W</t>
  </si>
  <si>
    <t>Sac à dos fille</t>
  </si>
  <si>
    <t>Sac à dos garçon</t>
  </si>
  <si>
    <t>Tester batterie/Clé filtre à huile</t>
  </si>
  <si>
    <t>Torchons de cuisine 5p</t>
  </si>
  <si>
    <t>Housses de sièges auto</t>
  </si>
  <si>
    <t>Rouleau pâtisserie+emporte-pièces</t>
  </si>
  <si>
    <t>Cache-pot</t>
  </si>
  <si>
    <t>Jeu pour enfant</t>
  </si>
  <si>
    <t>Boîte à biscuits</t>
  </si>
  <si>
    <t>Brassière de sport femme</t>
  </si>
  <si>
    <t>Babyphone</t>
  </si>
  <si>
    <t>Bougie dans verre ou cylindrique</t>
  </si>
  <si>
    <t>Plafonnier LED à capteur</t>
  </si>
  <si>
    <t>Set de boules de pétanque</t>
  </si>
  <si>
    <t xml:space="preserve">Accessoire décoratif  </t>
  </si>
  <si>
    <t>Chargeur PowerBank 8 000 mAh</t>
  </si>
  <si>
    <t>Pots de fleur, photophores, vase</t>
  </si>
  <si>
    <t>Table d'appoint Ø 44 cm</t>
  </si>
  <si>
    <t xml:space="preserve">Portemanteau en bambou </t>
  </si>
  <si>
    <t>Piédestal pour plantes en bambou</t>
  </si>
  <si>
    <t>Coque de protection pour smartphone</t>
  </si>
  <si>
    <t>Lanterne photophore en métal</t>
  </si>
  <si>
    <t>Souris sans fil</t>
  </si>
  <si>
    <t>Boîte, photophores, cage décorative</t>
  </si>
  <si>
    <t>Projecteur à LED 30 W</t>
  </si>
  <si>
    <t>Chaussures de sécurité en cuir</t>
  </si>
  <si>
    <t>Popote de camping</t>
  </si>
  <si>
    <t>Guirlande lumineuse à LED</t>
  </si>
  <si>
    <t>Tapis de bain 60x100 cm</t>
  </si>
  <si>
    <t xml:space="preserve">Kit de tricot housse de coussin </t>
  </si>
  <si>
    <t>Corbeille en jacinthe d'eau</t>
  </si>
  <si>
    <t>Plaid en tricot 130x170 cm</t>
  </si>
  <si>
    <t>Sneakers homme</t>
  </si>
  <si>
    <t>Chaussures bateau en cuir homme</t>
  </si>
  <si>
    <t>Chaussures en toile femme</t>
  </si>
  <si>
    <t>T-shirts manches longues bébé fille</t>
  </si>
  <si>
    <t>Jean fille</t>
  </si>
  <si>
    <t>Sabots femme</t>
  </si>
  <si>
    <t>Escarpins femme</t>
  </si>
  <si>
    <t>Rideaux à pattes 265x135 cm</t>
  </si>
  <si>
    <t>Peignoir style kimono homme</t>
  </si>
  <si>
    <t>Plaid imprimé ou uni 150x200 cm</t>
  </si>
  <si>
    <t>Tapis de salle de bains 50x70 cm</t>
  </si>
  <si>
    <t>Chaussures de running femme</t>
  </si>
  <si>
    <t>Rideau de douche 3D</t>
  </si>
  <si>
    <t>Coussin décoratif 50x50 cm</t>
  </si>
  <si>
    <t>Couette en microfibre 140x200 cm</t>
  </si>
  <si>
    <t>Couette en microfibre 240x220 cm</t>
  </si>
  <si>
    <t>Couette en microfibre 260x240 cm</t>
  </si>
  <si>
    <t>Serviettes de toilette 50x100cm 2p.</t>
  </si>
  <si>
    <t>Rideau de douche 180x200 cm</t>
  </si>
  <si>
    <t>T-shirts garçon 2p</t>
  </si>
  <si>
    <t>Leggings fille 2p</t>
  </si>
  <si>
    <t>Jean garçon</t>
  </si>
  <si>
    <t>Rideaux occultants 135x254cm 2p</t>
  </si>
  <si>
    <t>Housses de coussin 40x40cm 2p</t>
  </si>
  <si>
    <t>Cheville liquide</t>
  </si>
  <si>
    <t>Nettoyeur interdentaire à pile</t>
  </si>
  <si>
    <t>Robe fille</t>
  </si>
  <si>
    <t>Écouteurs ou chargeur powerbank</t>
  </si>
  <si>
    <t>Robe en jean fille</t>
  </si>
  <si>
    <t>Sac de voyage penderie</t>
  </si>
  <si>
    <t>T-shirt femme</t>
  </si>
  <si>
    <t>Appareil anti-cellulite</t>
  </si>
  <si>
    <t>Parure de lit coton 140x200 cm</t>
  </si>
  <si>
    <t>Parure de lit coton 240x220 cm</t>
  </si>
  <si>
    <t>Drap-housse jersey 90-100x200x25cm</t>
  </si>
  <si>
    <t>Patère de porte ou crochets</t>
  </si>
  <si>
    <t>Nettoyeur vapeur à main</t>
  </si>
  <si>
    <t>Nettoyeur de vitres 3,7 V</t>
  </si>
  <si>
    <t>Balise, spot, lampes solaires LED</t>
  </si>
  <si>
    <t>Coffre de jardin 350 l</t>
  </si>
  <si>
    <t>Portant à vêtements pliant</t>
  </si>
  <si>
    <t>Scie sabre 710 W</t>
  </si>
  <si>
    <t>Sangle ou tendeurs</t>
  </si>
  <si>
    <t>Abattant WC</t>
  </si>
  <si>
    <t>Panier à linge 35 l</t>
  </si>
  <si>
    <t>Râpe électrique anti-callosité</t>
  </si>
  <si>
    <t>Boîtes de rangement 3/6 p</t>
  </si>
  <si>
    <t>Séchoir tour</t>
  </si>
  <si>
    <t>Brosse et porte-brosse WC</t>
  </si>
  <si>
    <t>Parasol anthracite</t>
  </si>
  <si>
    <t xml:space="preserve">Parasol écru </t>
  </si>
  <si>
    <t>Patins de protection</t>
  </si>
  <si>
    <t>Boîte de conservation ou pichet</t>
  </si>
  <si>
    <t>Chargeur Powerbank fonction solaire</t>
  </si>
  <si>
    <t>Set de niveaux à bulle 3p</t>
  </si>
  <si>
    <t>Meuleuse d'angle 2000 W</t>
  </si>
  <si>
    <t>Équerres ou pattes d'assemblage</t>
  </si>
  <si>
    <t>Disque diamant/à tronçonner/ébarber</t>
  </si>
  <si>
    <t>Set chasse-goupilles/poinçons</t>
  </si>
  <si>
    <t>Tabouret marchepied</t>
  </si>
  <si>
    <t>Malle de rangement 270 l</t>
  </si>
  <si>
    <t>Sonnette sans fil</t>
  </si>
  <si>
    <t>Triple cache-pot herbes aromatiques</t>
  </si>
  <si>
    <t>Barbecue à charbon de bois</t>
  </si>
  <si>
    <t>Housse de protection pour barbecue</t>
  </si>
  <si>
    <t>Brochettes/pince barbecue</t>
  </si>
  <si>
    <t>CFH Allume-gaz</t>
  </si>
  <si>
    <t>Sachets de conservation 20 p.</t>
  </si>
  <si>
    <t>Set d'arrosage</t>
  </si>
  <si>
    <t>Arroseur canon ou oscillant</t>
  </si>
  <si>
    <t>Serviette-turban en microfibre</t>
  </si>
  <si>
    <t>Maillot de bain femme</t>
  </si>
  <si>
    <t>Douchette multifonction 3 jets</t>
  </si>
  <si>
    <t>Set de douche multifonction 5 jets</t>
  </si>
  <si>
    <t>Mitigeur de cuisine/salle de bains</t>
  </si>
  <si>
    <t>Legging ou corsaire femme</t>
  </si>
  <si>
    <t>Débardeurs fines bretelles femme 2p</t>
  </si>
  <si>
    <t>Barbecue sphérique</t>
  </si>
  <si>
    <t>Accessoires de barbecue avec housse</t>
  </si>
  <si>
    <t>Accessoire pour barbecue</t>
  </si>
  <si>
    <t>Brosse 3 en 1 pour barbecue</t>
  </si>
  <si>
    <t>Pantalon stretch femme</t>
  </si>
  <si>
    <t>T-shirts manches longues bébé garço</t>
  </si>
  <si>
    <t>Débardeurs longs femme 2p</t>
  </si>
  <si>
    <t>Bouchon de bonde à motif</t>
  </si>
  <si>
    <t>Gigoteuse garçon</t>
  </si>
  <si>
    <t>Gigoteuse fille</t>
  </si>
  <si>
    <t>Douchette multifonction</t>
  </si>
  <si>
    <t>Flexible de douche en plastique 2 m</t>
  </si>
  <si>
    <t>Bodies manches courtes bébé fille</t>
  </si>
  <si>
    <t>Étagère de douche</t>
  </si>
  <si>
    <t>Pantalons molletonnés bébé garçon</t>
  </si>
  <si>
    <t>Pantalons molletonnés bébé fille 2p</t>
  </si>
  <si>
    <t xml:space="preserve">Bodies manches courtes bébé garçon </t>
  </si>
  <si>
    <t>Fer à lisser</t>
  </si>
  <si>
    <t>Robe de maternité</t>
  </si>
  <si>
    <t>T-shirt de grossesse</t>
  </si>
  <si>
    <t>Jean de grossesse</t>
  </si>
  <si>
    <t>Bas de pyjama femme</t>
  </si>
  <si>
    <t>T-shirt de nuit femme</t>
  </si>
  <si>
    <t>Short de nuit femme</t>
  </si>
  <si>
    <t>Combishort femme</t>
  </si>
  <si>
    <t>Peigne lisseur</t>
  </si>
  <si>
    <t>Bigoudis chauffants</t>
  </si>
  <si>
    <t>T-shirts fille 2 p.</t>
  </si>
  <si>
    <t>Fusil d'arrosage</t>
  </si>
  <si>
    <t>Robe d'été fille</t>
  </si>
  <si>
    <t>T-shirts garçon 2 p.</t>
  </si>
  <si>
    <t>Programmateur d'arrosage</t>
  </si>
  <si>
    <t>Set d'arrosage 20 m ou 30 m</t>
  </si>
  <si>
    <t>Combishort fille</t>
  </si>
  <si>
    <t>Arroseur multiforme / raccords</t>
  </si>
  <si>
    <t>Veste kimono femme</t>
  </si>
  <si>
    <t>Pistolet/lance d'arrosage</t>
  </si>
  <si>
    <t>Bermuda garçon</t>
  </si>
  <si>
    <t>Pulvérisateur à pression 5 L</t>
  </si>
  <si>
    <t>Robe longue femme</t>
  </si>
  <si>
    <t>T-shirts garçon 3p</t>
  </si>
  <si>
    <t>T-shirts fille 3p</t>
  </si>
  <si>
    <t>Combishort ou robe fille</t>
  </si>
  <si>
    <t>Bermudas garçon 2p</t>
  </si>
  <si>
    <t>Shorts fille 2p</t>
  </si>
  <si>
    <t>Shorts molletonnés garçon 2p</t>
  </si>
  <si>
    <t>Shorts molletonnés fille 2p</t>
  </si>
  <si>
    <t>T-shirts fille 2p</t>
  </si>
  <si>
    <t>Pantalon sarouel femme</t>
  </si>
  <si>
    <t>Défroisseur à main</t>
  </si>
  <si>
    <t>Taille-haies sans fil 20 V</t>
  </si>
  <si>
    <t>Sac à végétaux pliant 85 L</t>
  </si>
  <si>
    <t>Outil modulable à essence 4 en 1</t>
  </si>
  <si>
    <t>Housse de table à repasser</t>
  </si>
  <si>
    <t>Sac à linge</t>
  </si>
  <si>
    <t xml:space="preserve">Débardeur femme </t>
  </si>
  <si>
    <t>T-shirt garçon</t>
  </si>
  <si>
    <t>Short garçon</t>
  </si>
  <si>
    <t>Combinaison fille</t>
  </si>
  <si>
    <t>Débardeurs femme 2p</t>
  </si>
  <si>
    <t xml:space="preserve">Pyjashort femme </t>
  </si>
  <si>
    <t>Short femme</t>
  </si>
  <si>
    <t>Débardeur en lin femme</t>
  </si>
  <si>
    <t>Chemise homme</t>
  </si>
  <si>
    <t>Pantalon de travail</t>
  </si>
  <si>
    <t>Short de travail</t>
  </si>
  <si>
    <t>Short homme</t>
  </si>
  <si>
    <t>Short de nuit homme</t>
  </si>
  <si>
    <t>Bermuda en denim molletonné homme</t>
  </si>
  <si>
    <t xml:space="preserve">T-shirt homme </t>
  </si>
  <si>
    <t>Polo en piqué homme</t>
  </si>
  <si>
    <t>Short en twill homme</t>
  </si>
  <si>
    <t>T-shirt homme</t>
  </si>
  <si>
    <t xml:space="preserve">Pyjashort homme </t>
  </si>
  <si>
    <t>Bermuda homme</t>
  </si>
  <si>
    <t>Pantalon homme</t>
  </si>
  <si>
    <t>Pyjashort fille</t>
  </si>
  <si>
    <t>Pyjashort garçon</t>
  </si>
  <si>
    <t>Matériel d'entraînement sportif d'e</t>
  </si>
  <si>
    <t xml:space="preserve">Sanitas Thermomètre multifonction </t>
  </si>
  <si>
    <t>Gants multifonctions 2p</t>
  </si>
  <si>
    <t>Pyjashort garçon licence</t>
  </si>
  <si>
    <t>Pyjashort fille licence</t>
  </si>
  <si>
    <t>Polisseuse 120 W</t>
  </si>
  <si>
    <t>Baladeuse LED rechargeable</t>
  </si>
  <si>
    <t>Brosse spécial pare-brise</t>
  </si>
  <si>
    <t>Jean skinny femme</t>
  </si>
  <si>
    <t>Débardeurs côtelés femme 2p</t>
  </si>
  <si>
    <t>Boxers homme 2p</t>
  </si>
  <si>
    <t>Étagère pour plantes</t>
  </si>
  <si>
    <t>Short en jean femme</t>
  </si>
  <si>
    <t>Blender 600 W</t>
  </si>
  <si>
    <t>Hipsters femme 3p.</t>
  </si>
  <si>
    <t>Jean girlfriend femme</t>
  </si>
  <si>
    <t>Soutien-gorge à armatures</t>
  </si>
  <si>
    <t>Robe pull femme</t>
  </si>
  <si>
    <t>Support pour smartphone de voiture</t>
  </si>
  <si>
    <t>Planche à découper bambou+récipient</t>
  </si>
  <si>
    <t>Boîtes conservation verre/bambou 3p</t>
  </si>
  <si>
    <t xml:space="preserve">Carrousel à épices bambou </t>
  </si>
  <si>
    <t>Collant femme 80 DEN</t>
  </si>
  <si>
    <t>Machine à expresso 1 100 W</t>
  </si>
  <si>
    <t>Moulin à sel/poivre électrique</t>
  </si>
  <si>
    <t>Soutien-gorge en dentelle femme</t>
  </si>
  <si>
    <t xml:space="preserve">Slips brésiliens en dentelle femme </t>
  </si>
  <si>
    <t>Gants de jardin avec latex</t>
  </si>
  <si>
    <t>Bialetti Poêle effet pierre Ø 28cm</t>
  </si>
  <si>
    <t>Bialetti Poêle effet pierre Ø 24cm</t>
  </si>
  <si>
    <t>Nappe ou chemins de table</t>
  </si>
  <si>
    <t>Chemin de table ou sets de table</t>
  </si>
  <si>
    <t>Chaise pliante en bois d'acacia</t>
  </si>
  <si>
    <t>Table jardin bois acacia 140 x 80cm</t>
  </si>
  <si>
    <t>Tapis de sol avec dossier</t>
  </si>
  <si>
    <t>Étagère de camping</t>
  </si>
  <si>
    <t>T-shirts homme 3p</t>
  </si>
  <si>
    <t>Distributeur de boissons 6 L</t>
  </si>
  <si>
    <t>Couverts 24 p</t>
  </si>
  <si>
    <t>Boxers homme 3p</t>
  </si>
  <si>
    <t>Slips homme 5p</t>
  </si>
  <si>
    <t xml:space="preserve">Nappe 130 x 160 cm / Ø160 cm </t>
  </si>
  <si>
    <t>Tente igloo double-toit 4 pers</t>
  </si>
  <si>
    <t>Set de cuisine 3p</t>
  </si>
  <si>
    <t>Semelles de sport</t>
  </si>
  <si>
    <t>Ensemble table et sièges pliants</t>
  </si>
  <si>
    <t>Sac isotherme 35 L</t>
  </si>
  <si>
    <t>Accumulateurs de froid</t>
  </si>
  <si>
    <t>Torchons de cuisine 50x70 cm 2p</t>
  </si>
  <si>
    <t>Chaise de camping</t>
  </si>
  <si>
    <t>Outil multifonction+étui</t>
  </si>
  <si>
    <t>Réchaud/lampe camping</t>
  </si>
  <si>
    <t>Rothenberger Cartouche gaz butane</t>
  </si>
  <si>
    <t>Accessoire de camping</t>
  </si>
  <si>
    <t>Tente pop-up</t>
  </si>
  <si>
    <t>Couteau multif. / couverts camping</t>
  </si>
  <si>
    <t>Soutien-gorge sculptant femme</t>
  </si>
  <si>
    <t>Débardeur homme</t>
  </si>
  <si>
    <t>Slips homme 2p</t>
  </si>
  <si>
    <t>Débardeurs fines bretelles femme 3p</t>
  </si>
  <si>
    <t>Protège-pieds en coton femme 3p</t>
  </si>
  <si>
    <t>Socquettes de sport homme 2p</t>
  </si>
  <si>
    <t>Socquettes de sport femme 2p</t>
  </si>
  <si>
    <t>Débardeurs femme 3p</t>
  </si>
  <si>
    <t>Soutiens-gorge à armatures 2p</t>
  </si>
  <si>
    <t>Hipsters femme 5p</t>
  </si>
  <si>
    <t>Cabas 25 L</t>
  </si>
  <si>
    <t>Strings femme 5p</t>
  </si>
  <si>
    <t>Socquettes homme 3p</t>
  </si>
  <si>
    <t>Chaussettes homme 5p.</t>
  </si>
  <si>
    <t>Mi-bas, socquettes ou collant femme</t>
  </si>
  <si>
    <t>Chaussettes de travail montantes 3p</t>
  </si>
  <si>
    <t xml:space="preserve">Protège-pieds femme </t>
  </si>
  <si>
    <t>Baufix Produit anti-moisissure</t>
  </si>
  <si>
    <t>Brassière de sport seamless femme</t>
  </si>
  <si>
    <t>Dirt Devil Brosse spécial poils</t>
  </si>
  <si>
    <t>Soutiens-gorge armatures femme 2p</t>
  </si>
  <si>
    <t>Sac réversible femme</t>
  </si>
  <si>
    <t>Pistolet Nerf</t>
  </si>
  <si>
    <t>Kit mains libres Bluetooth®</t>
  </si>
  <si>
    <t xml:space="preserve">Panier </t>
  </si>
  <si>
    <t>Chargeur allume-cigare 4 ports USB</t>
  </si>
  <si>
    <t>Serre-câbles 250p</t>
  </si>
  <si>
    <t>Protège-pieds femme 2p</t>
  </si>
  <si>
    <t>Enceinte d'extérieur Bluetooth®</t>
  </si>
  <si>
    <t>Échelle télescopique en aluminium</t>
  </si>
  <si>
    <t>Cuiseur à oeufs</t>
  </si>
  <si>
    <t>Chaussettes de sport femme</t>
  </si>
  <si>
    <t>Chaussettes de sport homme</t>
  </si>
  <si>
    <t>Corbeille à pain</t>
  </si>
  <si>
    <t>Chaussettes confort homme 2p</t>
  </si>
  <si>
    <t>Chaussettes confort femme 2p</t>
  </si>
  <si>
    <t>Socquettes garçon 7p</t>
  </si>
  <si>
    <t>Socquettes fille 7p</t>
  </si>
  <si>
    <t>Brassière de sport Seamless</t>
  </si>
  <si>
    <t>Bouteille isotherme</t>
  </si>
  <si>
    <t>Théière électrique 650 W</t>
  </si>
  <si>
    <t>Brochettes avec support 7 p.</t>
  </si>
  <si>
    <t>Socquettes homme 7p</t>
  </si>
  <si>
    <t>Socquettes femme 7p</t>
  </si>
  <si>
    <t>Bodum Théière</t>
  </si>
  <si>
    <t>Bialetti Cafetière italienne</t>
  </si>
  <si>
    <t>Slips femme 5p</t>
  </si>
  <si>
    <t>Cabas isotherme 18 L</t>
  </si>
  <si>
    <t>Sandales garçon</t>
  </si>
  <si>
    <t>Ballerines fille</t>
  </si>
  <si>
    <t>Station météo radioguidée</t>
  </si>
  <si>
    <t>Sandales fille</t>
  </si>
  <si>
    <t>Chaussures en toile enfant</t>
  </si>
  <si>
    <t>Enrouleur de tuyau mural 25 m</t>
  </si>
  <si>
    <t>Jeu d'extérieur en bois</t>
  </si>
  <si>
    <t>Nettoyeur haute pression 1800 W</t>
  </si>
  <si>
    <t>Mousseur à LED</t>
  </si>
  <si>
    <t>Smoby Jouets de plage licence</t>
  </si>
  <si>
    <t>Tapis multiusage 72x45 cm</t>
  </si>
  <si>
    <t>Colonne de douche</t>
  </si>
  <si>
    <t>Fauteuil Airlounge</t>
  </si>
  <si>
    <t>Sac à dos technique</t>
  </si>
  <si>
    <t>Pistolet à eau</t>
  </si>
  <si>
    <t>Pataugeoire gonflable</t>
  </si>
  <si>
    <t>Limes diamant 7p</t>
  </si>
  <si>
    <t>Serre-joints à une main 2 ou 4p</t>
  </si>
  <si>
    <t>Outil magnétique ou démagnétiseur</t>
  </si>
  <si>
    <t>Meuleuse d'angle sans fil 12 V</t>
  </si>
  <si>
    <t>Disques à tronçonner</t>
  </si>
  <si>
    <t>Outil de précision</t>
  </si>
  <si>
    <t>Set de clés mixtes 5p</t>
  </si>
  <si>
    <t>Accessoire pour meuleuse d'angle</t>
  </si>
  <si>
    <t>Set de lames de scie 3p</t>
  </si>
  <si>
    <t>Set de scies cloche 9p</t>
  </si>
  <si>
    <t>Vernis à effet en aérosol 400 ml</t>
  </si>
  <si>
    <t>Tapis antipoussière 80x120 cm</t>
  </si>
  <si>
    <t>Zenker Moule à charnière</t>
  </si>
  <si>
    <t>Compresses/pansements piqûre</t>
  </si>
  <si>
    <t>Tasse magique à couleur changeante</t>
  </si>
  <si>
    <t>Tensiomètre de bras</t>
  </si>
  <si>
    <t>Nécessaire de couture ou fils à cou</t>
  </si>
  <si>
    <t>Accessoires de couture</t>
  </si>
  <si>
    <t>Housse pour machine à laver</t>
  </si>
  <si>
    <t>Tapis antipoussière 60x80 cm</t>
  </si>
  <si>
    <t>Capteur d'activité</t>
  </si>
  <si>
    <t>Oxymètre de pouls</t>
  </si>
  <si>
    <t>Masque de ski et snowboard adulte</t>
  </si>
  <si>
    <t xml:space="preserve">Monkey Clean Accessoire de soin </t>
  </si>
  <si>
    <t>Coussin demi-cylindrique/cale-nuque</t>
  </si>
  <si>
    <t>Coussin réhausse-jambes/coussin d'a</t>
  </si>
  <si>
    <t>Nappe Ø 160 cm/130 x 160 cm</t>
  </si>
  <si>
    <t>Serviettes de toilette 50x100  2p</t>
  </si>
  <si>
    <t>Serviette de douche 70x140 cm</t>
  </si>
  <si>
    <t>Serviettes invité 30x50 cm 3p</t>
  </si>
  <si>
    <t>Serviette de bain 100x150 cm</t>
  </si>
  <si>
    <t>Tapis de bain 50x70 cm 2p</t>
  </si>
  <si>
    <t>Tapis de salle de bains 70x120 cm</t>
  </si>
  <si>
    <t>Parure double face coton 140x200cm</t>
  </si>
  <si>
    <t>Parure double face coton 240x220cm</t>
  </si>
  <si>
    <t>Parure double face coton 260x240cm</t>
  </si>
  <si>
    <t>Oreiller microfibre 60x60 cm</t>
  </si>
  <si>
    <t>Moustiquaire de porte</t>
  </si>
  <si>
    <t>Couverture pique-nique 200 x200cm</t>
  </si>
  <si>
    <t>Pantoufles femme</t>
  </si>
  <si>
    <t>Pantoufles homme</t>
  </si>
  <si>
    <t>T-shirt de football fille</t>
  </si>
  <si>
    <t>Couverts enfant 4 p.</t>
  </si>
  <si>
    <t>Projecteur solaire LED 9 W</t>
  </si>
  <si>
    <t>Arbre à chat grand modèle beige</t>
  </si>
  <si>
    <t>Antimites pour armoires</t>
  </si>
  <si>
    <t>Support de voiture USB téléphone</t>
  </si>
  <si>
    <t>Véhicule à monter en métal</t>
  </si>
  <si>
    <t>Vernis transparent/radiateur 400 ml</t>
  </si>
  <si>
    <t>Feutres fins 12p</t>
  </si>
  <si>
    <t>Presse à cadre ou presse équerre</t>
  </si>
  <si>
    <t>Presse-agrumes à levier</t>
  </si>
  <si>
    <t>Lime à ongles ou râpe pour pieds</t>
  </si>
  <si>
    <t>Aspirateur souffleur broyeur électr</t>
  </si>
  <si>
    <t>Veilleuse à LED</t>
  </si>
  <si>
    <t>Étiquettes/autocollants</t>
  </si>
  <si>
    <t>Cocotte fonte émaillée rouge 2,8 l</t>
  </si>
  <si>
    <t>Gilet de sécurité auto</t>
  </si>
  <si>
    <t>Set de taille-légumes 3p</t>
  </si>
  <si>
    <t>Pistolet à souder avec dévidoir</t>
  </si>
  <si>
    <t>Yaourtière 18 W</t>
  </si>
  <si>
    <t>Coupe-branches télescopique</t>
  </si>
  <si>
    <t>Boîte lumineuse à LED</t>
  </si>
  <si>
    <t>Housse de protection moto</t>
  </si>
  <si>
    <t>Serre-joints à visser 1 ou 3p</t>
  </si>
  <si>
    <t>Housse pour ensemble mobilier jardi</t>
  </si>
  <si>
    <t>Niveau à bulle laser</t>
  </si>
  <si>
    <t>Pritt Bâtons de colle 3 ou 5p</t>
  </si>
  <si>
    <t>Set de cliquets et d'embouts 46p</t>
  </si>
  <si>
    <t>Stylos bille 25 p</t>
  </si>
  <si>
    <t>Panier à linge 40 L</t>
  </si>
  <si>
    <t>Corbeille à papier licence</t>
  </si>
  <si>
    <t>Scie pliante</t>
  </si>
  <si>
    <t>Poêle en aluminium Ø 24 cm</t>
  </si>
  <si>
    <t>Jean homme</t>
  </si>
  <si>
    <t>Baufix Colle/produit de réparation</t>
  </si>
  <si>
    <t>Baufix Bombe anti-crevaison 500 ml</t>
  </si>
  <si>
    <t>Bols mélangeurs/pichets mesureurs</t>
  </si>
  <si>
    <t>Sécateur de précision</t>
  </si>
  <si>
    <t>Affûteur de forets 95 W</t>
  </si>
  <si>
    <t>Boîte à lessive 5 L</t>
  </si>
  <si>
    <t>Prise murale avec 2 ports USB</t>
  </si>
  <si>
    <t>Poêle en aluminium 20 cm</t>
  </si>
  <si>
    <t xml:space="preserve">Forets pierre/burins/mèches </t>
  </si>
  <si>
    <t>Tournevis à cliquet pneumatique</t>
  </si>
  <si>
    <t>Ceinture ou sacoche porte-outils</t>
  </si>
  <si>
    <t>Harnais pour chien</t>
  </si>
  <si>
    <t>Casserole en aluminium noire 16 cm</t>
  </si>
  <si>
    <t>Stylo rollers 4 couleurs effaçable</t>
  </si>
  <si>
    <t>Plateau</t>
  </si>
  <si>
    <t>Sweat zippé homme</t>
  </si>
  <si>
    <t>Tefal Poêle EDONIA 28 cm</t>
  </si>
  <si>
    <t>Feuilles abrasives ponceuse bande</t>
  </si>
  <si>
    <t>Pull à grosse maille homme</t>
  </si>
  <si>
    <t xml:space="preserve">Cuit-vapeur </t>
  </si>
  <si>
    <t>Gobelet pour granité</t>
  </si>
  <si>
    <t>Accessoire de paillage/hivernage</t>
  </si>
  <si>
    <t>Jogg jean homme</t>
  </si>
  <si>
    <t>Set de clés polygonales 6p</t>
  </si>
  <si>
    <t>Plat à four émaillé</t>
  </si>
  <si>
    <t>Bandage avec fil de cuivre</t>
  </si>
  <si>
    <t>Set de vaisselle enfant</t>
  </si>
  <si>
    <t>Cahier A4 à carreaux 100 pages</t>
  </si>
  <si>
    <t>Vaisselle pour enfant en bambou 5p</t>
  </si>
  <si>
    <t>Carnet A5/A6</t>
  </si>
  <si>
    <t xml:space="preserve">Clés auto-réglables multifonctions </t>
  </si>
  <si>
    <t>Rubans adhésifs 3p</t>
  </si>
  <si>
    <t>Balises solaires à LED 5p</t>
  </si>
  <si>
    <t>Mousquetons ou manilles en acier</t>
  </si>
  <si>
    <t>Pistolet pneumatique rivets aveugle</t>
  </si>
  <si>
    <t>Saladier, assiette ou couverts</t>
  </si>
  <si>
    <t>Boîtes de conservation 3p</t>
  </si>
  <si>
    <t>Porte-embout/tête perçage renvoi</t>
  </si>
  <si>
    <t>UHU Colle ou ruban adhésif</t>
  </si>
  <si>
    <t>Multiprise en aluminium</t>
  </si>
  <si>
    <t>Set de pinceaux 13p</t>
  </si>
  <si>
    <t>Baufix Gel de protection pour bois</t>
  </si>
  <si>
    <t>Bouilloire 2400 W</t>
  </si>
  <si>
    <t>Chauffe-cire et accessoires 20 W</t>
  </si>
  <si>
    <t>Lunettes de lecture à LED</t>
  </si>
  <si>
    <t xml:space="preserve">Scie circulaire sur table </t>
  </si>
  <si>
    <t>T-shirt à manches longues homme</t>
  </si>
  <si>
    <t>Mini-friteuse et fondue 850 W</t>
  </si>
  <si>
    <t>Set de patins/cales/butées</t>
  </si>
  <si>
    <t>Mammut Kit pour empreinte bébé 3D</t>
  </si>
  <si>
    <t>Pinceaux de maquillage 11p</t>
  </si>
  <si>
    <t>Grille-pain 900 W</t>
  </si>
  <si>
    <t>Brosse de nettoyage électrique</t>
  </si>
  <si>
    <t>Applique murale solaire+détecteur</t>
  </si>
  <si>
    <t xml:space="preserve">Housses de sièges auto « Carbon » </t>
  </si>
  <si>
    <t>Peignoir de bain microfibre homme</t>
  </si>
  <si>
    <t>Nettoyeur de vitres vaporisateur</t>
  </si>
  <si>
    <t>Tables multi-usages 3p</t>
  </si>
  <si>
    <t>Applique solaire LED + détecteur</t>
  </si>
  <si>
    <t xml:space="preserve">Four à micro-ondes 4 en1 </t>
  </si>
  <si>
    <t>Pompe à eau claire immergée 400 W</t>
  </si>
  <si>
    <t>Cisaille à haie télescopique</t>
  </si>
  <si>
    <t>Tourniquet porte-chaussures</t>
  </si>
  <si>
    <t>Batterie externe powerbank 3000 mAh</t>
  </si>
  <si>
    <t xml:space="preserve">Spray désinfectant/gel cicatrisant </t>
  </si>
  <si>
    <t>Lasure polyuréthane 5 L</t>
  </si>
  <si>
    <t>Jeu de clés mâles à tête sphérique</t>
  </si>
  <si>
    <t>Set de pinceaux 3p</t>
  </si>
  <si>
    <t>Douilles pour clé à choc</t>
  </si>
  <si>
    <t>Étau</t>
  </si>
  <si>
    <t>Stylos rollers 4p</t>
  </si>
  <si>
    <t>Hachoir multifonction 500 W</t>
  </si>
  <si>
    <t>Genouillère</t>
  </si>
  <si>
    <t>Bloc range-couteaux</t>
  </si>
  <si>
    <t>Miroir grossissant à LED</t>
  </si>
  <si>
    <t>Accessoire de rangement</t>
  </si>
  <si>
    <t>Pinces/corde à linge ou panier</t>
  </si>
  <si>
    <t>Baufix Produit de protection auto</t>
  </si>
  <si>
    <t>Éclairage sous meuble basse consomm</t>
  </si>
  <si>
    <t>Poêle/poêle-gril en fonte émaillée</t>
  </si>
  <si>
    <t>Boîte de rangement 11 l</t>
  </si>
  <si>
    <t>Mini-tondeuse pour femme</t>
  </si>
  <si>
    <t>Set d'outils de précision</t>
  </si>
  <si>
    <t>Boîte de peinture</t>
  </si>
  <si>
    <t>Saladier+coupelles/boîtes en bambou</t>
  </si>
  <si>
    <t>Peignoir de bain microfibre femme</t>
  </si>
  <si>
    <t>Baufix Peinture couvrante express</t>
  </si>
  <si>
    <t>Ceinture lombaire</t>
  </si>
  <si>
    <t>Set de clés six pans et étoile 16p</t>
  </si>
  <si>
    <t>Wahl Groom Ease Tondeuse à cheveux</t>
  </si>
  <si>
    <t>Couvre-plaques de cuisson verre 2p</t>
  </si>
  <si>
    <t>Set de ciseaux 4p</t>
  </si>
  <si>
    <t>Sonnette sans fil design</t>
  </si>
  <si>
    <t>Corbeille à linge pliante 17 L</t>
  </si>
  <si>
    <t>Pattex Colle</t>
  </si>
  <si>
    <t>Sac à dos enfant licence</t>
  </si>
  <si>
    <t>Herlitz Trousse scolaire 31p</t>
  </si>
  <si>
    <t>Compresseur</t>
  </si>
  <si>
    <t>Lampe LED d'extérieur avec capteur</t>
  </si>
  <si>
    <t>Set de pochoirs à dessin</t>
  </si>
  <si>
    <t>Mini-compresseur 10 bar</t>
  </si>
  <si>
    <t>Forets pour marteau perforateur 7p</t>
  </si>
  <si>
    <t>Rasoir à têtes rotatives 3,2 V</t>
  </si>
  <si>
    <t>Saladier ou coupelles</t>
  </si>
  <si>
    <t>Bandage avec gel</t>
  </si>
  <si>
    <t>Charnières ou targette</t>
  </si>
  <si>
    <t>Batteur à main 350 W</t>
  </si>
  <si>
    <t>Tondeuse nez et oreilles</t>
  </si>
  <si>
    <t>Set d'écriture 10p</t>
  </si>
  <si>
    <t>Perforateur burineur 1500 W</t>
  </si>
  <si>
    <t>Tapis ou voile d'hivernage plantes</t>
  </si>
  <si>
    <t>Déboucheur canalisation air comprim</t>
  </si>
  <si>
    <t>Effaceurs réécriveurs 3p</t>
  </si>
  <si>
    <t>Scie circulaire 1350 W</t>
  </si>
  <si>
    <t>Gommes fantaisie</t>
  </si>
  <si>
    <t>UHU Colle instantanée 3x1g ou 4,5g</t>
  </si>
  <si>
    <t>Pansements enfant résistants l'eau</t>
  </si>
  <si>
    <t>Accessoire de toilettage animaux</t>
  </si>
  <si>
    <t>Enrouleur tuyau air comprimé 20 m</t>
  </si>
  <si>
    <t>Guirlande lumineuse solaire à LED</t>
  </si>
  <si>
    <t xml:space="preserve">Set de sangles d'arrimage </t>
  </si>
  <si>
    <t>Affûteuse chaîne tronçonneuse 85W</t>
  </si>
  <si>
    <t>Jeu d'apprentissage en bois</t>
  </si>
  <si>
    <t>Câbles de démarrage 2p</t>
  </si>
  <si>
    <t>Parapluie enfant licence</t>
  </si>
  <si>
    <t>Pince à sertir avec accessoires</t>
  </si>
  <si>
    <t>Rallonge électrique 25 m</t>
  </si>
  <si>
    <t>Machine à coudre</t>
  </si>
  <si>
    <t>Forets diamantés+gabarit de perçage</t>
  </si>
  <si>
    <t>Couvre-siège auto</t>
  </si>
  <si>
    <t>Élagueuse sur perche sans fil 20V</t>
  </si>
  <si>
    <t>Brosse WC et porte-brosse</t>
  </si>
  <si>
    <t>Lampe de poche à LED 3 W</t>
  </si>
  <si>
    <t>Feutre retouche bois/blanchisseur</t>
  </si>
  <si>
    <t>Rallonge multiprise/enrouleur câble</t>
  </si>
  <si>
    <t>Tapis de voiture 4p</t>
  </si>
  <si>
    <t>Patch chauffant 1 ou 2p</t>
  </si>
  <si>
    <t>Set d'agrafes ou de pointes</t>
  </si>
  <si>
    <t>Machine à café 1000 W</t>
  </si>
  <si>
    <t>Moules à tarte/plats pizza/four 2p</t>
  </si>
  <si>
    <t>Clé à choc pneumatique</t>
  </si>
  <si>
    <t>Roulettes 4 ou 8p</t>
  </si>
  <si>
    <t>Étagère à suspendre/set de paniers</t>
  </si>
  <si>
    <t>Penderie en tissu</t>
  </si>
  <si>
    <t>Olympia Massicot bras/lame coupe</t>
  </si>
  <si>
    <t>Moule/plat à four/plaque à frites</t>
  </si>
  <si>
    <t>Embouts et forets</t>
  </si>
  <si>
    <t>Fer à lisser 35 W</t>
  </si>
  <si>
    <t>Sacs ou manchons rafraîchissants 2p</t>
  </si>
  <si>
    <t>Montre homme ou femme</t>
  </si>
  <si>
    <t>Réveil LCD</t>
  </si>
  <si>
    <t>Câble de recharge et synchronisatio</t>
  </si>
  <si>
    <t>Spatules 3 ou 10p</t>
  </si>
  <si>
    <t>Douchette multijet avec flexible</t>
  </si>
  <si>
    <t>Boîte d'apprentissage en bois</t>
  </si>
  <si>
    <t xml:space="preserve">Rapporteur d'angle/pied à coulisse </t>
  </si>
  <si>
    <t>Bas de pyjama homme</t>
  </si>
  <si>
    <t>T-shirt de nuit homme</t>
  </si>
  <si>
    <t>Outil pneumatique</t>
  </si>
  <si>
    <t>Accessoire pneumatique</t>
  </si>
  <si>
    <t>Table d'appoint Ø40cm</t>
  </si>
  <si>
    <t>Polisseuse pneumatique</t>
  </si>
  <si>
    <t>Loupe universelle ou de lecture LED</t>
  </si>
  <si>
    <t>Pèse-personne effet cockpit 180 kg</t>
  </si>
  <si>
    <t>Bouilloire 2200 W</t>
  </si>
  <si>
    <t>Vileda Produit/access.entretien</t>
  </si>
  <si>
    <t>Chandelles 2p</t>
  </si>
  <si>
    <t>Boîtes de conservation en verre 5p</t>
  </si>
  <si>
    <t>Lame de scie circulaire</t>
  </si>
  <si>
    <t>Ceinture chauffante</t>
  </si>
  <si>
    <t>Set de tournevis 32p</t>
  </si>
  <si>
    <t>Tondeuse pour animaux 36 V</t>
  </si>
  <si>
    <t>Casier pliant 32 L ou 16 L</t>
  </si>
  <si>
    <t>Feutres double pointe 10p</t>
  </si>
  <si>
    <t>Pêle-mêle ou cadres photos</t>
  </si>
  <si>
    <t>Boîtier d'acquisition vidéo USB</t>
  </si>
  <si>
    <t>Safety 1st Barrière de sécurité</t>
  </si>
  <si>
    <t>Set d'écriture fluo</t>
  </si>
  <si>
    <t>Poêle aluminium induction Ø 28 cm</t>
  </si>
  <si>
    <t>Masse ou hache</t>
  </si>
  <si>
    <t>Medisana Bain de pied thalasso</t>
  </si>
  <si>
    <t>Bic Porte-mines/feutres effaçables</t>
  </si>
  <si>
    <t>3M Rubans de masquage 3p</t>
  </si>
  <si>
    <t>BIC Fourniture de bureau</t>
  </si>
  <si>
    <t>Lampe LED lumière du jour</t>
  </si>
  <si>
    <t>Couteaux 4p</t>
  </si>
  <si>
    <t>Gamelle 1 ou 2 p</t>
  </si>
  <si>
    <t>Bloc-notes et stylo</t>
  </si>
  <si>
    <t>Multiprise 3 prises</t>
  </si>
  <si>
    <t>Répéteur Wifi</t>
  </si>
  <si>
    <t>Housse protection banquette animaux</t>
  </si>
  <si>
    <t>Marchepied pliant</t>
  </si>
  <si>
    <t>Armoire à pharmacie</t>
  </si>
  <si>
    <t>Serviette de bain en éponge</t>
  </si>
  <si>
    <t>Set de géométrie 3p</t>
  </si>
  <si>
    <t>Housse pour mobilier de jardin</t>
  </si>
  <si>
    <t>Meuble bas à tiroirs/portes blanc</t>
  </si>
  <si>
    <t>O'Cuisine Plat à four en verre</t>
  </si>
  <si>
    <t>Stylos rollers « Magic » 2p</t>
  </si>
  <si>
    <t>Pochettes ou classeurs 2 p.</t>
  </si>
  <si>
    <t>Balai d'extérieur/râteau à feuilles</t>
  </si>
  <si>
    <t>Tableau blanc 90x60 cm</t>
  </si>
  <si>
    <t>Corde multi-usage 30 m</t>
  </si>
  <si>
    <t>Taille-haies électrique 600 W</t>
  </si>
  <si>
    <t>Hachoir multifonction 260 W</t>
  </si>
  <si>
    <t>Poêle aluminium avec couvercle 28cm</t>
  </si>
  <si>
    <t>Ustensile de cuisine en plastique</t>
  </si>
  <si>
    <t>Sac de courses pour chariot</t>
  </si>
  <si>
    <t xml:space="preserve">Sanitas Oxymètre de pouls </t>
  </si>
  <si>
    <t>Mèches ou fraises 5 ou 7p</t>
  </si>
  <si>
    <t>Boîte empilable 12 L/6 L/1,8 L</t>
  </si>
  <si>
    <t>Jeu de tournevis 8p</t>
  </si>
  <si>
    <t>Cintres</t>
  </si>
  <si>
    <t>Taille-crayon électrique</t>
  </si>
  <si>
    <t>Pommeau de douche à LED</t>
  </si>
  <si>
    <t>Sodastream Gazéificateur d'eau</t>
  </si>
  <si>
    <t>Chariot de transport en aluminium</t>
  </si>
  <si>
    <t>Blender à smoothies 700 W</t>
  </si>
  <si>
    <t>Ruban lumineux à LED 3 m</t>
  </si>
  <si>
    <t>Sanitas Pèse-personne Bluetooth®</t>
  </si>
  <si>
    <t>Agrafeuse cloueuse pneumatique</t>
  </si>
  <si>
    <t>Écrous, rondelles ou crochets</t>
  </si>
  <si>
    <t>Cale-porte+alarme/Alarmes porte, fe</t>
  </si>
  <si>
    <t>Laisse à enrouleur</t>
  </si>
  <si>
    <t>Boîtes de conservation</t>
  </si>
  <si>
    <t>Vileda Housses Ultramat 2p</t>
  </si>
  <si>
    <t>Pattex Anti-rouille, graisse, frein</t>
  </si>
  <si>
    <t>Set de forets à pierre</t>
  </si>
  <si>
    <t>Aspirateur pour voiture 12 V</t>
  </si>
  <si>
    <t>Dénudeur</t>
  </si>
  <si>
    <t>Set d'activité manuelle</t>
  </si>
  <si>
    <t>Leifheit Étendoir à linge 18 m</t>
  </si>
  <si>
    <t>Poêle aluminium induction Ø 24 cm</t>
  </si>
  <si>
    <t>Poignée de fenêtre sécurisée</t>
  </si>
  <si>
    <t>Vileda Kit nettoyage Easy Wring &amp; C</t>
  </si>
  <si>
    <t>Cassetti Boîtes de rangement 3/4p</t>
  </si>
  <si>
    <t>Sécateur à enclume ou bypass</t>
  </si>
  <si>
    <t>Set d'accessoires pneumatiques</t>
  </si>
  <si>
    <t>Patchs chauffants 2p</t>
  </si>
  <si>
    <t>Banquette avec coffre 50 L</t>
  </si>
  <si>
    <t>Set de vissage de précision</t>
  </si>
  <si>
    <t>Marchepied/tabouret douche/siège ba</t>
  </si>
  <si>
    <t>Faitout alu et couvercle Ø 24cm</t>
  </si>
  <si>
    <t>Accessoire de nettoyage voiture</t>
  </si>
  <si>
    <t>Compresses chaud-froid/froides 2p</t>
  </si>
  <si>
    <t>Lampes/fusibles pour voitures 11p</t>
  </si>
  <si>
    <t>Aiguiseur diamant de poche</t>
  </si>
  <si>
    <t>Ustensile cuisine acier inoxydable</t>
  </si>
  <si>
    <t>Clé à cliquet +douille universelle</t>
  </si>
  <si>
    <t>Caisse transport/bac litière chat</t>
  </si>
  <si>
    <t>Cadenas ou câble antivol</t>
  </si>
  <si>
    <t>Tapis de voiture tous temps 4p</t>
  </si>
  <si>
    <t>Pantalon en toile coupe droite homm</t>
  </si>
  <si>
    <t>Friteuse 3 L</t>
  </si>
  <si>
    <t>Coffret à outils universel 45p</t>
  </si>
  <si>
    <t>Panier à linge 53 L</t>
  </si>
  <si>
    <t>Pull en maille fine homme</t>
  </si>
  <si>
    <t>Appareil musculation bras/jambes</t>
  </si>
  <si>
    <t>Sanitas Électros .TENS genoux/coud</t>
  </si>
  <si>
    <t>Bandage poignet</t>
  </si>
  <si>
    <t>Pinces de plomberie 3p</t>
  </si>
  <si>
    <t>Meuble bas à tiroirs/portes chêne</t>
  </si>
  <si>
    <t>Sodastream Bouteilles gazéific. 2p</t>
  </si>
  <si>
    <t>Set clé à cliquet et douilles 40p</t>
  </si>
  <si>
    <t>Stickers muraux 2p</t>
  </si>
  <si>
    <t xml:space="preserve">Set de peinture gouache </t>
  </si>
  <si>
    <t xml:space="preserve">Hachoir à viande + broyeur tomates </t>
  </si>
  <si>
    <t>Mini-four 15 L 1300 W</t>
  </si>
  <si>
    <t>Bloc-notes à spirales A5 160 pages</t>
  </si>
  <si>
    <t>Table à repasser+prise électrique</t>
  </si>
  <si>
    <t>Papier de création</t>
  </si>
  <si>
    <t>Chemises A3 ou A4  2 ou 3 p.</t>
  </si>
  <si>
    <t>Set de crochets 6p</t>
  </si>
  <si>
    <t>Bandes ou compresses</t>
  </si>
  <si>
    <t>Chevillère</t>
  </si>
  <si>
    <t>Vileda Ultramat Balai plat télescop</t>
  </si>
  <si>
    <t>Pistolet à peinture pneumatique</t>
  </si>
  <si>
    <t>Sac à végétaux 272 L</t>
  </si>
  <si>
    <t>Batterie externe PowerBank 10000 mA</t>
  </si>
  <si>
    <t>Sèche-cheveux ionique 2 200 W</t>
  </si>
  <si>
    <t xml:space="preserve">Graveur </t>
  </si>
  <si>
    <t>Mixeur plongeant 350 W</t>
  </si>
  <si>
    <t>Touret à meuler double 120 W</t>
  </si>
  <si>
    <t>Casier à tiroirs</t>
  </si>
  <si>
    <t>Vileda Ultramat Seau essoreur</t>
  </si>
  <si>
    <t>Agrafeuse manuelle</t>
  </si>
  <si>
    <t xml:space="preserve">Slips homme </t>
  </si>
  <si>
    <t>Tefal Poêle EDONIA 24 cm</t>
  </si>
  <si>
    <t>Sanitas set manucure/pedicure</t>
  </si>
  <si>
    <t>Griffoir pour chat</t>
  </si>
  <si>
    <t>Patère ou crochets pour porte</t>
  </si>
  <si>
    <t>Ampoules LED 2p</t>
  </si>
  <si>
    <t>Balise solaire à LED</t>
  </si>
  <si>
    <t>Cocotte en fonte rouge 4 L</t>
  </si>
  <si>
    <t>Protecteur d'orteils/hallux valgus</t>
  </si>
  <si>
    <t>Bâche de protection pour véhicule</t>
  </si>
  <si>
    <t>Nerf Dog Jouet pour chien</t>
  </si>
  <si>
    <t>Soutien-gorge invisible femme</t>
  </si>
  <si>
    <t>Moulin à légumes en acier inoxydabl</t>
  </si>
  <si>
    <t>Yourstep Semelles fraîcheur 8p</t>
  </si>
  <si>
    <t>Pyjashort femme</t>
  </si>
  <si>
    <t>Combishort de nuit femme</t>
  </si>
  <si>
    <t>Hipsters femme 2p</t>
  </si>
  <si>
    <t>Ensemble détente en velours femme</t>
  </si>
  <si>
    <t>Gilet en maille fine femme</t>
  </si>
  <si>
    <t>Jean Slim Fit femme</t>
  </si>
  <si>
    <t>Pantalon en lin femme</t>
  </si>
  <si>
    <t>Short en lin femme</t>
  </si>
  <si>
    <t>Tunique en lin femme</t>
  </si>
  <si>
    <t>Robe chemise en lin femme</t>
  </si>
  <si>
    <t>Débardeur femme</t>
  </si>
  <si>
    <t>Corsaire femme</t>
  </si>
  <si>
    <t>T-shirt à dentelle femme</t>
  </si>
  <si>
    <t>Corsaire ou legging femme</t>
  </si>
  <si>
    <t>Débardeur à dentelle femme</t>
  </si>
  <si>
    <t>T-shirts manches longues femme 2p</t>
  </si>
  <si>
    <t>T-shirt long manches 3/4 femme</t>
  </si>
  <si>
    <t>Jupe femme</t>
  </si>
  <si>
    <t>Soutien-gorge à dentelle femme</t>
  </si>
  <si>
    <t>Hipsters ou slips dentelle femme 2p</t>
  </si>
  <si>
    <t>T-shirt côtelé manches longues F</t>
  </si>
  <si>
    <t>Cardigan long femme</t>
  </si>
  <si>
    <t>Pull de Noël homme</t>
  </si>
  <si>
    <t>Chemisier femme</t>
  </si>
  <si>
    <t>Cardigan en maille fine femme</t>
  </si>
  <si>
    <t>Chemise femme</t>
  </si>
  <si>
    <t>Manteau femme</t>
  </si>
  <si>
    <t xml:space="preserve">Pyjama flanelle homme </t>
  </si>
  <si>
    <t>Doudoune légère femme</t>
  </si>
  <si>
    <t>Slips homme 3p</t>
  </si>
  <si>
    <t>Slips en dentelle femme 3p</t>
  </si>
  <si>
    <t>Strings découpe laser femme 3p</t>
  </si>
  <si>
    <t>Boxers homme 3 p</t>
  </si>
  <si>
    <t>Soutien-gorge push-up femme</t>
  </si>
  <si>
    <t>Short en lin/coton homme</t>
  </si>
  <si>
    <t>Pantalon en lin/coton homme</t>
  </si>
  <si>
    <t>Chemise en lin/coton homme</t>
  </si>
  <si>
    <t>Short molletonné homme</t>
  </si>
  <si>
    <t>Short de travail homme</t>
  </si>
  <si>
    <t>Gants de travail homme</t>
  </si>
  <si>
    <t>Gants de jardin</t>
  </si>
  <si>
    <t>Pull camionneur homme</t>
  </si>
  <si>
    <t>Gants de protection anti-coupures</t>
  </si>
  <si>
    <t>Boxer homme 2p</t>
  </si>
  <si>
    <t>Gants de jardin en nitrile</t>
  </si>
  <si>
    <t>Chemise en jean ou twill homme</t>
  </si>
  <si>
    <t>Doudoune sans manches homme</t>
  </si>
  <si>
    <t>Soutien-gorge sans armatures femme</t>
  </si>
  <si>
    <t>Culotte gainante</t>
  </si>
  <si>
    <t>Pull en maille homme</t>
  </si>
  <si>
    <t>Veste homme</t>
  </si>
  <si>
    <t>Doudoune légère homme</t>
  </si>
  <si>
    <t>Soutien-gorge gainant femme</t>
  </si>
  <si>
    <t>Boxer homme</t>
  </si>
  <si>
    <t>Caleçon long homme</t>
  </si>
  <si>
    <t>Soutiens-gorge à armatures femme 2p</t>
  </si>
  <si>
    <t>Tapis de bain microfibre 70 x 120</t>
  </si>
  <si>
    <t>Brassière de sport</t>
  </si>
  <si>
    <t>Socquettes femme 5p</t>
  </si>
  <si>
    <t>Socquettes homme 5p</t>
  </si>
  <si>
    <t>Protège-pieds en coton femme 5p</t>
  </si>
  <si>
    <t>Protège-pieds en coton homme 5p</t>
  </si>
  <si>
    <t>Chaussettes de travail homme 3p</t>
  </si>
  <si>
    <t>Socquettes femme 3p</t>
  </si>
  <si>
    <t>Chaussettes garçon 7 p.</t>
  </si>
  <si>
    <t>Chaussettes fille 7 p.</t>
  </si>
  <si>
    <t>Collant fille</t>
  </si>
  <si>
    <t>Chaussettes femme 3p</t>
  </si>
  <si>
    <t>Chaussettes homme 3p</t>
  </si>
  <si>
    <t>Chaussettes techniques homme</t>
  </si>
  <si>
    <t>Socquettes bébé garçon 3p</t>
  </si>
  <si>
    <t>Socquettes bébé fille 3p</t>
  </si>
  <si>
    <t>Collant bébé fille</t>
  </si>
  <si>
    <t>Collant fin femme</t>
  </si>
  <si>
    <t>Collant thermique 80 DEN</t>
  </si>
  <si>
    <t>Accessoires de couture ou tricot</t>
  </si>
  <si>
    <t>Set fil à coudre/set couture</t>
  </si>
  <si>
    <t>Set de cuisine</t>
  </si>
  <si>
    <t>Torchons 50x70 cm 2p</t>
  </si>
  <si>
    <t>Chargeur de batterie pour voiture</t>
  </si>
  <si>
    <t>Bodies manches longues bébé garçon</t>
  </si>
  <si>
    <t>Bodies manches longues bébé fille</t>
  </si>
  <si>
    <t>Pyjama bébé garçon licence</t>
  </si>
  <si>
    <t>Pyjama bébé fille licence</t>
  </si>
  <si>
    <t>Veste bébé garçon licence</t>
  </si>
  <si>
    <t>Veste bébé fille licence</t>
  </si>
  <si>
    <t>Pantalon bébé garçon licence</t>
  </si>
  <si>
    <t>Pantalon bébé fille licence</t>
  </si>
  <si>
    <t>Veste en jean fille</t>
  </si>
  <si>
    <t>T-shirts à manches longues garçon 2</t>
  </si>
  <si>
    <t>T-shirts à manches longues fille 2p</t>
  </si>
  <si>
    <t xml:space="preserve">T-shirts à manches longues fille </t>
  </si>
  <si>
    <t xml:space="preserve">Pantalon molletonné garçon </t>
  </si>
  <si>
    <t>Pantalon molletonné garçon</t>
  </si>
  <si>
    <t>Pantalon molletonné fille</t>
  </si>
  <si>
    <t>Sweat garçon</t>
  </si>
  <si>
    <t>Sweat fille</t>
  </si>
  <si>
    <t>Jean skinny garçon</t>
  </si>
  <si>
    <t>Jean skinny fille</t>
  </si>
  <si>
    <t>Robe molletonnée fille</t>
  </si>
  <si>
    <t>Veste en jean garçon</t>
  </si>
  <si>
    <t>T-shirts manches longues garçon 2p</t>
  </si>
  <si>
    <t>T-shirts manches longues fille 2p.</t>
  </si>
  <si>
    <t>Boxers ou slips garçon 4 ou 7p.</t>
  </si>
  <si>
    <t xml:space="preserve">Shorties ou slips fille 4 ou 7p. </t>
  </si>
  <si>
    <t xml:space="preserve">Robe molletonnée fille </t>
  </si>
  <si>
    <t>Sweat zippé garçon</t>
  </si>
  <si>
    <t>Sweat zippé fille</t>
  </si>
  <si>
    <t>Parure de lit 140x200 cm</t>
  </si>
  <si>
    <t>Parure de lit double face 240x220cm</t>
  </si>
  <si>
    <t>Parure double face 260x240cm</t>
  </si>
  <si>
    <t>T-shirt manches longues bébé garçon</t>
  </si>
  <si>
    <t>T-shirt manches longues bébé fille</t>
  </si>
  <si>
    <t>Bodies bébé garçon 2p</t>
  </si>
  <si>
    <t>Gilet en maille bébé garçon</t>
  </si>
  <si>
    <t>Bodies bébé fille 2p</t>
  </si>
  <si>
    <t>Gilet en maille bébé fille</t>
  </si>
  <si>
    <t>Pyjama bébé garçon</t>
  </si>
  <si>
    <t>Pyjama bébé fille</t>
  </si>
  <si>
    <t>Drap-housse jersey 140-160x200cm</t>
  </si>
  <si>
    <t>Drap-housse jersey 180-200x200cm</t>
  </si>
  <si>
    <t>Gigoteuse bébé garçon</t>
  </si>
  <si>
    <t>Gigoteuse bébé fille</t>
  </si>
  <si>
    <t>Oreiller anti-acariens 60x60cm</t>
  </si>
  <si>
    <t>Oreiller cervical 55 x 35 cm</t>
  </si>
  <si>
    <t>Couette anti-acariens 140x200cm</t>
  </si>
  <si>
    <t>Couette anti-acariens 240x220cm</t>
  </si>
  <si>
    <t>Doudoune légère garçon</t>
  </si>
  <si>
    <t>Doudoune légère fille</t>
  </si>
  <si>
    <t>Couette anti-acariens 260x240cm</t>
  </si>
  <si>
    <t>T-shirt manches longues garçon</t>
  </si>
  <si>
    <t>Chemise en flanelle homme</t>
  </si>
  <si>
    <t>Torchons de cuisine 3 p.</t>
  </si>
  <si>
    <t>Set tablier, manique, gant cuisine</t>
  </si>
  <si>
    <t>Parure de lit 240x220 cm</t>
  </si>
  <si>
    <t>Parure de lit 260 x 240 cm</t>
  </si>
  <si>
    <t>Pantalon molletonné femme</t>
  </si>
  <si>
    <t>Corsaire molletonné femme</t>
  </si>
  <si>
    <t>Sweat zippé femme</t>
  </si>
  <si>
    <t>Pantalon molletonné homme</t>
  </si>
  <si>
    <t>Bermuda molletonné homme</t>
  </si>
  <si>
    <t>Tapis antipoussière 60 x 80 cm</t>
  </si>
  <si>
    <t>Drap-housse en jersey 140-160x200cm</t>
  </si>
  <si>
    <t>Drap-housse en jersey 180-200x200cm</t>
  </si>
  <si>
    <t>Plaid microfibre 200x150cm</t>
  </si>
  <si>
    <t>Sandales confort femme</t>
  </si>
  <si>
    <t>Sandales confort homme</t>
  </si>
  <si>
    <t>Mules femme</t>
  </si>
  <si>
    <t>Chaussons ballerines femme</t>
  </si>
  <si>
    <t>Tennis femme</t>
  </si>
  <si>
    <t>Sabots de jardin femme</t>
  </si>
  <si>
    <t>Sabots de jardin homme</t>
  </si>
  <si>
    <t>Chaussures en toile homme</t>
  </si>
  <si>
    <t>Bottines femme</t>
  </si>
  <si>
    <t>Gilet en grosse maille femme</t>
  </si>
  <si>
    <t>Robe en maille fine femme</t>
  </si>
  <si>
    <t>Pull-chemise femme</t>
  </si>
  <si>
    <t>Sous-pulls femme</t>
  </si>
  <si>
    <t>Bottes d'hiver homme</t>
  </si>
  <si>
    <t>Sneakers montants homme</t>
  </si>
  <si>
    <t>Plaid réversible 130 x 170 cm</t>
  </si>
  <si>
    <t>Coussin décoratif double face</t>
  </si>
  <si>
    <t>Parure de lit double face 260x240cm</t>
  </si>
  <si>
    <t>Rideaux 135x260cm 2p</t>
  </si>
  <si>
    <t>Coussin de chaise réversible</t>
  </si>
  <si>
    <t>Store enrouleur 80 x 210 cm</t>
  </si>
  <si>
    <t>Serviettes de toilette 50x100 cm 2p</t>
  </si>
  <si>
    <t>Baskets homme</t>
  </si>
  <si>
    <t>Serviettes invité 30x50 cm 2p</t>
  </si>
  <si>
    <t>Baskets femme</t>
  </si>
  <si>
    <t>Protège-poêles ou tapis tiroir</t>
  </si>
  <si>
    <t xml:space="preserve">Tapis de bain 50 x70 cm </t>
  </si>
  <si>
    <t>Tapis de cuisine 65x180 cm</t>
  </si>
  <si>
    <t>Nappe 130x160cm ou Ø 160cm</t>
  </si>
  <si>
    <t>Torchons de cuisine 50x70cm 3p</t>
  </si>
  <si>
    <t>Serviette de toilette 50x100 cm</t>
  </si>
  <si>
    <t>Tapis de salle de bains 60x90cm</t>
  </si>
  <si>
    <t>Coussin de chaise 40x40 cm</t>
  </si>
  <si>
    <t>Couvre-lit double face 210x280 cm</t>
  </si>
  <si>
    <t>Parure de lit coton 240 x220 cm</t>
  </si>
  <si>
    <t>Parure de lit coton 260 x240 cm</t>
  </si>
  <si>
    <t>Oreiller microfibre FERAN ICE / CY</t>
  </si>
  <si>
    <t>Éponge/chiffon/peau chamoisée</t>
  </si>
  <si>
    <t>Housses de coussin 50x50 cm 2p</t>
  </si>
  <si>
    <t>Coussin de garnissage 40x40/50x50cm</t>
  </si>
  <si>
    <t>Tapis 40 x 60 cm</t>
  </si>
  <si>
    <t>Serviettes de toilette 6p</t>
  </si>
  <si>
    <t>Tapis WC et salle de bains 2p</t>
  </si>
  <si>
    <t>Store enrouleur</t>
  </si>
  <si>
    <t>Set de couture ou fil à coudre</t>
  </si>
  <si>
    <t>Fil pour surjeteuse 2500 m</t>
  </si>
  <si>
    <t>Set fil à coudre/nécessaire couture</t>
  </si>
  <si>
    <t>Boîte à couture</t>
  </si>
  <si>
    <t>Torchons de cuisine 50x70cm 5p</t>
  </si>
  <si>
    <t>Tapis antipoussière 60 x 40 cm</t>
  </si>
  <si>
    <t>Coussin décoratif 30 x 50 cm</t>
  </si>
  <si>
    <t>Rideaux pattes transparent 140x245</t>
  </si>
  <si>
    <t>Paillasson grille coco-métal 40x60c</t>
  </si>
  <si>
    <t>Housses de coussins 45x45cm 2p</t>
  </si>
  <si>
    <t>Tapis en coton 140x200 cm</t>
  </si>
  <si>
    <t>Serviettes de toilette 50x100cm 2p</t>
  </si>
  <si>
    <t>Couverture patchwork bébé 115x115cm</t>
  </si>
  <si>
    <t>Cape de bain à capuche bébé licence</t>
  </si>
  <si>
    <t>Nappe ronde/rect. 130x160cm/Ø 160cm</t>
  </si>
  <si>
    <t>Set de cuisine 2p</t>
  </si>
  <si>
    <t>Paillasson coco 45x75 cm</t>
  </si>
  <si>
    <t>Serviettes toilette bambou 50x100cm</t>
  </si>
  <si>
    <t>Serviette de bain bambou 100x150</t>
  </si>
  <si>
    <t>Robe de chambre en jersey femme</t>
  </si>
  <si>
    <t>Set fils à coudre/accessoires coutu</t>
  </si>
  <si>
    <t xml:space="preserve">Combinaison peluche femme </t>
  </si>
  <si>
    <t>Aspirateur sans fil polyvalent</t>
  </si>
  <si>
    <t>Ponceuse murs et plafonds 710 W</t>
  </si>
  <si>
    <t>Étai</t>
  </si>
  <si>
    <t xml:space="preserve">Kit de fixation ou chevilles corps </t>
  </si>
  <si>
    <t>Set de burins 3p</t>
  </si>
  <si>
    <t>Niveau, scie ou tournevis cliquet</t>
  </si>
  <si>
    <t>Rabot/pince à sertir</t>
  </si>
  <si>
    <t>Tablier de peinture enfant</t>
  </si>
  <si>
    <t>Outil de mesure</t>
  </si>
  <si>
    <t>Assortiment de petites pièces</t>
  </si>
  <si>
    <t>Set de pinces</t>
  </si>
  <si>
    <t>Pistolet de soufflage d'aspiration</t>
  </si>
  <si>
    <t>Prises, interrupteurs ou variateur</t>
  </si>
  <si>
    <t xml:space="preserve">Multiprise 3 ou 6 prises </t>
  </si>
  <si>
    <t>Compas et accessoires 6p</t>
  </si>
  <si>
    <t>Fer à boucler 20 W</t>
  </si>
  <si>
    <t>Spatule/platoir/mélangeur peinture</t>
  </si>
  <si>
    <t>Perceuse-visseuse 2 vitesses 300 W</t>
  </si>
  <si>
    <t>Burg-wächter Chaînes de porte</t>
  </si>
  <si>
    <t>Alarme personnelle</t>
  </si>
  <si>
    <t>Set de films de protection 6p</t>
  </si>
  <si>
    <t>Carafe en verre avec infuseur, tube</t>
  </si>
  <si>
    <t>distributeur de boisson</t>
  </si>
  <si>
    <t>Saladier ou coupelles en bambou</t>
  </si>
  <si>
    <t>Bocaux en verre 3 ou 4p</t>
  </si>
  <si>
    <t>Mandoline multifonction</t>
  </si>
  <si>
    <t>Sets de table/dessous plat en liège</t>
  </si>
  <si>
    <t>Bocaux, verres ou carafe</t>
  </si>
  <si>
    <t>Déshydrateur alimentaire 350 W</t>
  </si>
  <si>
    <t>Planche à découper 1 ou 2p</t>
  </si>
  <si>
    <t xml:space="preserve">Cuillère à mélanger/à pâtes </t>
  </si>
  <si>
    <t>Poêle ou plaque-grill compartiment</t>
  </si>
  <si>
    <t>Lego Jeu de construction</t>
  </si>
  <si>
    <t>Ruban LED solaire 3 m</t>
  </si>
  <si>
    <t>Boîte de conservation 1 ou 2 p</t>
  </si>
  <si>
    <t>Jeu d'empilage/d'encastrement bébé</t>
  </si>
  <si>
    <t>Jouet en peluche bébé</t>
  </si>
  <si>
    <t>Tablette pour accoudoir blanc</t>
  </si>
  <si>
    <t>Boîte, vase ou carafe</t>
  </si>
  <si>
    <t>Boîte de rangement sous lit 52 L</t>
  </si>
  <si>
    <t>Panier à linge 35 L</t>
  </si>
  <si>
    <t>Set de miroirs décoratifs 3p</t>
  </si>
  <si>
    <t>Organiseur à suspendre</t>
  </si>
  <si>
    <t>Paniers de rangement 3p</t>
  </si>
  <si>
    <t xml:space="preserve">Pinceaux à réservoir d'eau 3 p. </t>
  </si>
  <si>
    <t>Panier de rangement en feutre</t>
  </si>
  <si>
    <t>Lanterne photophore</t>
  </si>
  <si>
    <t>Suspension à LED 5 spots</t>
  </si>
  <si>
    <t>Étagères cubes 3p</t>
  </si>
  <si>
    <t>Panier pour chat</t>
  </si>
  <si>
    <t>Rehausseur WC avec accoudoirs</t>
  </si>
  <si>
    <t xml:space="preserve">Rasoir pour femme </t>
  </si>
  <si>
    <t xml:space="preserve">Bavoirs/set de table en silicone </t>
  </si>
  <si>
    <t>Vileda Steam Balai vapeur</t>
  </si>
  <si>
    <t>Vileda Housses balai vapeur 2p</t>
  </si>
  <si>
    <t>Vileda combiné de salle de bain</t>
  </si>
  <si>
    <t>Vileda Housses Easy Wring &amp; Clean 2</t>
  </si>
  <si>
    <t>Panier de rangement tressé</t>
  </si>
  <si>
    <t>Brosse à cheveux en bois</t>
  </si>
  <si>
    <t>Pull de Noël femme</t>
  </si>
  <si>
    <t>Défroisseur vapeur vertical 1 630 W</t>
  </si>
  <si>
    <t>Tables d'appoint 2p</t>
  </si>
  <si>
    <t xml:space="preserve">Pyjama flanelle femme </t>
  </si>
  <si>
    <t>Photophore ou vase 1/2/3p</t>
  </si>
  <si>
    <t>Photophore/lanterne photophore 1/2p</t>
  </si>
  <si>
    <t>Accessoire de décoration 1/2p</t>
  </si>
  <si>
    <t>Accessoires de salle de bains 3p</t>
  </si>
  <si>
    <t>Panier 1/2p</t>
  </si>
  <si>
    <t>Suspension à LED 5 flammes</t>
  </si>
  <si>
    <t>Casque audio avec micro intégré</t>
  </si>
  <si>
    <t>Chargeur allume-cigare USB</t>
  </si>
  <si>
    <t>Bodies manches longues bébé fille 2</t>
  </si>
  <si>
    <t xml:space="preserve">Bodies manches longues bébé garçon </t>
  </si>
  <si>
    <t>T-shirts manche longue bébé garçon</t>
  </si>
  <si>
    <t>Ensemble en velours bébé fille</t>
  </si>
  <si>
    <t>Trieur</t>
  </si>
  <si>
    <t>Ensemble bébé en velours garçon</t>
  </si>
  <si>
    <t>Robe molletonnée bébé</t>
  </si>
  <si>
    <t>Pantalon molletonné bébé fille</t>
  </si>
  <si>
    <t>Disques abrasifs ponceuse mur/plafo</t>
  </si>
  <si>
    <t>Désherbeur thermique 2000 W</t>
  </si>
  <si>
    <t>Pantalon molletonné bébé garçon</t>
  </si>
  <si>
    <t>Jean brodé femme</t>
  </si>
  <si>
    <t xml:space="preserve">Jean garçon </t>
  </si>
  <si>
    <t>Marteau perforateur sans fil</t>
  </si>
  <si>
    <t>Lampe de table ananas doré/argenté</t>
  </si>
  <si>
    <t>Coussin chauffant dos/ventre 100 W</t>
  </si>
  <si>
    <t>Outil multifonction sans fil</t>
  </si>
  <si>
    <t>Batterie PAP 20 V 2 Ah</t>
  </si>
  <si>
    <t>Chargeur et batterie PAP 20 V 2 Ah</t>
  </si>
  <si>
    <t>Projecteur de chantier LED 2 x 30 W</t>
  </si>
  <si>
    <t>Livre de couture créative</t>
  </si>
  <si>
    <t>Jeu en bois licence</t>
  </si>
  <si>
    <t>Accessoire manucure/pédicure</t>
  </si>
  <si>
    <t>Pyjama fille</t>
  </si>
  <si>
    <t>Collant fin indémaillable femme</t>
  </si>
  <si>
    <t>Socquettes fines femme</t>
  </si>
  <si>
    <t>Lampe murale extérieure LED Up/Down</t>
  </si>
  <si>
    <t>Pyjama garçon</t>
  </si>
  <si>
    <t>Chaussettes enfant 3p</t>
  </si>
  <si>
    <t>Coussin de chaise 40x40x6 cm</t>
  </si>
  <si>
    <t>Ensemble en velours fille</t>
  </si>
  <si>
    <t>Ensemble en polaire garçon</t>
  </si>
  <si>
    <t>Legging thermique fille</t>
  </si>
  <si>
    <t>Lego Jeu construction petit modèle</t>
  </si>
  <si>
    <t>Play Doh Set pâte à modeler</t>
  </si>
  <si>
    <t>Blocs de construction petit format</t>
  </si>
  <si>
    <t>Blocs de construction grand format</t>
  </si>
  <si>
    <t>Blocs de construction moyen format</t>
  </si>
  <si>
    <t>Lego Jeu de construction g</t>
  </si>
  <si>
    <t>Plats à four 2p</t>
  </si>
  <si>
    <t>Mijoteuse électrique 235 W</t>
  </si>
  <si>
    <t>Gril multifonction 1700 W</t>
  </si>
  <si>
    <t>Poêle avec revêtement en céramique</t>
  </si>
  <si>
    <t>Décoration de Noël</t>
  </si>
  <si>
    <t>Maxi bougie parfumée dans un verre</t>
  </si>
  <si>
    <t>Boules de Noël</t>
  </si>
  <si>
    <t>Radiateur soufflant 2 000 W</t>
  </si>
  <si>
    <t>Brosse à dents ultrasons rechargeab</t>
  </si>
  <si>
    <t>Batterie externe PowerBank 3000 mAh</t>
  </si>
  <si>
    <t>Scie à main 4 en 1</t>
  </si>
  <si>
    <t>Niveau rapporteur d'angle</t>
  </si>
  <si>
    <t>Serre-joints à une main 2 ou 4 p.</t>
  </si>
  <si>
    <t>Set de mèches, forets ou fraises</t>
  </si>
  <si>
    <t>Tréteau réglable en hauteur</t>
  </si>
  <si>
    <t>Meuleuse droite 500 W</t>
  </si>
  <si>
    <t>Joint pour bas de porte</t>
  </si>
  <si>
    <t>Pattex Colle ou ruban adhesif</t>
  </si>
  <si>
    <t>Accessoire pour meuleuse droite</t>
  </si>
  <si>
    <t>Medisana Siège de massage Shiatsu</t>
  </si>
  <si>
    <t>Étagère à chaussures</t>
  </si>
  <si>
    <t>Tour de rangement à 3 tiroirs</t>
  </si>
  <si>
    <t>Chiffons en microfibre 5p</t>
  </si>
  <si>
    <t>Pelle et balayette 2p</t>
  </si>
  <si>
    <t>Housses de rechange balai</t>
  </si>
  <si>
    <t>Aspirateur de cendres 1200 W</t>
  </si>
  <si>
    <t>Pince</t>
  </si>
  <si>
    <t>Cliquet télescopique</t>
  </si>
  <si>
    <t>Coussins de montage gonflables 2p</t>
  </si>
  <si>
    <t xml:space="preserve">Mètre ruban avec crayon marqueur 5 </t>
  </si>
  <si>
    <t>Panier à provisions pliant</t>
  </si>
  <si>
    <t>Poêle en fonte d'aluminium 20 cm</t>
  </si>
  <si>
    <t>Vileda Chiffon, lavettes ou éponges</t>
  </si>
  <si>
    <t>Mitigeur de cuisine monocommande</t>
  </si>
  <si>
    <t>Housse de rangement sous vide</t>
  </si>
  <si>
    <t>Cintre</t>
  </si>
  <si>
    <t xml:space="preserve">Étendoir mural/enrouleur de cordes </t>
  </si>
  <si>
    <t>Ampoule LED intensité variable 3,5W</t>
  </si>
  <si>
    <t>Plafonnier à LED</t>
  </si>
  <si>
    <t>Ampoule LED</t>
  </si>
  <si>
    <t>Sauna facial 100 W</t>
  </si>
  <si>
    <t>Boîte de 10 jeux en bois</t>
  </si>
  <si>
    <t>Horloge murale avec température/</t>
  </si>
  <si>
    <t>Lampadaire vasque LED</t>
  </si>
  <si>
    <t>Ruban Power LED 1 m</t>
  </si>
  <si>
    <t>Ampoule LED à filament 4 W</t>
  </si>
  <si>
    <t>Genouillères avec gel 2 p.</t>
  </si>
  <si>
    <t>Support roulant de manutention</t>
  </si>
  <si>
    <t>Mallette de rangement Duo</t>
  </si>
  <si>
    <t>Set de clés mixtes 15 p.</t>
  </si>
  <si>
    <t>Baufix lubrifiant en aérosol</t>
  </si>
  <si>
    <t>Set de clés à douilles 15 p.</t>
  </si>
  <si>
    <t>3M Rubans de masquage 3 p.</t>
  </si>
  <si>
    <t>Roulettes de transport 4 p / 8 p.</t>
  </si>
  <si>
    <t>3M Bande de réparation gris / noir</t>
  </si>
  <si>
    <t>Baufix Spray anti-moisissure 1 l</t>
  </si>
  <si>
    <t>Rubans adhésifs 3 p.</t>
  </si>
  <si>
    <t>Baufix Peinture blanche 11 l</t>
  </si>
  <si>
    <t>Baufix Produit anti-taches</t>
  </si>
  <si>
    <t>Demi-bâche de protection auto</t>
  </si>
  <si>
    <t>Essuie-glaces 2p</t>
  </si>
  <si>
    <t>Cric hydraulique 3T</t>
  </si>
  <si>
    <t>Trousse de 1ers secours</t>
  </si>
  <si>
    <t>Balise de signalisation à LED</t>
  </si>
  <si>
    <t>Organiseur de coffre</t>
  </si>
  <si>
    <t>Bracelets lumineux à LED 2 p.</t>
  </si>
  <si>
    <t>Maxi-bloc feuille cartonnée couleur</t>
  </si>
  <si>
    <t>Marqueurs peinture 2p</t>
  </si>
  <si>
    <t>Aliments en bois</t>
  </si>
  <si>
    <t>Maison de poupée</t>
  </si>
  <si>
    <t>Meubles maison poupée ou poupées</t>
  </si>
  <si>
    <t>Tableau pupitre</t>
  </si>
  <si>
    <t>Accessoire de cuisine 3p</t>
  </si>
  <si>
    <t>Boutique en bois</t>
  </si>
  <si>
    <t>Maison de poupée ou bateau pirate</t>
  </si>
  <si>
    <t>Balance ou caisse en bois</t>
  </si>
  <si>
    <t>Parking/aéroport ou rails en bois</t>
  </si>
  <si>
    <t>Set de véhicules aimantés</t>
  </si>
  <si>
    <t>Véhicule lumineux et sonore</t>
  </si>
  <si>
    <t>Train télécommandé</t>
  </si>
  <si>
    <t>Chemin de fer Tour du monde en bois</t>
  </si>
  <si>
    <t>Set de véhicules bois/plastique</t>
  </si>
  <si>
    <t>Set chemin de fer 72p</t>
  </si>
  <si>
    <t>Tapis de jeu</t>
  </si>
  <si>
    <t>Set autoroute en bois</t>
  </si>
  <si>
    <t>Autocollants de Noël</t>
  </si>
  <si>
    <t>Station de soudage numérique</t>
  </si>
  <si>
    <t>Vis pour aggloméré</t>
  </si>
  <si>
    <t xml:space="preserve">Fer à souder sans fil </t>
  </si>
  <si>
    <t>Ponceuse stationnaire à bande 240 W</t>
  </si>
  <si>
    <t>Accessoires mini-outil multifonctio</t>
  </si>
  <si>
    <t>Boîte à outils petit format</t>
  </si>
  <si>
    <t>Agenda organiseur</t>
  </si>
  <si>
    <t xml:space="preserve">Fisher-Price Jouet d'éveil </t>
  </si>
  <si>
    <t>Cubes ou pyramide à empiler</t>
  </si>
  <si>
    <t>Remington Tondeuse à cheveux</t>
  </si>
  <si>
    <t>Boîte à montres</t>
  </si>
  <si>
    <t>Livre de recettes « Monsieur Cuisin</t>
  </si>
  <si>
    <t>Monsieur Cuisine édition Plus</t>
  </si>
  <si>
    <t>Moule à charnière/moule à kouglof</t>
  </si>
  <si>
    <t>Couverture chauffante 100 W</t>
  </si>
  <si>
    <t>Amplificateur auditif</t>
  </si>
  <si>
    <t>Chauffe-pieds 100 W</t>
  </si>
  <si>
    <t>Appareil de massage shiatsu nuque</t>
  </si>
  <si>
    <t>Loupe avec LED</t>
  </si>
  <si>
    <t>Ansmann Pile bouton appareil auditi</t>
  </si>
  <si>
    <t>Coussin chauffant dos nuque 100 W</t>
  </si>
  <si>
    <t>Fer à boucler Christina Aguilera</t>
  </si>
  <si>
    <t>Brosse soufflante Christina Aguiler</t>
  </si>
  <si>
    <t>Brosse à cheveux Christina Aguilera</t>
  </si>
  <si>
    <t>Sèche-cheveux Christina Aguilera</t>
  </si>
  <si>
    <t>Fer à lisser Christina Aguilera</t>
  </si>
  <si>
    <t>Fer à lisser à écran LED Christina</t>
  </si>
  <si>
    <t>Fer à coiffer multifonction Christi</t>
  </si>
  <si>
    <t>Moule à revêtement céramique</t>
  </si>
  <si>
    <t>Mini four/gril 1 500 W</t>
  </si>
  <si>
    <t>Poêle revêtement en céramique 28 cm</t>
  </si>
  <si>
    <t>Coussin chauffant 100 W</t>
  </si>
  <si>
    <t>Jeu en bois 3D</t>
  </si>
  <si>
    <t>Jouet d'éveil en bois</t>
  </si>
  <si>
    <t>Draisienne ou cheval à bascule bois</t>
  </si>
  <si>
    <t>Jeu en bois</t>
  </si>
  <si>
    <t>Blocs de construction en bois</t>
  </si>
  <si>
    <t>Circuit à billes en bois</t>
  </si>
  <si>
    <t>Puzzle en bois</t>
  </si>
  <si>
    <t>Set de prises télécommandées 5p</t>
  </si>
  <si>
    <t>Guirlande lumineuse à LED d'intérie</t>
  </si>
  <si>
    <t>Embouts/set d'embouts et douilles</t>
  </si>
  <si>
    <t>Serre-câbles 250 p</t>
  </si>
  <si>
    <t xml:space="preserve">Accessoire de nettoyage </t>
  </si>
  <si>
    <t>Seau ou panier pliant</t>
  </si>
  <si>
    <t>Vileda Chiffons en microfibre 4p</t>
  </si>
  <si>
    <t>Vileda Set complet Ultramat+housses</t>
  </si>
  <si>
    <t>Service à fondue électrique 1 500 W</t>
  </si>
  <si>
    <t xml:space="preserve">Poêle à griller ou casserole </t>
  </si>
  <si>
    <t>Hachoir multifonction</t>
  </si>
  <si>
    <t>Gants de ski homme</t>
  </si>
  <si>
    <t>Gaufrier double 1200 W</t>
  </si>
  <si>
    <t>Pichet isotherme</t>
  </si>
  <si>
    <t>Verres à double paroi 2 ou 3 p.</t>
  </si>
  <si>
    <t>Gants de ski femme</t>
  </si>
  <si>
    <t>Gobelet en porcelaine</t>
  </si>
  <si>
    <t>Crochets radiateur/crochets porte</t>
  </si>
  <si>
    <t>Desserte à roulettes</t>
  </si>
  <si>
    <t>Coffret à dessin et peinture</t>
  </si>
  <si>
    <t>Set de pinceaux</t>
  </si>
  <si>
    <t>Toile à peindre</t>
  </si>
  <si>
    <t>Set de dessin au fusain 26p</t>
  </si>
  <si>
    <t>Agrafeuse sans fil</t>
  </si>
  <si>
    <t>Peintures aquarelles, l'huile,acryl</t>
  </si>
  <si>
    <t>Mallette avec chevalet de table 51p</t>
  </si>
  <si>
    <t>Gobelet, bol/couvercle anti-éclabou</t>
  </si>
  <si>
    <t>Lampe bureau avec affichage heure</t>
  </si>
  <si>
    <t>Outil électrique pour enfant</t>
  </si>
  <si>
    <t>Boîtes à biscuits 3p</t>
  </si>
  <si>
    <t>Décorations de Noël à suspendre</t>
  </si>
  <si>
    <t>Bougies LED sans fil pour sapin Noë</t>
  </si>
  <si>
    <t>Sapin de Noël artificiel</t>
  </si>
  <si>
    <t>Accessoire de fitness</t>
  </si>
  <si>
    <t>Couteau de cuisine acier inoxydable</t>
  </si>
  <si>
    <t>Tapis de fitness</t>
  </si>
  <si>
    <t>Bandes élastiques de fitness</t>
  </si>
  <si>
    <t xml:space="preserve">Jeu de construction magnétique </t>
  </si>
  <si>
    <t>Jeu de construction métallique</t>
  </si>
  <si>
    <t>Kit de démarrage sable magique</t>
  </si>
  <si>
    <t>Kit de pâte à modeler</t>
  </si>
  <si>
    <t>Set de pinces perforatrices 128p</t>
  </si>
  <si>
    <t>Pfaff Surjeteuse</t>
  </si>
  <si>
    <t>Bresser Loupe couture/tricot LED</t>
  </si>
  <si>
    <t>Blender chauffant 1000 W</t>
  </si>
  <si>
    <t>Couvercle ou panier vapeur</t>
  </si>
  <si>
    <t>Ciseaux à volaille ou ciseaux ménag</t>
  </si>
  <si>
    <t>Film appareil de mise sous vide</t>
  </si>
  <si>
    <t>Bougies chauffe-plat figurines 6p</t>
  </si>
  <si>
    <t>Bougie parfumée/rustique métallisée</t>
  </si>
  <si>
    <t>Lanterne</t>
  </si>
  <si>
    <t>Stickers de Noël pour fenêtre</t>
  </si>
  <si>
    <t>Bougie d'ambiance</t>
  </si>
  <si>
    <t>Guirlande lumineuse 20 LED d'intéri</t>
  </si>
  <si>
    <t>Bougies ou maxi bougies parfumées</t>
  </si>
  <si>
    <t>Distributeur de savon électrique</t>
  </si>
  <si>
    <t>Écouteurs intra-auriculaires</t>
  </si>
  <si>
    <t>Multiprise 4 prises</t>
  </si>
  <si>
    <t>Enceinte Bluetooth® 2x 4 W</t>
  </si>
  <si>
    <t>Ponceuse multifonction 3 en 1</t>
  </si>
  <si>
    <t>Set de clés à douille 94p</t>
  </si>
  <si>
    <t>Défonceuse 1200 W</t>
  </si>
  <si>
    <t>Aspirateur eau et poussière 1400 W</t>
  </si>
  <si>
    <t>Balai serpillière avec 2 housses</t>
  </si>
  <si>
    <t>Nettoyeur à ultrasons 50 W</t>
  </si>
  <si>
    <t>Aspirateur balai et à main</t>
  </si>
  <si>
    <t>Radiateur halogène 1200 W</t>
  </si>
  <si>
    <t>Marteau</t>
  </si>
  <si>
    <t>Télémètre laser 20 m</t>
  </si>
  <si>
    <t>Niveau laser en croix + trépied</t>
  </si>
  <si>
    <t>Casse-noix, presse-ail ou coupe-oeu</t>
  </si>
  <si>
    <t>Boîtes de conservation pliables 4p</t>
  </si>
  <si>
    <t>Poêle en fonte d'aluminium 24 cm</t>
  </si>
  <si>
    <t>Chariot de courses</t>
  </si>
  <si>
    <t>Passoires 3p</t>
  </si>
  <si>
    <t>Appareil à croque-monsieur 3 en 1</t>
  </si>
  <si>
    <t>Poêle en fonte d'aluminium 28 cm</t>
  </si>
  <si>
    <t>Planches à découper flexibles 6p</t>
  </si>
  <si>
    <t>Étendoir à linge 2 en 1</t>
  </si>
  <si>
    <t>Boules pour sèche-linge</t>
  </si>
  <si>
    <t>Housse de rangement</t>
  </si>
  <si>
    <t>Diable pliant 50 kg</t>
  </si>
  <si>
    <t>Rasoir anti-bouloches</t>
  </si>
  <si>
    <t>Panier flexible 36 L</t>
  </si>
  <si>
    <t>Portant à vêtements</t>
  </si>
  <si>
    <t>Balai électrique sans fil</t>
  </si>
  <si>
    <t>Vileda Table à repasser Viva Expr</t>
  </si>
  <si>
    <t>Accessoire WC ou salle de bains</t>
  </si>
  <si>
    <t>Rasoir électrique</t>
  </si>
  <si>
    <t>Ampoule LED à filament 6 W</t>
  </si>
  <si>
    <t>Cadre photo multivues</t>
  </si>
  <si>
    <t>Matelas gonflable</t>
  </si>
  <si>
    <t>Patère ou crochet de porte</t>
  </si>
  <si>
    <t>Ruban lumineux avec capteur 3 m</t>
  </si>
  <si>
    <t>Plafonnier à LED + haut-parleur</t>
  </si>
  <si>
    <t>Set de pinceaux Soft Touch 5 p.</t>
  </si>
  <si>
    <t>Set de tapis de voiture universels</t>
  </si>
  <si>
    <t>Sangles de serrage/arrimage</t>
  </si>
  <si>
    <t>Housse de protection pour banquette</t>
  </si>
  <si>
    <t>Batterie Powerbank avec aide au dém</t>
  </si>
  <si>
    <t>Support pour smartphone</t>
  </si>
  <si>
    <t>Lampe torche baladeuse LED</t>
  </si>
  <si>
    <t>Bâtons de colle à chaud</t>
  </si>
  <si>
    <t>Bloc « Relax Art »</t>
  </si>
  <si>
    <t>Set de tampons</t>
  </si>
  <si>
    <t>Pistolet à colle</t>
  </si>
  <si>
    <t>Accessoires créatifs à paillettes</t>
  </si>
  <si>
    <t>Perforatrices/pince et ciseaux</t>
  </si>
  <si>
    <t xml:space="preserve">Ansmann Veilleuse enfant ciel </t>
  </si>
  <si>
    <t>Guirlande décorative</t>
  </si>
  <si>
    <t>Set de douilles et d'embouts 53p</t>
  </si>
  <si>
    <t xml:space="preserve">Visseuse multi-embouts sans fil </t>
  </si>
  <si>
    <t>Balai</t>
  </si>
  <si>
    <t>Outils de précision 35p</t>
  </si>
  <si>
    <t xml:space="preserve">3M Ruban adhésif toilé 50m x 50mm </t>
  </si>
  <si>
    <t>Set de cutters et lames 33p</t>
  </si>
  <si>
    <t xml:space="preserve">Accessoire magnétique </t>
  </si>
  <si>
    <t>Loupe à LED travaux de précision</t>
  </si>
  <si>
    <t>Forets, mèches ou embouts</t>
  </si>
  <si>
    <t>Livre pour enfant</t>
  </si>
  <si>
    <t>Zenker Plaque à four extensible</t>
  </si>
  <si>
    <t>Presse à biscuits</t>
  </si>
  <si>
    <t>Accessoire de pâtisserie</t>
  </si>
  <si>
    <t xml:space="preserve">Moule en silicone </t>
  </si>
  <si>
    <t>Four à micro-ondes argenté 800 W</t>
  </si>
  <si>
    <t>Pinceau de maquillage ou recourbe-c</t>
  </si>
  <si>
    <t>Poêle revêtement en céramique 24 cm</t>
  </si>
  <si>
    <t>Jeu d'éveil en bois</t>
  </si>
  <si>
    <t>Rideau lumineux à LED étoiles/floco</t>
  </si>
  <si>
    <t>Figurine LED en cire véritable</t>
  </si>
  <si>
    <t>Décoration de Noël lumineuse 3D</t>
  </si>
  <si>
    <t>Rideau ou filet lumineux à LED</t>
  </si>
  <si>
    <t>Guirlande Galaxie 400 LED</t>
  </si>
  <si>
    <t>Guirlande lumineuse 140 LED de coul</t>
  </si>
  <si>
    <t>Guirlande lumineuse 50 LED</t>
  </si>
  <si>
    <t>Set de pinces à rivets+accessoires</t>
  </si>
  <si>
    <t>Lampe de poche à LED</t>
  </si>
  <si>
    <t>Set de filetage et taraudage 21p</t>
  </si>
  <si>
    <t>Pantalon de ski femme</t>
  </si>
  <si>
    <t>Veste de ski femme</t>
  </si>
  <si>
    <t>Pantalon de ski homme</t>
  </si>
  <si>
    <t>Veste de ski homme</t>
  </si>
  <si>
    <t xml:space="preserve">Yourstep Semelles confort chaudes </t>
  </si>
  <si>
    <t>T-shirt de ski homme</t>
  </si>
  <si>
    <t>T-shirt de ski femme</t>
  </si>
  <si>
    <t>Veste powerstretch homme</t>
  </si>
  <si>
    <t>Veste powerstretch femme</t>
  </si>
  <si>
    <t>Legging technique femme</t>
  </si>
  <si>
    <t>T-shirt technique femme</t>
  </si>
  <si>
    <t>Collant de running softshell homme</t>
  </si>
  <si>
    <t>Veste technique softshell homme</t>
  </si>
  <si>
    <t>Collant de running softshell femme</t>
  </si>
  <si>
    <t>Thermomètre numérique</t>
  </si>
  <si>
    <t>Anaf Extincteur pression</t>
  </si>
  <si>
    <t>Sous-vêtement de ski seamless homme</t>
  </si>
  <si>
    <t>Sous-vêtement de ski seamless femme</t>
  </si>
  <si>
    <t>Caleçon de ski technique seamless h</t>
  </si>
  <si>
    <t>Caleçon de ski technique seamless f</t>
  </si>
  <si>
    <t>Meuleuse-perceuse de précision sans</t>
  </si>
  <si>
    <t>Pantalon doublé garçon</t>
  </si>
  <si>
    <t>Veste polaire fille</t>
  </si>
  <si>
    <t>Veste polaire garçon</t>
  </si>
  <si>
    <t>T-shirts manches longues fille 2p</t>
  </si>
  <si>
    <t>Robe en maille fille</t>
  </si>
  <si>
    <t>Veste ou pull en peluche bébé garço</t>
  </si>
  <si>
    <t>Pantalons en velours bébé fille 2p</t>
  </si>
  <si>
    <t>Pantalons en velours bébé garçon 2p</t>
  </si>
  <si>
    <t>Robe en maille bébé fille</t>
  </si>
  <si>
    <t>Veste ou pull en peluche bébé fille</t>
  </si>
  <si>
    <t>Pyjama fille en coton Bio</t>
  </si>
  <si>
    <t>Pyjama garçon en coton Bio</t>
  </si>
  <si>
    <t>Pyjama flanelle garçon</t>
  </si>
  <si>
    <t xml:space="preserve">Pyjama flanelle fille </t>
  </si>
  <si>
    <t>Socquettes antidérapantes bébé f</t>
  </si>
  <si>
    <t>Collants antidérapants bébé 2p</t>
  </si>
  <si>
    <t>Socquettes antidérapantes bébé g</t>
  </si>
  <si>
    <t>Legging ou collant thermique femme</t>
  </si>
  <si>
    <t>Collant 60 DEN femme</t>
  </si>
  <si>
    <t>Chaussettes montantes/jambières fem</t>
  </si>
  <si>
    <t>Collant fin à motif femme</t>
  </si>
  <si>
    <t>Matelas confort 7 zones simple</t>
  </si>
  <si>
    <t xml:space="preserve">Matelas confort 7 zones double </t>
  </si>
  <si>
    <t>Chaussettes antidérapantes fille</t>
  </si>
  <si>
    <t>Chaussettes antidérapantes garçon</t>
  </si>
  <si>
    <t>Collant ou legging femme</t>
  </si>
  <si>
    <t>Chaussettes techniques de ski homme</t>
  </si>
  <si>
    <t>Chaussettes techniques de ski femme</t>
  </si>
  <si>
    <t>Chaussettes douces femme 2p</t>
  </si>
  <si>
    <t>Chaussettes thermiques fille 2p</t>
  </si>
  <si>
    <t>Chaussettes thermiques garçon 2p</t>
  </si>
  <si>
    <t>Chaussons-chaussettes homme</t>
  </si>
  <si>
    <t>Sac de coffre ou tapis de coffre</t>
  </si>
  <si>
    <t>Collant thermique fille</t>
  </si>
  <si>
    <t>Chaussettes enfant 5p</t>
  </si>
  <si>
    <t>Collant ou mi-bas fin femme 2 p.</t>
  </si>
  <si>
    <t>Chaussettes femme 7p</t>
  </si>
  <si>
    <t>Chaussettes homme 7p</t>
  </si>
  <si>
    <t>Chaussettes de running hiver femme</t>
  </si>
  <si>
    <t>Chaussettes de running hiver homme</t>
  </si>
  <si>
    <t>Chaussettes de Noël homme 2p</t>
  </si>
  <si>
    <t>Chaussettes de Noël femme 3p</t>
  </si>
  <si>
    <t>Gants femme</t>
  </si>
  <si>
    <t>Écharpe femme</t>
  </si>
  <si>
    <t>Cagoule, tour de cou, cache-col ski</t>
  </si>
  <si>
    <t>Brassière de sport Seamless femme</t>
  </si>
  <si>
    <t>Gants techniques homme</t>
  </si>
  <si>
    <t>Ballon de gymnastique</t>
  </si>
  <si>
    <t>Chaussons garçon</t>
  </si>
  <si>
    <t xml:space="preserve">Chaussons fille </t>
  </si>
  <si>
    <t>Bottes d'hiver femme</t>
  </si>
  <si>
    <t xml:space="preserve">Chaussons homme </t>
  </si>
  <si>
    <t>Chaussons ballerines</t>
  </si>
  <si>
    <t>Chaussons de Noël femme</t>
  </si>
  <si>
    <t>Veste technique softshell femme</t>
  </si>
  <si>
    <t>Balance de cuisine numérique</t>
  </si>
  <si>
    <t>Boîte rangement/accessoires couture</t>
  </si>
  <si>
    <t>Brosse de nettoyage sans fil</t>
  </si>
  <si>
    <t>Panier à linge</t>
  </si>
  <si>
    <t>Set de corbeilles en fil métallique</t>
  </si>
  <si>
    <t>Applique de salle de bains à LED</t>
  </si>
  <si>
    <t>Réglette sous meuble blanc variable</t>
  </si>
  <si>
    <t>Boîte à bijoux avec miroir</t>
  </si>
  <si>
    <t>Aspirateur à main 18 V</t>
  </si>
  <si>
    <t>Aspirateur robot</t>
  </si>
  <si>
    <t>Présentoir 3 étages bois/porcelaine</t>
  </si>
  <si>
    <t>Bloc range-couteaux bois d'acacia</t>
  </si>
  <si>
    <t>Vaisselle pour service à thé</t>
  </si>
  <si>
    <t>Boîte à noix en bois d'acacia</t>
  </si>
  <si>
    <t>Set à salade 4p</t>
  </si>
  <si>
    <t>Décoration de Noël lumineuse</t>
  </si>
  <si>
    <t>Guide coupe-gâteau/spatule à gâteau</t>
  </si>
  <si>
    <t>Livre de pâtisserie express</t>
  </si>
  <si>
    <t>Tire-bouchon électrique en acier</t>
  </si>
  <si>
    <t>Cloche décorative à LED</t>
  </si>
  <si>
    <t>Accessoire pour emballage cadeaux</t>
  </si>
  <si>
    <t>Boules de Noël 24 p</t>
  </si>
  <si>
    <t>Chargeur Powerbank à induction</t>
  </si>
  <si>
    <t>Projecteur laser</t>
  </si>
  <si>
    <t>Set de pyrogravure 30 W</t>
  </si>
  <si>
    <t>Abattant WC en Duroplast</t>
  </si>
  <si>
    <t xml:space="preserve">Sanitas Brosse nettoyante </t>
  </si>
  <si>
    <t>Mon premier train</t>
  </si>
  <si>
    <t>Gare XXL et accessoires</t>
  </si>
  <si>
    <t>Lego Jeu de construction fille</t>
  </si>
  <si>
    <t>Jeu de construction magnétique</t>
  </si>
  <si>
    <t>Circuit</t>
  </si>
  <si>
    <t>Bodum Cafetière ou mousseur</t>
  </si>
  <si>
    <t>Penderie télescopique</t>
  </si>
  <si>
    <t>Set de blocs de construction</t>
  </si>
  <si>
    <t>Calendrier de l'Avent</t>
  </si>
  <si>
    <t>Commode d'appoint machine à coudre</t>
  </si>
  <si>
    <t>Étagères murales aspect béton 2p</t>
  </si>
  <si>
    <t>Chariot mécanicien/tabouret atelier</t>
  </si>
  <si>
    <t>Livre de loisirs créatifs</t>
  </si>
  <si>
    <t>Casque audio Bluetooth®</t>
  </si>
  <si>
    <t xml:space="preserve">Découpeur multifonction sans fil </t>
  </si>
  <si>
    <t>Veilleuse avec projection murale</t>
  </si>
  <si>
    <t xml:space="preserve">Drap-housse jersey 90-100 x 200 cm </t>
  </si>
  <si>
    <t>Drap-housse jersey 140-160 x 200 cm</t>
  </si>
  <si>
    <t>Friteuse en acier inoxydable</t>
  </si>
  <si>
    <t>Poste à souder à fil fourré</t>
  </si>
  <si>
    <t>Perceuse-visseuse sans fil</t>
  </si>
  <si>
    <t>Fer à repasser vapeur 2 400 W</t>
  </si>
  <si>
    <t>Lampadaire LED à intensité variable</t>
  </si>
  <si>
    <t>Feutre blanchisseur/retouche bois</t>
  </si>
  <si>
    <t>Accessoires de meulage mini outil</t>
  </si>
  <si>
    <t>Meuleuse-perceuse de précision</t>
  </si>
  <si>
    <t>Détecteur multifonction/humidimètre</t>
  </si>
  <si>
    <t>Set d'embouts</t>
  </si>
  <si>
    <t>Tournevis</t>
  </si>
  <si>
    <t>Mini set pour outil multifonction</t>
  </si>
  <si>
    <t>Flexible de douche</t>
  </si>
  <si>
    <t>Coussin de massage Shiatsu</t>
  </si>
  <si>
    <t>Sanitas Tensiomètre</t>
  </si>
  <si>
    <t>Bloc de classement à tiroirs</t>
  </si>
  <si>
    <t>BIC Fournitures de bureau</t>
  </si>
  <si>
    <t>Carnets à spirales A5/A6 2 ou 3p</t>
  </si>
  <si>
    <t>Stylos à bille rétractables 10p</t>
  </si>
  <si>
    <t>Blocs-notes adhésifs 9p</t>
  </si>
  <si>
    <t>Bloc-notes 800 feuilles</t>
  </si>
  <si>
    <t>Rehausseur de voiture pour enfant</t>
  </si>
  <si>
    <t>Blender à smoothies</t>
  </si>
  <si>
    <t>Sanitas Thermomètre multifonction</t>
  </si>
  <si>
    <t>Bandage, bandes ou compresses</t>
  </si>
  <si>
    <t>Coussin de tourbe/ pour enfant</t>
  </si>
  <si>
    <t>Coussin de tourbe cervicales/dorsal</t>
  </si>
  <si>
    <t>Collants bébé Bio 5p</t>
  </si>
  <si>
    <t>Bavoirs bébé Bio 3p</t>
  </si>
  <si>
    <t>Parure de lit bébé Bio 3p</t>
  </si>
  <si>
    <t>Bodies croisés bébé Bio 5p</t>
  </si>
  <si>
    <t>Vestes bébé Bio 2p</t>
  </si>
  <si>
    <t>T-shirts manches longues bébé Bio 3</t>
  </si>
  <si>
    <t>Pantalons molletonnés bébé Bio 3p</t>
  </si>
  <si>
    <t>T-shirts de grossesse Bio 2p</t>
  </si>
  <si>
    <t>Culottes ou shorties fille 7/4p</t>
  </si>
  <si>
    <t>Slips ou boxers garçon 7,4 ou 5p</t>
  </si>
  <si>
    <t>Matelas d'appoint 190x65x8,5 cm</t>
  </si>
  <si>
    <t>Matelas d'appoint 190x65x8,5 cm blc</t>
  </si>
  <si>
    <t>Housses de coussins décoratives</t>
  </si>
  <si>
    <t>Tapis double face 67x120cm</t>
  </si>
  <si>
    <t>Tapis double face 150x200cm</t>
  </si>
  <si>
    <t>Panneaux japonais 245x45 cm</t>
  </si>
  <si>
    <t>Écussons thermocollants 3 ou 4p</t>
  </si>
  <si>
    <t>Accessoire pour tricot</t>
  </si>
  <si>
    <t>Sweat homme</t>
  </si>
  <si>
    <t>T-shirts homme 2p</t>
  </si>
  <si>
    <t>Salopette de travail homme</t>
  </si>
  <si>
    <t>Peluche brocoli</t>
  </si>
  <si>
    <t>Peluche avocat</t>
  </si>
  <si>
    <t>Peluche pomme</t>
  </si>
  <si>
    <t>Peluche citrouille</t>
  </si>
  <si>
    <t>Peluche tomate</t>
  </si>
  <si>
    <t>Peluche banane</t>
  </si>
  <si>
    <t>Peluche carotte</t>
  </si>
  <si>
    <t>Peluche mangue</t>
  </si>
  <si>
    <t>Multimètre numérique</t>
  </si>
  <si>
    <t>Sweat zippé de fitness femme</t>
  </si>
  <si>
    <t xml:space="preserve">Débardeurs à fines bretelles femme </t>
  </si>
  <si>
    <t>Jogpant femme</t>
  </si>
  <si>
    <t>T-shirt manches 3/4 femme</t>
  </si>
  <si>
    <t xml:space="preserve">Collant de contention femme </t>
  </si>
  <si>
    <t>Collant 80 DEN femme</t>
  </si>
  <si>
    <t>Chaussettes fille 7p</t>
  </si>
  <si>
    <t>Lampe de table LED</t>
  </si>
  <si>
    <t>Housse ou chiffons microfibres</t>
  </si>
  <si>
    <t>Cuiseur vapeur</t>
  </si>
  <si>
    <t>Robot multifonction</t>
  </si>
  <si>
    <t>Chauffe-mains/chauffe-pieds/semelle</t>
  </si>
  <si>
    <t>Télémètre laser 50 m</t>
  </si>
  <si>
    <t>Carnet 240p</t>
  </si>
  <si>
    <t>Bandes de kinésiologie</t>
  </si>
  <si>
    <t>Fil fourré</t>
  </si>
  <si>
    <t>Coussin Johnny Hallyday 40x40 cm</t>
  </si>
  <si>
    <t>Parure de lit coton Johnny Hallyday</t>
  </si>
  <si>
    <t>Bacon tranches fumées des Alpes</t>
  </si>
  <si>
    <t>Tête de Moine découpée</t>
  </si>
  <si>
    <t>Gruyère</t>
  </si>
  <si>
    <t>Rösti Classic</t>
  </si>
  <si>
    <t>Galette de pdt lard / emmental</t>
  </si>
  <si>
    <t>Tête de moine AOP avec Fleurolle</t>
  </si>
  <si>
    <t xml:space="preserve">Fondue classique </t>
  </si>
  <si>
    <t>Safran</t>
  </si>
  <si>
    <t>Fromage en tranches Monterey Jack</t>
  </si>
  <si>
    <t>Beurre de cacahuètes</t>
  </si>
  <si>
    <t>Filet de limande façon meunière</t>
  </si>
  <si>
    <t>Fromage râpé pour nachos</t>
  </si>
  <si>
    <t>Patate douce et chips de légumes</t>
  </si>
  <si>
    <t>Malt Scotch Whisky 3 casks 42%</t>
  </si>
  <si>
    <t xml:space="preserve">Gâteau au fromage blanc </t>
  </si>
  <si>
    <t>Décoration pour gâteau</t>
  </si>
  <si>
    <t>Poitrine de porc fumée au miel</t>
  </si>
  <si>
    <t>Gateaux au fromage fruits/caramel</t>
  </si>
  <si>
    <t>Sucre d'orge</t>
  </si>
  <si>
    <t>Scotch Whisky Blended 40%</t>
  </si>
  <si>
    <t>Soupe fraîche au choix</t>
  </si>
  <si>
    <t>Langoustines</t>
  </si>
  <si>
    <t>Gin Wild Burrow 40%</t>
  </si>
  <si>
    <t>Vernis Gloss it up Metallic</t>
  </si>
  <si>
    <t>Vernis Love is in the Nails</t>
  </si>
  <si>
    <t>Spray désodorisants</t>
  </si>
  <si>
    <t>Bain moussant</t>
  </si>
  <si>
    <t xml:space="preserve">Savon liquide mains Feel the love </t>
  </si>
  <si>
    <t>Feuilletés de poisson</t>
  </si>
  <si>
    <t>Calvados 40%</t>
  </si>
  <si>
    <t>Saint Marcellin IGP</t>
  </si>
  <si>
    <t>Truffes fantaisie assorties</t>
  </si>
  <si>
    <t>Escargots praliné</t>
  </si>
  <si>
    <t>Pessac-Léo blanc Ch. Baret AOC</t>
  </si>
  <si>
    <t>Castillon AOC Aster de Beaulieu</t>
  </si>
  <si>
    <t>BX-02 Graves Ch. de Carolle AOC</t>
  </si>
  <si>
    <t>BX-38 Saint-Emilion Cru Gravet  AOC</t>
  </si>
  <si>
    <t>Saint-Emilion Grand Cru Virg. AOC</t>
  </si>
  <si>
    <t xml:space="preserve">Lalande-Pomerol Ch. Siaurac </t>
  </si>
  <si>
    <t>Lalande de Pomerol Jean de Gué AOC</t>
  </si>
  <si>
    <t>Pomerol Ch Hermitage Mazeyres</t>
  </si>
  <si>
    <t xml:space="preserve">Pomerol Ch. La Croix Taillefer Bio </t>
  </si>
  <si>
    <t xml:space="preserve">BX-16 St-Estèphe Ch Franc Coutelin </t>
  </si>
  <si>
    <t>Château La Couspaude 2012 AOC</t>
  </si>
  <si>
    <t>Margaux Chev. de Lascombes 2011 AOC</t>
  </si>
  <si>
    <t>Pauillac Gr. Cru Ch.Pedesclaux 2012</t>
  </si>
  <si>
    <t>BX-25 Ste Croix du Mt Dorleac AOP</t>
  </si>
  <si>
    <t>BX-23 Sauternes Château Delmont AOP</t>
  </si>
  <si>
    <t>Sauternes Carmes de Rieussec 2009</t>
  </si>
  <si>
    <t>Sauternes Château Rieussec 2009</t>
  </si>
  <si>
    <t>AL-02 Alsace Sylvaner Weiber AOC</t>
  </si>
  <si>
    <t>AL-01 Alsace Sylvaner AOC Médaillé</t>
  </si>
  <si>
    <t>AL-08 Alsace Pinot Blanc AOC</t>
  </si>
  <si>
    <t>Alsace Pinot Blanc AOP</t>
  </si>
  <si>
    <t>AL-05 Alsace Riesling Weiber AOC</t>
  </si>
  <si>
    <t>AL-05 Alsace Riesling Roesslin AOC</t>
  </si>
  <si>
    <t>AL-06 Alsace Riesling Rebgarten AOC</t>
  </si>
  <si>
    <t>AL-14 Alsace Klevener AOC</t>
  </si>
  <si>
    <t>AL-03 Alsace Muscat AOP 2016</t>
  </si>
  <si>
    <t>Alsace Pinot Gris AOC</t>
  </si>
  <si>
    <t>AL-15 Alsace Gewurztraminer AOC</t>
  </si>
  <si>
    <t xml:space="preserve">AL-12 Gewurz Grd Cru Mambourg </t>
  </si>
  <si>
    <t xml:space="preserve">Pinot Gris Grand Cru Marckrain </t>
  </si>
  <si>
    <t>Gewürztraminer Grand Cru Marckrain</t>
  </si>
  <si>
    <t>Gewürz. Grand Cru Vorbourg blanc</t>
  </si>
  <si>
    <t>AL-19 Alsace Grand Cru AOC</t>
  </si>
  <si>
    <t>Bourgogne chablis AOC</t>
  </si>
  <si>
    <t>Givry Dom. de la Grangerie 2011 AOC</t>
  </si>
  <si>
    <t>BG-06 Mâcon-Village 2016 AOP</t>
  </si>
  <si>
    <t>Pouilly-Fuissé "La Combe" AOP 2014</t>
  </si>
  <si>
    <t>Hermitage Terrasses du Calvaire 14</t>
  </si>
  <si>
    <t>VR-01 Vaucluse Vallis Quietus IGP</t>
  </si>
  <si>
    <t xml:space="preserve">VR-12 Vacqueyras Terroir Dentelles </t>
  </si>
  <si>
    <t>SO-02 Côtes Gascogne Colombard IGP</t>
  </si>
  <si>
    <t>SO-IGP Le Heron Sauvignon blanc IGP</t>
  </si>
  <si>
    <t>SO-03 Cahors Château la Reyne AOP</t>
  </si>
  <si>
    <t>LR-23 Limoux Le Purgatoire 2015 AOC</t>
  </si>
  <si>
    <t>LR-02 Hérault Chevalier d'Or Pierre</t>
  </si>
  <si>
    <t xml:space="preserve">EF-01 Crémant Bordeaux Bal. rosé </t>
  </si>
  <si>
    <t>EF-02 Crémant d'Alsace Rosé AOC</t>
  </si>
  <si>
    <t xml:space="preserve">EF-06 Clairette de Die AOC </t>
  </si>
  <si>
    <t>SO-06 Côtes Gascogne Le Héron IGP</t>
  </si>
  <si>
    <t>LR-01Hérault rosé Cheval. d'Or IGP</t>
  </si>
  <si>
    <t>Betteraves rouges sous vide BIO</t>
  </si>
  <si>
    <t>Dosettes expresso x28</t>
  </si>
  <si>
    <t>Dosettes Tradition x36</t>
  </si>
  <si>
    <t>Chardons liqueurs et alcools</t>
  </si>
  <si>
    <t>Papillotes tradition</t>
  </si>
  <si>
    <t>Tripes à la provençale</t>
  </si>
  <si>
    <t>Allumettes de lardons natures</t>
  </si>
  <si>
    <t>Allumettes de lardons fumés</t>
  </si>
  <si>
    <t>Verrines sucrées</t>
  </si>
  <si>
    <t>Verrines salées</t>
  </si>
  <si>
    <t>Bûche pâtissière chocolat caramel</t>
  </si>
  <si>
    <t>M. en b. foie gras pomme/speculoos</t>
  </si>
  <si>
    <t>Rillettes de la mer aux écrevisses</t>
  </si>
  <si>
    <t>Foie gras de canard cuit au torchon</t>
  </si>
  <si>
    <t xml:space="preserve">EF-07 Coeur de Muscat VMQA </t>
  </si>
  <si>
    <t>Pays d'Oc Grenache Syrah IGP</t>
  </si>
  <si>
    <t>Nonnettes myrtille x 6</t>
  </si>
  <si>
    <t>2 Pavés de saumon Label Rouge</t>
  </si>
  <si>
    <t>Bière St Patern Dorée 7% Vol.</t>
  </si>
  <si>
    <t>Concentré de citron</t>
  </si>
  <si>
    <t>Bûche citron meringuée</t>
  </si>
  <si>
    <t>Tourte aux 2 saumons</t>
  </si>
  <si>
    <t>Succès au chocolat</t>
  </si>
  <si>
    <t>Crème de marrons</t>
  </si>
  <si>
    <t>Diots de Savoie fumés</t>
  </si>
  <si>
    <t>Escalopes de dinde à la Milanaise</t>
  </si>
  <si>
    <t>Raclette assortiment</t>
  </si>
  <si>
    <t>Duc Royal Vin mous.de qlté demi-sec</t>
  </si>
  <si>
    <t>Duc Royal Vin mousseux de qlté brut</t>
  </si>
  <si>
    <t>Chinois à la crème pâtissière</t>
  </si>
  <si>
    <t>Croûtons nature pour soupe</t>
  </si>
  <si>
    <t>Croûtons à l'ail pour soupe</t>
  </si>
  <si>
    <t>Coft. Abbaye de Vauclair + 2 verres</t>
  </si>
  <si>
    <t>Eau de vie de Vieille Prune 40%</t>
  </si>
  <si>
    <t xml:space="preserve">Tarte flambée au Munster </t>
  </si>
  <si>
    <t>Yaourt bio vanille lait entier</t>
  </si>
  <si>
    <t>Yaourt bio nature lait entier</t>
  </si>
  <si>
    <t>Bordeaux rosé AOP</t>
  </si>
  <si>
    <t>Beurre bio doux</t>
  </si>
  <si>
    <t>Lot de 2 terrines de Provence</t>
  </si>
  <si>
    <t xml:space="preserve">Pavés de sanglier marinés au vin </t>
  </si>
  <si>
    <t>Vin de France r. nouv. cépage GAMAY</t>
  </si>
  <si>
    <t>Clairette de Die AOP</t>
  </si>
  <si>
    <t>Moelleux au chocolat</t>
  </si>
  <si>
    <t>Moelleux aux amandes/noix/chocolat</t>
  </si>
  <si>
    <t>Bûche Sainte Maure</t>
  </si>
  <si>
    <t>Feuilleté saumon-épinard</t>
  </si>
  <si>
    <t>Préparation de goyaves</t>
  </si>
  <si>
    <t>Préparation d'ananas et kiwi</t>
  </si>
  <si>
    <t>Marrons entiers sous vide</t>
  </si>
  <si>
    <t>Liqueur de Myrte 18% de Corse</t>
  </si>
  <si>
    <t>Liqueur de Châtaigne 18% de Corse</t>
  </si>
  <si>
    <t>Liqueur de clémentine 18% de Corse</t>
  </si>
  <si>
    <t>LR-12 Fitou Vieilles Vignes AOP</t>
  </si>
  <si>
    <t>Crémant de Bordeaux brut AOP</t>
  </si>
  <si>
    <t>Mendiants au chocolat lait/noir</t>
  </si>
  <si>
    <t>Saucisse fumée à cuire</t>
  </si>
  <si>
    <t>Salade mélangée</t>
  </si>
  <si>
    <t>Rôti de filet de dinde</t>
  </si>
  <si>
    <t>Pavés de boeuf charolais</t>
  </si>
  <si>
    <t>Faux filet de boeuf charolais</t>
  </si>
  <si>
    <t>Crêpes fromages x20</t>
  </si>
  <si>
    <t>Crêpes jambon-emmental</t>
  </si>
  <si>
    <t>Haché vrac charolais 15%</t>
  </si>
  <si>
    <t>Foie gras de canard entier IGP</t>
  </si>
  <si>
    <t>Emmental français en tranches</t>
  </si>
  <si>
    <t>Brandade de morue parmentière</t>
  </si>
  <si>
    <t>Filet de canard mariné au piment</t>
  </si>
  <si>
    <t>Fruits moelleux assortis</t>
  </si>
  <si>
    <t>Côtes de porc Label Rouge x2</t>
  </si>
  <si>
    <t>Pavés de truite de France</t>
  </si>
  <si>
    <t>Emincés saumon fumé assortis</t>
  </si>
  <si>
    <t>Faisselle 6%</t>
  </si>
  <si>
    <t>Crémant de Bourgogne Blanc brut AOP</t>
  </si>
  <si>
    <t>Châteauneuf du Pape AOP</t>
  </si>
  <si>
    <t>Bordeaux rouge AOP</t>
  </si>
  <si>
    <t>Cuisses de poulet blanc</t>
  </si>
  <si>
    <t>Cuisses de poulet jaune</t>
  </si>
  <si>
    <t>Velouté de 10 légumes</t>
  </si>
  <si>
    <t>Côtes de porc échines x12</t>
  </si>
  <si>
    <t>Rosé  d'Anjou AOP</t>
  </si>
  <si>
    <t>Porc curry coco et riz basmati</t>
  </si>
  <si>
    <t xml:space="preserve">Yaourt de brebis sur lit de fruits </t>
  </si>
  <si>
    <t>Yaourt de brebis vanille</t>
  </si>
  <si>
    <t>Pâté de campagne Breton IGP</t>
  </si>
  <si>
    <t>Panini jambon tomate mozza.</t>
  </si>
  <si>
    <t>Bagel poulet cheddar micro-ondable</t>
  </si>
  <si>
    <t>Wraps assortis SK2</t>
  </si>
  <si>
    <t>Mini Sandwich SK2</t>
  </si>
  <si>
    <t>Sandwich viennois assorti</t>
  </si>
  <si>
    <t>Cidre brut de Bretagne IGP</t>
  </si>
  <si>
    <t>Beurre demi-sel</t>
  </si>
  <si>
    <t>Cognac VS</t>
  </si>
  <si>
    <t>Pralines pâtissières</t>
  </si>
  <si>
    <t>Oeuf gourmand</t>
  </si>
  <si>
    <t>Accras de morue créole</t>
  </si>
  <si>
    <t>Poisson pané au fromage Croque Baby</t>
  </si>
  <si>
    <t>Pané au colin d'Alaska MSC</t>
  </si>
  <si>
    <t>Pané au cabillaud MSC</t>
  </si>
  <si>
    <t>Rochers praliné noir</t>
  </si>
  <si>
    <t>Rochers praliné lait</t>
  </si>
  <si>
    <t>Sandwichs maxis</t>
  </si>
  <si>
    <t>Chips aromatisées multipack</t>
  </si>
  <si>
    <t>Dos de cabillaud MSC</t>
  </si>
  <si>
    <t>Cuisses de poulet jaune déjointées</t>
  </si>
  <si>
    <t>Faux-filet charolais à l'os</t>
  </si>
  <si>
    <t>T-Bone charolais à l'os</t>
  </si>
  <si>
    <t>Côte charolais à l'os</t>
  </si>
  <si>
    <t>Coeur de Savoie Pâte pressée cuite</t>
  </si>
  <si>
    <t>Filet de poulet jaune Label Rouge</t>
  </si>
  <si>
    <t>Brochettes dinde marin. mex./prov.</t>
  </si>
  <si>
    <t>Saucisson sec pur porc boyau nat.</t>
  </si>
  <si>
    <t>Rosette de Lyon VPF</t>
  </si>
  <si>
    <t>AL-04 Alsace Muscat AOC</t>
  </si>
  <si>
    <t>Cuisses de poulet jaune Label Rouge</t>
  </si>
  <si>
    <t>Lapin découpé sans tête (4423)</t>
  </si>
  <si>
    <t>Côteaux d'Aix en Provence Rosé AOP</t>
  </si>
  <si>
    <t>Côteaux du Pont du Gard Rosé IGP</t>
  </si>
  <si>
    <t>BIB Comté Tolosan Rosé IGP</t>
  </si>
  <si>
    <t>Plats cuisinés du Monde</t>
  </si>
  <si>
    <t>Plats cuisinés de la mer</t>
  </si>
  <si>
    <t>Cocktail sans alcool Mojito</t>
  </si>
  <si>
    <t>Bordeaux Rosé "A la gloire du Chat"</t>
  </si>
  <si>
    <t>54 bâtonnets de surimi saveur crabe</t>
  </si>
  <si>
    <t xml:space="preserve">Olivettes </t>
  </si>
  <si>
    <t>Médoc Château La Clare 2009 AOC</t>
  </si>
  <si>
    <t>Yaourt figue miel</t>
  </si>
  <si>
    <t>Tapenade verte/Tapenade noire</t>
  </si>
  <si>
    <t>Demi gigot d'agneau sous vide</t>
  </si>
  <si>
    <t>Côtes filets d'agneau x 3</t>
  </si>
  <si>
    <t>Tranches de gigot***d'agneau ss os</t>
  </si>
  <si>
    <t>Bière Blanche pêche 2,8°</t>
  </si>
  <si>
    <t>BX-11 Moulis Bourg. Ch. Lalaudey 12</t>
  </si>
  <si>
    <t>St Emilion GC Ht Faugères 2011 AOC</t>
  </si>
  <si>
    <t>Cuisses poulet déjointées paprika</t>
  </si>
  <si>
    <t>Perlage argenté</t>
  </si>
  <si>
    <t>Dragées petits coeurs chocolat</t>
  </si>
  <si>
    <t>Bouillabaisse</t>
  </si>
  <si>
    <t>Filet d'anchois mar. à l'orientale</t>
  </si>
  <si>
    <t>Filets d'anchois marin. aux citrons</t>
  </si>
  <si>
    <t>Fruits de mer marinés assortis</t>
  </si>
  <si>
    <t>Filets d'anchois marinés ail/nature</t>
  </si>
  <si>
    <t xml:space="preserve">Rôti de boeuf </t>
  </si>
  <si>
    <t>Saucisses de Toulouse x 8</t>
  </si>
  <si>
    <t>Savons de Provence assortis</t>
  </si>
  <si>
    <t>Tourtons ratatouille provençale</t>
  </si>
  <si>
    <t>Andouillette AAAAA</t>
  </si>
  <si>
    <t>Oeufs Label Rouge</t>
  </si>
  <si>
    <t>Tavel Les Coteaux des Louanges 2016</t>
  </si>
  <si>
    <t>OV-02 Languedoc Rosé Garrigue AOP</t>
  </si>
  <si>
    <t>Gaillac rosé Prince Gravières AOC</t>
  </si>
  <si>
    <t>Filets poulet paprika</t>
  </si>
  <si>
    <t>Poitrine de porc tex mex</t>
  </si>
  <si>
    <t>Poitrine de porc nature</t>
  </si>
  <si>
    <t>Sauces en dosettes indiv. assorties</t>
  </si>
  <si>
    <t>Les marinés assortis</t>
  </si>
  <si>
    <t>Pavés truite de Norvège x 2</t>
  </si>
  <si>
    <t>Sauternes Château d'Arche 2011</t>
  </si>
  <si>
    <t>Merguez boyau naturel x 18</t>
  </si>
  <si>
    <t>Chipolatas boyau naturel x 18</t>
  </si>
  <si>
    <t>Bêtises de Cambrai</t>
  </si>
  <si>
    <t>Bière Impériale</t>
  </si>
  <si>
    <t xml:space="preserve">Mijoté d'escargot et persillade </t>
  </si>
  <si>
    <t>Endives au jambon</t>
  </si>
  <si>
    <t>Panini du Ch'ti</t>
  </si>
  <si>
    <t>Panini montagnard</t>
  </si>
  <si>
    <t>Boulettes au boeuf VBF x30 nature</t>
  </si>
  <si>
    <t>Bavette marinée fondue d'échalotes</t>
  </si>
  <si>
    <t>Saucisse de Toulouse aux 3 poivres</t>
  </si>
  <si>
    <t xml:space="preserve">Steak VBF </t>
  </si>
  <si>
    <t>Pizza jambon-champignon-fromage</t>
  </si>
  <si>
    <t>Pizza chorizo</t>
  </si>
  <si>
    <t>Pizza jambon-fromage</t>
  </si>
  <si>
    <t>Pizza chèvre-lardons</t>
  </si>
  <si>
    <t>Mini pizzas assorties</t>
  </si>
  <si>
    <t>Barbecue Ribs original</t>
  </si>
  <si>
    <t>Barbecue Ribs mexicain</t>
  </si>
  <si>
    <t xml:space="preserve">Château Romer du Hayot 2003 AOC </t>
  </si>
  <si>
    <t>Hautes-Côtes Beaune blanc 2013 AOC</t>
  </si>
  <si>
    <t>Ch. Grand Puy Ducasse 2011 AOC</t>
  </si>
  <si>
    <t>Deli Pocket Jambon from./Montagnard</t>
  </si>
  <si>
    <t>Deli Pocket bolognaise/3 fromages</t>
  </si>
  <si>
    <t>Maxi burger charolais micro-ondable</t>
  </si>
  <si>
    <t>Fromage de tête aux cornichons</t>
  </si>
  <si>
    <t>Véritable andouille de Guémené</t>
  </si>
  <si>
    <t>Hauts de cuisse de poulet jaune</t>
  </si>
  <si>
    <t>Pilons de poulet jaune</t>
  </si>
  <si>
    <t>Tajine de mouton aux abricots</t>
  </si>
  <si>
    <t>Mogettes de Vendée IGP  PNE 530g</t>
  </si>
  <si>
    <t>Coffret chaud+dessert BA</t>
  </si>
  <si>
    <t>Samoussas ananas-passion</t>
  </si>
  <si>
    <t>Samoussas poulet créole</t>
  </si>
  <si>
    <t>Crabe farcie façon rougail</t>
  </si>
  <si>
    <t xml:space="preserve">BG-11 Bourgogne AOP Pinot Noir </t>
  </si>
  <si>
    <t>AL-16 Alsace, Gewurztram. Brand AOC</t>
  </si>
  <si>
    <t xml:space="preserve">EF-03 Champagne Brut Rosé AOP </t>
  </si>
  <si>
    <t>EF-03 Champagne brut Henri D. AOC</t>
  </si>
  <si>
    <t>VR-22 Châteauneuf-du-Pape AOC</t>
  </si>
  <si>
    <t>Châteauneuf-du-Pape AOP</t>
  </si>
  <si>
    <t>VR-25 Côtes du Rhône Val. AOP</t>
  </si>
  <si>
    <t>Haut-Médoc Gd Cru Tour Carnet AOC</t>
  </si>
  <si>
    <t>Lussac-St-Émilion AOC 2008</t>
  </si>
  <si>
    <t>BG-03 Mâcon-villages Descombins AOP</t>
  </si>
  <si>
    <t>Cabernet d'Anjou AOP</t>
  </si>
  <si>
    <t>Muscat de Mireval doux blanc</t>
  </si>
  <si>
    <t>LR-23 Muscat de Rivesaltes Noël AOP</t>
  </si>
  <si>
    <t>Pessac-Léognan Ch Pape Clément</t>
  </si>
  <si>
    <t>LO-09 P-F Val de Loire La Char. AOP</t>
  </si>
  <si>
    <t>LO-12 Quincy Le Petit Clos AOP</t>
  </si>
  <si>
    <t>LO-12 Reuilly Dom Bois St Denis AOC</t>
  </si>
  <si>
    <t>Rully Blanchard Cordambles 2015 AOP</t>
  </si>
  <si>
    <t>Saint-Bris Domaine St Prix 2014</t>
  </si>
  <si>
    <t>Sauternes Soleil d'Arche 2012 AOP</t>
  </si>
  <si>
    <t>St-Emilion Grand Cru Classé AOC</t>
  </si>
  <si>
    <t>Touraine la Chardoisie 2016 AOP</t>
  </si>
  <si>
    <t>LO-04 Val de Loire Sauvignon IGP</t>
  </si>
  <si>
    <t>Sauternes Ch. La Tour Blanche 2010</t>
  </si>
  <si>
    <t>Lasagnes à la bolognaise VBF</t>
  </si>
  <si>
    <t>Jambon de Bayonne gd tr 12 mois VPF</t>
  </si>
  <si>
    <t>Rougail saucisse</t>
  </si>
  <si>
    <t>Poulet au lait de coco</t>
  </si>
  <si>
    <t>Entrecôte charolais ***</t>
  </si>
  <si>
    <t>Steaks **x 2 charolais</t>
  </si>
  <si>
    <t>Fromage affiné à la Fleur de Bière</t>
  </si>
  <si>
    <t>Fromage affiné Marc Gewürztraminer</t>
  </si>
  <si>
    <t>Cake Océane</t>
  </si>
  <si>
    <t>Rôti de porc aux herbes 4 tr. VPF</t>
  </si>
  <si>
    <t>Délice de yaourt à la mirabelle</t>
  </si>
  <si>
    <t>Lot de 3 verrines bourguignonnes</t>
  </si>
  <si>
    <t>Crêpes caramel beurre salé x4</t>
  </si>
  <si>
    <t>Jambon des Pyrénées 4 tranches</t>
  </si>
  <si>
    <t>Boeuf bourg./blanquette de veau</t>
  </si>
  <si>
    <t xml:space="preserve">Barquette Colin d'Alaska/ Saumon </t>
  </si>
  <si>
    <t>Taboulé aux dés de tomates fraîches</t>
  </si>
  <si>
    <t>Choucroute garnie</t>
  </si>
  <si>
    <t>Brillat Savarin affiné 72%</t>
  </si>
  <si>
    <t>Prép. pommes poires noix Périgord</t>
  </si>
  <si>
    <t>Prépa. 4 agrumes et Grand Marnier</t>
  </si>
  <si>
    <t>Préparation de banane et Rhum</t>
  </si>
  <si>
    <t>Coq au vin de Bergerac</t>
  </si>
  <si>
    <t>Garbure au jambon de pays</t>
  </si>
  <si>
    <t>Potée savoyarde aux diots</t>
  </si>
  <si>
    <t>Feuilleté pintade / bouchée saumon</t>
  </si>
  <si>
    <t>Emmental français bloc</t>
  </si>
  <si>
    <t>Parasol apéritif Bitter 15% vol.</t>
  </si>
  <si>
    <t>Moules de corde</t>
  </si>
  <si>
    <t>Mini chorizo pur porc doux</t>
  </si>
  <si>
    <t>Mini chorizo pur porc fort</t>
  </si>
  <si>
    <t>Lingot or duo chocolats nois./cara.</t>
  </si>
  <si>
    <t>Poularde standard</t>
  </si>
  <si>
    <t>Dinde PAC</t>
  </si>
  <si>
    <t>Farce de volaille Morilles/Armagnac</t>
  </si>
  <si>
    <t>Sauté de kangourou</t>
  </si>
  <si>
    <t>Rôti de cerf mariné</t>
  </si>
  <si>
    <t>Navarin de la mer</t>
  </si>
  <si>
    <t>Saucisse sèche drte Label Rouge VPF</t>
  </si>
  <si>
    <t>Camembert affiné au Calvados</t>
  </si>
  <si>
    <t>Lasagnes aux deux saumons</t>
  </si>
  <si>
    <t>Cassolettes de St Jacques Sauternes</t>
  </si>
  <si>
    <t>Plateau d'assortiment asiatique</t>
  </si>
  <si>
    <t>Plateau 12 mini nems porc + sauces</t>
  </si>
  <si>
    <t>Raviolis chinois aux légumes</t>
  </si>
  <si>
    <t>Reblochon de Savoie AOP entier</t>
  </si>
  <si>
    <t>Yaourt aux marrons</t>
  </si>
  <si>
    <t>Yaourt mûre-myrtille</t>
  </si>
  <si>
    <t>Filets de cabillaud</t>
  </si>
  <si>
    <t>Pavé de saumon bio</t>
  </si>
  <si>
    <t>Oeufs daté de jour de ponte cal. L</t>
  </si>
  <si>
    <t xml:space="preserve">Cassolette de colin </t>
  </si>
  <si>
    <t xml:space="preserve">Mini coquilles St Jacques </t>
  </si>
  <si>
    <t>Gaufrettes amusantes saveur vanille</t>
  </si>
  <si>
    <t>Steaks Hachés 5%</t>
  </si>
  <si>
    <t>Couscous poulet / boeuf</t>
  </si>
  <si>
    <t>Emincés de saumon sauvage fumé</t>
  </si>
  <si>
    <t xml:space="preserve">Tartare de saumon fumé </t>
  </si>
  <si>
    <t>Éclairs saveur vanille 4x75g</t>
  </si>
  <si>
    <t>Éclairs au café pur beurre 4x75g</t>
  </si>
  <si>
    <t>M. en bouche écrevisse homard</t>
  </si>
  <si>
    <t>Oeufs daté du jour de ponte cal. M</t>
  </si>
  <si>
    <t>Bûchette de chèvre frais</t>
  </si>
  <si>
    <t>Bûche pâtissière exotique</t>
  </si>
  <si>
    <t>Entremets poire Spéculoos caramel</t>
  </si>
  <si>
    <t>2 Filets de merlu blanc meunière</t>
  </si>
  <si>
    <t>Filets de cabillaud Fish&amp;Chips</t>
  </si>
  <si>
    <t>Assortiment de fruits givrés</t>
  </si>
  <si>
    <t>Velouté Savoyard</t>
  </si>
  <si>
    <t>Mini gratins à la sarladaise</t>
  </si>
  <si>
    <t>Coffret dégustation</t>
  </si>
  <si>
    <t>Cognac 40% XO carafe + coffret</t>
  </si>
  <si>
    <t>Viande hachée 20 % MG</t>
  </si>
  <si>
    <t>Blanc de dinde, 4T, qualité sup.</t>
  </si>
  <si>
    <t>Blanc de poulet fumé, 4T, qual.sup.</t>
  </si>
  <si>
    <t>Pain surprise nordique aux céréales</t>
  </si>
  <si>
    <t>Fairefrance Lait demi-écrémé</t>
  </si>
  <si>
    <t>Fromage frais aux fruits en tube</t>
  </si>
  <si>
    <t>Tarama homard / St Jacques / Crabe</t>
  </si>
  <si>
    <t>Cassoulet de Castelnaudary canard</t>
  </si>
  <si>
    <t xml:space="preserve">Coquelet </t>
  </si>
  <si>
    <t>Steacks hachés façon bouch. Char.</t>
  </si>
  <si>
    <t>Mignardises assorties</t>
  </si>
  <si>
    <t>La boîte à fromage</t>
  </si>
  <si>
    <t>Petite corbeille cadeau</t>
  </si>
  <si>
    <t>Grande corbeille cadeau</t>
  </si>
  <si>
    <t>Sauces prêtes à l'emploi ass. SK3</t>
  </si>
  <si>
    <t xml:space="preserve">Cassonade </t>
  </si>
  <si>
    <t>Crevettes cuites entières 80/100</t>
  </si>
  <si>
    <t>Huîtres creuses N°4</t>
  </si>
  <si>
    <t>Emmental Label Rouge IGP</t>
  </si>
  <si>
    <t>Pastis Premium 45%</t>
  </si>
  <si>
    <t>Brie de Meaux AOP</t>
  </si>
  <si>
    <t xml:space="preserve">Maxi Mont d'Or AOP </t>
  </si>
  <si>
    <t>Fromage à déguster chaud</t>
  </si>
  <si>
    <t>Saucisson à l'ail fumé qualité sup.</t>
  </si>
  <si>
    <t>Potjevlesch VPF</t>
  </si>
  <si>
    <t>Pâté le Muché VPF</t>
  </si>
  <si>
    <t>Pâté le Much'ail VPF</t>
  </si>
  <si>
    <t>Steaks hachés Charolais x2 FB</t>
  </si>
  <si>
    <t>Pizza au feu de bois saum./fro.</t>
  </si>
  <si>
    <t>Pastis landais</t>
  </si>
  <si>
    <t>Tartiflette POF</t>
  </si>
  <si>
    <t>Petits oeufs éclats assortis SK2</t>
  </si>
  <si>
    <t>Jambon cuit supérieur AC 4Tr. LR</t>
  </si>
  <si>
    <t>Pâté de campagne breton IGP</t>
  </si>
  <si>
    <t>Terrine de canard au poivre vert</t>
  </si>
  <si>
    <t>Terrine de campagne L. Rouge</t>
  </si>
  <si>
    <t xml:space="preserve">Mousse pur canard au Sauternes </t>
  </si>
  <si>
    <t>Mousse pur canard aux figues</t>
  </si>
  <si>
    <t>Déli'Pocket Saucisse fumée munster</t>
  </si>
  <si>
    <t xml:space="preserve">Déli'Pocket </t>
  </si>
  <si>
    <t>Déli'Pocket Burger/Hot dog</t>
  </si>
  <si>
    <t>Déli'Pocket mozarella assort.</t>
  </si>
  <si>
    <t>Médoc Château La Clare 2012 AOC</t>
  </si>
  <si>
    <t xml:space="preserve">Chèvre boîte </t>
  </si>
  <si>
    <t>Pays d'Oc Grenache Noir J. Mas 2015</t>
  </si>
  <si>
    <t>Pur jus de pomme origine Bretagne</t>
  </si>
  <si>
    <t>Médaillons de filet de poulet</t>
  </si>
  <si>
    <t>Aiguillettes de dinde</t>
  </si>
  <si>
    <t>Galettes de Pont-Aven</t>
  </si>
  <si>
    <t>Saucisse sèche courbe boyau nat. LR</t>
  </si>
  <si>
    <t>Saucisson sec XXL (400g + 200g)</t>
  </si>
  <si>
    <t>Saucisson sec au bleu d'Auvergne</t>
  </si>
  <si>
    <t>Saucisse sèche droite piment d'Espe</t>
  </si>
  <si>
    <t xml:space="preserve">Bagel boeuf sauce burger </t>
  </si>
  <si>
    <t xml:space="preserve">Panini poulet sauce curry </t>
  </si>
  <si>
    <t>Coulommiers au lait cru</t>
  </si>
  <si>
    <t xml:space="preserve">Camembert au Calvados </t>
  </si>
  <si>
    <t>Filets de poulet blanc XXL</t>
  </si>
  <si>
    <t>Côte de porc échine provençale</t>
  </si>
  <si>
    <t xml:space="preserve">Chipolatas aux herbes </t>
  </si>
  <si>
    <t>Bière ambrée du Nord</t>
  </si>
  <si>
    <t>Rosette XXL</t>
  </si>
  <si>
    <t xml:space="preserve">Rosé Canicule </t>
  </si>
  <si>
    <t>OV-01Côtes de Gascogne rosé IGP</t>
  </si>
  <si>
    <t>Crémant de Bordeaux brut</t>
  </si>
  <si>
    <t>Crémant de Bordeaux Blanc/Rosé AOC</t>
  </si>
  <si>
    <t>Rôti porc filet chaînette LR (8983)</t>
  </si>
  <si>
    <t>Poitrine porc tranchée sans os LR</t>
  </si>
  <si>
    <t>Filet mignon de porc LR(7768)</t>
  </si>
  <si>
    <t>Saucisson sec d'Ardèche IGP</t>
  </si>
  <si>
    <t>Trio mini saucisson nat./noix/chor.</t>
  </si>
  <si>
    <t>Cocktail Mojito sans alcool</t>
  </si>
  <si>
    <t>Emmental français râpé ZIP</t>
  </si>
  <si>
    <t>Côtes de porc échine sans os LR</t>
  </si>
  <si>
    <t>Pavés de porc sans os Label Rougex2</t>
  </si>
  <si>
    <t>Bonbons menthe fraîche</t>
  </si>
  <si>
    <t>Bonbons menthe extrême</t>
  </si>
  <si>
    <t>Limonade artisanale nature</t>
  </si>
  <si>
    <t>Limonade artisanale citron</t>
  </si>
  <si>
    <t>Limonade artisanale orange</t>
  </si>
  <si>
    <t>Vacqueyras André Thomas 2013 AOP</t>
  </si>
  <si>
    <t>Pilons poulet marinés papri./prov.</t>
  </si>
  <si>
    <t>Sauce Caesar</t>
  </si>
  <si>
    <t>Vinaigrettes assorties BA</t>
  </si>
  <si>
    <t>Vinaigre d'alcool blanc, 8°</t>
  </si>
  <si>
    <t>Plateau chipolatas &amp; Merguez</t>
  </si>
  <si>
    <t>Merguez fortes</t>
  </si>
  <si>
    <t xml:space="preserve">AL-01 BIS Pinot Noir 2016 AOC </t>
  </si>
  <si>
    <t>Champagne Rosé AOP</t>
  </si>
  <si>
    <t>Filet de Bacon 10 Tr.</t>
  </si>
  <si>
    <t>Pain de mie sans croûte</t>
  </si>
  <si>
    <t>Pastor Ale Bière artisanale Flandre</t>
  </si>
  <si>
    <t>Bourgogne Nuits-Saint-Georges 2014</t>
  </si>
  <si>
    <t>Barre chocolat fourrée lait</t>
  </si>
  <si>
    <t>Biscuit croustillant choco. au lait</t>
  </si>
  <si>
    <t>Champagne Richomme Collet brut AOP</t>
  </si>
  <si>
    <t>Cervelas à l'italienne LPF</t>
  </si>
  <si>
    <t>Palette à la diable gratinée VF</t>
  </si>
  <si>
    <t>Palette à la diable moutarde</t>
  </si>
  <si>
    <t>Flamiche au Maroilles</t>
  </si>
  <si>
    <t>Assortiment pâtisseries orientales</t>
  </si>
  <si>
    <t>Mini balls avec sauce LPF</t>
  </si>
  <si>
    <t>Château Lamothe Guignard 2010 AOC</t>
  </si>
  <si>
    <t>Pâte feuilletée Bio MGV</t>
  </si>
  <si>
    <t>Pâte brisée bio MGV</t>
  </si>
  <si>
    <t>Pâte à pizza Bio</t>
  </si>
  <si>
    <t>Rillettes de canard</t>
  </si>
  <si>
    <t>Rillettes d'oie</t>
  </si>
  <si>
    <t>Rillettes du Mans Label Rouge</t>
  </si>
  <si>
    <t>Filet mignon fumé nature/poivre</t>
  </si>
  <si>
    <t>Sésame doré</t>
  </si>
  <si>
    <t>Mélange mâche/jeunes pousses</t>
  </si>
  <si>
    <t>Camembert Bio</t>
  </si>
  <si>
    <t>Coulommiers Bio</t>
  </si>
  <si>
    <t>Crème de pêche de vigne</t>
  </si>
  <si>
    <t>Crème de Framboise</t>
  </si>
  <si>
    <t>Spiritueux plantes d'Absinthe 55%</t>
  </si>
  <si>
    <t>Liqueur Génépi des Alpes 40 %</t>
  </si>
  <si>
    <t>Yaourt de brebis citron</t>
  </si>
  <si>
    <t>Yaourt de brebis châtaigne</t>
  </si>
  <si>
    <t>EF-07Champagne Lamarlière Rosé Brut</t>
  </si>
  <si>
    <t>Pain de mie Bio</t>
  </si>
  <si>
    <t>Biscuits nappés chocolat BIO ass.</t>
  </si>
  <si>
    <t>Cookies choco et pépites choco BIO</t>
  </si>
  <si>
    <t>Vinaigrette biphasée assort. SK1</t>
  </si>
  <si>
    <t>Château Brillette 2011 Moulis</t>
  </si>
  <si>
    <t>Mouliné de légumes Bio</t>
  </si>
  <si>
    <t>Café moulu d'origine Tanzanie</t>
  </si>
  <si>
    <t>Café moulu d'origine Costa Rica</t>
  </si>
  <si>
    <t xml:space="preserve">Café grain en boîte </t>
  </si>
  <si>
    <t>Latte Macchiatio dosettes x 8</t>
  </si>
  <si>
    <t>Café moulu origine Pérou Bio</t>
  </si>
  <si>
    <t>Touraine Gamay AOP</t>
  </si>
  <si>
    <t>Bordeaux L'Enclos des Tuileries AOP</t>
  </si>
  <si>
    <t>Côtes de Gascogne IGP</t>
  </si>
  <si>
    <t>Pâte sablée végétale</t>
  </si>
  <si>
    <t>Pâte à pizza</t>
  </si>
  <si>
    <t>Billes de fromage de chèvre au miel</t>
  </si>
  <si>
    <t>Billes de fromage de chèvre figues</t>
  </si>
  <si>
    <t xml:space="preserve">Pessac-Leognan Ch. de Leognan 2010 </t>
  </si>
  <si>
    <t>Moules micro-ondable Rochelaise</t>
  </si>
  <si>
    <t>Moules cuisinées assorties</t>
  </si>
  <si>
    <t>Chocolat noir 85% cacao Equateur</t>
  </si>
  <si>
    <t>Filet de poulet mariné thym citron</t>
  </si>
  <si>
    <t>Filet de poulet mariné italien</t>
  </si>
  <si>
    <t>SO-06 Jurançon AOP Domaine Boy AOC</t>
  </si>
  <si>
    <t>Santenay Vieilles Vignes</t>
  </si>
  <si>
    <t>Nuits-Saint-Georges 1er Cru AOP 12</t>
  </si>
  <si>
    <t>Saint Emilion AOP 2013</t>
  </si>
  <si>
    <t>Ruinart Brut</t>
  </si>
  <si>
    <t>BX-14 Pomerol AOC Clos 2013</t>
  </si>
  <si>
    <t>BX-24 Graves Ch de Carolle AOP</t>
  </si>
  <si>
    <t>EF-08 Champagne AOP Maxime Bellois</t>
  </si>
  <si>
    <t>EF-07 Champagne AOC M. de Belvas</t>
  </si>
  <si>
    <t>Vin de France Blanc Bio</t>
  </si>
  <si>
    <t>BG-06 Givry Les Chanussots AOP</t>
  </si>
  <si>
    <t>LR-28 Oc JC Mas Viognier IGP</t>
  </si>
  <si>
    <t>LR-09 Oc Syrah JC Mas IGP</t>
  </si>
  <si>
    <t xml:space="preserve">LR-01 Pays d'Oc Pinot Noir IGP </t>
  </si>
  <si>
    <t>AL-10 Pinot Gris Inspiration AOC</t>
  </si>
  <si>
    <t>Rhône, Collines Rhodaniennes IGP</t>
  </si>
  <si>
    <t>Châteautneuf-du-Pape Mont-Redon2007</t>
  </si>
  <si>
    <t>Saint-Joseph Rouge Parsifal AOC</t>
  </si>
  <si>
    <t>Monbazillac AOP</t>
  </si>
  <si>
    <t>AL-03 Alsace Sylvaner AOC</t>
  </si>
  <si>
    <t>Grand Cru Classé Ch Monbousquet 11</t>
  </si>
  <si>
    <t>Margaux Bio Gallen Chât. Meyre AOC</t>
  </si>
  <si>
    <t>Duc Royal Vin Mousseux Qual. Rosé</t>
  </si>
  <si>
    <t>Côtes de Bourg AOP</t>
  </si>
  <si>
    <t xml:space="preserve">LO-08 Touraine Celliers du Bellay </t>
  </si>
  <si>
    <t>Sancerre AOP Roblin 15</t>
  </si>
  <si>
    <t>BX-37 Bordeaux Ch. Ht-Bardin AOP</t>
  </si>
  <si>
    <t>LR-04 OC Merlot Cros Pujol IGP 15</t>
  </si>
  <si>
    <t>BX-10 Médoc Cru Bourgeois 2013 AOC</t>
  </si>
  <si>
    <t>Pessac-Leognan Ch la Prade AOC</t>
  </si>
  <si>
    <t>VR-13 Côte-Rôtie 2014 AOC</t>
  </si>
  <si>
    <t>BG-07 Htes-Ctes de Nuits 2015 AOC</t>
  </si>
  <si>
    <t xml:space="preserve">VR-08 Vacqueyras Castelières 2015 </t>
  </si>
  <si>
    <t>Champagne Delattre Brut Rosé</t>
  </si>
  <si>
    <t>LR-18 C.d.Roussillon Miraflor AOP</t>
  </si>
  <si>
    <t>LR-24 Maury Grenat AOP</t>
  </si>
  <si>
    <t>Ravioli Boeuf XXL</t>
  </si>
  <si>
    <t xml:space="preserve">Ballotin avec emballage cadeau </t>
  </si>
  <si>
    <t>Tapas assortis</t>
  </si>
  <si>
    <t>Marrons glacés premium</t>
  </si>
  <si>
    <t>Assiette fromagère sélect.médaillée</t>
  </si>
  <si>
    <t>Assiette fromagère Auvergne medium</t>
  </si>
  <si>
    <t>Plats cuisinés du terroir</t>
  </si>
  <si>
    <t>Crêpe flammekueche</t>
  </si>
  <si>
    <t>Galette garnie saucisse</t>
  </si>
  <si>
    <t>Pâtisseries assorties</t>
  </si>
  <si>
    <t>Ficelle picarde</t>
  </si>
  <si>
    <t>Bag in box Oc Merlot IGP XXL</t>
  </si>
  <si>
    <t>Emmental Bio au lait cru</t>
  </si>
  <si>
    <t>Emmental râpé Bio au lait cru</t>
  </si>
  <si>
    <t>Galette garnie chèvre/ tomates prov</t>
  </si>
  <si>
    <t>Dés de fromage assortis SK3</t>
  </si>
  <si>
    <t>Dés de fromage assortis SK4</t>
  </si>
  <si>
    <t xml:space="preserve">Coffret dégustation grands crus </t>
  </si>
  <si>
    <t>Coffret dégustation Foie Gras</t>
  </si>
  <si>
    <t>Coffret découverte Provence</t>
  </si>
  <si>
    <t>Jambon noir du Périgord 5 tranches</t>
  </si>
  <si>
    <t>Champignons noirs asiatiques</t>
  </si>
  <si>
    <t>Pâtisseries assorties 2 BA</t>
  </si>
  <si>
    <t>Sucette forme tétine</t>
  </si>
  <si>
    <t>Sucettes dextrose bicolores</t>
  </si>
  <si>
    <t>Rouleau bonbons dextrose</t>
  </si>
  <si>
    <t>Roudoudous</t>
  </si>
  <si>
    <t>Pruneaux d'Agen SK1</t>
  </si>
  <si>
    <t>Chouchou</t>
  </si>
  <si>
    <t>Croquant fondant (Eat Me)</t>
  </si>
  <si>
    <t>Lot de 2 saucissons "Savoie"</t>
  </si>
  <si>
    <t xml:space="preserve">Lot 2 saucissons Auverg + Laguiole </t>
  </si>
  <si>
    <t xml:space="preserve">Lot de 2 Saucissons + opinel </t>
  </si>
  <si>
    <t>Saucisson sec aux noisettes</t>
  </si>
  <si>
    <t>Gardianne de Taureau</t>
  </si>
  <si>
    <t>Cake aux fruits</t>
  </si>
  <si>
    <t>Rigotte de Condrieu</t>
  </si>
  <si>
    <t>Seau tête de mort halloween</t>
  </si>
  <si>
    <t>Billes de gum</t>
  </si>
  <si>
    <t>Fuet</t>
  </si>
  <si>
    <t>Tagliatelles fraîches bio</t>
  </si>
  <si>
    <t>Montlait Lait montagne demi-écrémé</t>
  </si>
  <si>
    <t>Cassoulet canard / confit canard</t>
  </si>
  <si>
    <t xml:space="preserve">Coq au vin / Saucisse lentilles </t>
  </si>
  <si>
    <t>Champagne E. Poldair Cuv. Res. brut</t>
  </si>
  <si>
    <t>Velouté potiron crème fraîche</t>
  </si>
  <si>
    <t>Papillotes pétards</t>
  </si>
  <si>
    <t>Ballotin boules pralinées lait 35%</t>
  </si>
  <si>
    <t>Coffret les pralinés</t>
  </si>
  <si>
    <t>Expressions gourmandes</t>
  </si>
  <si>
    <t>Ballotin Expressions gourmandes</t>
  </si>
  <si>
    <t>Expressions gourmandes "Ed Limitée"</t>
  </si>
  <si>
    <t>Pyramide rochers praliné lait/noir</t>
  </si>
  <si>
    <t xml:space="preserve">Bleu d'Auvergne </t>
  </si>
  <si>
    <t>Cantal jeune</t>
  </si>
  <si>
    <t>Champagne Blanc de Blancs Brut</t>
  </si>
  <si>
    <t xml:space="preserve">Champagne Premier Cru Brut </t>
  </si>
  <si>
    <t>Double Poulet blanc</t>
  </si>
  <si>
    <t>12 mini croustillants colorés</t>
  </si>
  <si>
    <t>2 croustigourmands aux escargots</t>
  </si>
  <si>
    <t>Fourme d'Ambert AOP</t>
  </si>
  <si>
    <t>Taboulé Bio aux légumes</t>
  </si>
  <si>
    <t>Carottes râpées Bio</t>
  </si>
  <si>
    <t>Fromage blanc 20% Bio</t>
  </si>
  <si>
    <t>Nems XXL</t>
  </si>
  <si>
    <t>Champignons mélange de fête</t>
  </si>
  <si>
    <t xml:space="preserve">Truffes fantaisie fève cacao/crêpe </t>
  </si>
  <si>
    <t>Beurre doux XXL</t>
  </si>
  <si>
    <t xml:space="preserve">Tortilla Chorizo micro-ondable </t>
  </si>
  <si>
    <t xml:space="preserve">BX-08 Entre-Deux-Mers AOP 2016 </t>
  </si>
  <si>
    <t>Tarte pomme de terre/camembert</t>
  </si>
  <si>
    <t>Croque monsieur XXL</t>
  </si>
  <si>
    <t>Bouchées de ris de veau</t>
  </si>
  <si>
    <t>Galettes garnies XXL assorties</t>
  </si>
  <si>
    <t>Brandade de morue</t>
  </si>
  <si>
    <t>Yaourt brassé à la noisette</t>
  </si>
  <si>
    <t>Velouté de poireaux St Jacques</t>
  </si>
  <si>
    <t xml:space="preserve">Pâte brisée végétale XXL </t>
  </si>
  <si>
    <t>Pâte feuilletée végétale XXL</t>
  </si>
  <si>
    <t>Eclairs au café</t>
  </si>
  <si>
    <t>Eclairs au chocolat x2</t>
  </si>
  <si>
    <t>Tarte aux pommes</t>
  </si>
  <si>
    <t>Tartelettes citron meringuées</t>
  </si>
  <si>
    <t>Mille-Feuille x 2</t>
  </si>
  <si>
    <t>Croustillant au chocolat</t>
  </si>
  <si>
    <t>Flan pâtissier</t>
  </si>
  <si>
    <t>Fraisier</t>
  </si>
  <si>
    <t>Charlotte aux framboises x 2</t>
  </si>
  <si>
    <t>Moelleux chocolat</t>
  </si>
  <si>
    <t>Paris-Brest x2</t>
  </si>
  <si>
    <t>Salades bol assorties</t>
  </si>
  <si>
    <t>Salade Shaker</t>
  </si>
  <si>
    <t>Salade coffret 2</t>
  </si>
  <si>
    <t>Confit de foie de volaille truffe</t>
  </si>
  <si>
    <t>Crème de Brie de Meaux</t>
  </si>
  <si>
    <t>Tomme Noire des Pyrénées</t>
  </si>
  <si>
    <t>Macarons x12</t>
  </si>
  <si>
    <t>Tarte Ch'tiflette</t>
  </si>
  <si>
    <t>Verrines panais et parmesan</t>
  </si>
  <si>
    <t>Pur jus d'Orange Bio</t>
  </si>
  <si>
    <t>Terrine de campagne au piment LR</t>
  </si>
  <si>
    <t>Terrine camp. châtaigne Label Rouge</t>
  </si>
  <si>
    <t>Emmental français bloc 45% MG</t>
  </si>
  <si>
    <t>Macaron framboise</t>
  </si>
  <si>
    <t>Bûche pyramide glacée</t>
  </si>
  <si>
    <t>Hachis Parmentier</t>
  </si>
  <si>
    <t>Moussaka</t>
  </si>
  <si>
    <t>Croustillant chocolat noisette</t>
  </si>
  <si>
    <t>Pâté en croûte cocktail Richelieu</t>
  </si>
  <si>
    <t>Champagne Veuve Delattre Premium</t>
  </si>
  <si>
    <t xml:space="preserve">Mini feuilletés saucisse x20 </t>
  </si>
  <si>
    <t>Pizza 4 fromages</t>
  </si>
  <si>
    <t>Pizza raclette bacon</t>
  </si>
  <si>
    <t>Pizza lardon comté</t>
  </si>
  <si>
    <t>Pizza auvergnate</t>
  </si>
  <si>
    <t>Saucisse Toulouse brasse L. rouge</t>
  </si>
  <si>
    <t>Pâté en croûte dinde aux marrons</t>
  </si>
  <si>
    <t xml:space="preserve">Pâté en croûte 2 tranches </t>
  </si>
  <si>
    <t>Mousse au chocolat</t>
  </si>
  <si>
    <t xml:space="preserve">Yaourt caramel beurre salé </t>
  </si>
  <si>
    <t>Yaourt brassé vanille sirop érable</t>
  </si>
  <si>
    <t>Yaourt brassé sur lit de cerise</t>
  </si>
  <si>
    <t>Yaourt brassé sur lit de fruits</t>
  </si>
  <si>
    <t>Steaks hachés 15% VBF Bio</t>
  </si>
  <si>
    <t>Filets de limande du Nord meunière</t>
  </si>
  <si>
    <t>Crème légère semi-épaisse 18%</t>
  </si>
  <si>
    <t>Crème légère semi-épaisse 30%</t>
  </si>
  <si>
    <t xml:space="preserve">Marrons entiers à sec  </t>
  </si>
  <si>
    <t xml:space="preserve">Cake aux Noix de St Jacques </t>
  </si>
  <si>
    <t>Petits cakes chèvre-courgette</t>
  </si>
  <si>
    <t>Terrines assorties St Ja/Saum</t>
  </si>
  <si>
    <t xml:space="preserve"> Suisse chocolat</t>
  </si>
  <si>
    <t>Délice pour fromage</t>
  </si>
  <si>
    <t>Préparation cerises et kirsch</t>
  </si>
  <si>
    <t>Préparation de citron de Corse</t>
  </si>
  <si>
    <t>Préparations de fruits</t>
  </si>
  <si>
    <t>Cuisses de pintade déjointées x2</t>
  </si>
  <si>
    <t>Suprême de pintade x2</t>
  </si>
  <si>
    <t>Macaron premium x12</t>
  </si>
  <si>
    <t>Coffret 100 pièces</t>
  </si>
  <si>
    <t>Bûche plaisir chocolat</t>
  </si>
  <si>
    <t>Macarons assortis</t>
  </si>
  <si>
    <t xml:space="preserve">Thés noirs aromatisés/Oolong vrac </t>
  </si>
  <si>
    <t>Thés verts aromatisés / Blend vrac</t>
  </si>
  <si>
    <t>Infusions/Rooibos vrac assorti</t>
  </si>
  <si>
    <t>Thés de Noël vrac assortis</t>
  </si>
  <si>
    <t>25 minis Blinis cocktail</t>
  </si>
  <si>
    <t>Sauce pour saumon</t>
  </si>
  <si>
    <t>Tarama au saumon</t>
  </si>
  <si>
    <t>Pavé de truite citron Basilic</t>
  </si>
  <si>
    <t>Guimauve artisanales à la framboise</t>
  </si>
  <si>
    <t>Verrines avocat / crevettes</t>
  </si>
  <si>
    <t xml:space="preserve">Verrines tartare de courgettes </t>
  </si>
  <si>
    <t xml:space="preserve">Verrines Tartares de tomates thon  </t>
  </si>
  <si>
    <t>Pessac Léogan rouge Ch.Baret AOC 14</t>
  </si>
  <si>
    <t xml:space="preserve"> Croque Monsieur</t>
  </si>
  <si>
    <t>Mini choux sucrés x12</t>
  </si>
  <si>
    <t>Minis-éclairs fruités premium</t>
  </si>
  <si>
    <t>Eau minérale gazeuse</t>
  </si>
  <si>
    <t>Crêpes apéritives fourrées assort.</t>
  </si>
  <si>
    <t>Bûche craquant chocolat</t>
  </si>
  <si>
    <t>LR-04 Pays d'Oc Gaea Chavin BIO IGP</t>
  </si>
  <si>
    <t>Madeleines pur beurre</t>
  </si>
  <si>
    <t>Lait frais demi-écrémé bio</t>
  </si>
  <si>
    <t>Filet de cabillaud MSC</t>
  </si>
  <si>
    <t xml:space="preserve">Lait délactosé </t>
  </si>
  <si>
    <t>Langoustines cuites 20/30</t>
  </si>
  <si>
    <t>Bagel surprise</t>
  </si>
  <si>
    <t>Mini burgers assortis</t>
  </si>
  <si>
    <t>Tarte aux cérises noires pur beurre</t>
  </si>
  <si>
    <t>Tarte aux mirabelles</t>
  </si>
  <si>
    <t>Cake Pâtissier agrumes et cannelle</t>
  </si>
  <si>
    <t>Crème fraîche fleurette</t>
  </si>
  <si>
    <t>Ht Médoc Château La Lauzette</t>
  </si>
  <si>
    <t>Pessac-Léognan Ch. la Prade AOC</t>
  </si>
  <si>
    <t>St-Emilion Grd Cru Cht Teyssier AOC</t>
  </si>
  <si>
    <t>Tartelette framboise BIO</t>
  </si>
  <si>
    <t>4 Galettes de blé noir Bio</t>
  </si>
  <si>
    <t>Fondue Savoyarde</t>
  </si>
  <si>
    <t>Raclette de Savoie</t>
  </si>
  <si>
    <t>Sac cabas Handball</t>
  </si>
  <si>
    <t>Vin de France Rosé premier</t>
  </si>
  <si>
    <t>Raviolis chinois au porc + 1 sauce</t>
  </si>
  <si>
    <t>10 mini nems légumes + sce nuoc mam</t>
  </si>
  <si>
    <t>Filet de saumon entier</t>
  </si>
  <si>
    <t xml:space="preserve">Paupiettes de veau XXL </t>
  </si>
  <si>
    <t>Eclairs assortis</t>
  </si>
  <si>
    <t>Biscuit sésame et épeautre Bio</t>
  </si>
  <si>
    <t>Plateau indien + sauces</t>
  </si>
  <si>
    <t>Beignets d'ananas</t>
  </si>
  <si>
    <t>Brochettes porc au caramel</t>
  </si>
  <si>
    <t>Double rôti de porc</t>
  </si>
  <si>
    <t>Emmental français râpé zip</t>
  </si>
  <si>
    <t>Champagne brut 1er cru AOC</t>
  </si>
  <si>
    <t>Ardwen Bière blonde des Ardennes</t>
  </si>
  <si>
    <t>Ardwen Bière triple des Ardennes</t>
  </si>
  <si>
    <t>Galettes citron vert</t>
  </si>
  <si>
    <t xml:space="preserve">Galettes rhum raisin </t>
  </si>
  <si>
    <t>Gâteau basque</t>
  </si>
  <si>
    <t>Le Petit Normand cacao-pépite choco</t>
  </si>
  <si>
    <t>Le Carré Normand caramel beur. salé</t>
  </si>
  <si>
    <t>Sablés de l'Abbaye pur beurre fam</t>
  </si>
  <si>
    <t>Sablés d'Antan</t>
  </si>
  <si>
    <t>Rognons de boeuf en dés</t>
  </si>
  <si>
    <t>Aligot saucisse</t>
  </si>
  <si>
    <t>Saumur Champ. Vieilles Vignes AOP</t>
  </si>
  <si>
    <t xml:space="preserve">Faux filet*** XXL </t>
  </si>
  <si>
    <t>Rôti de boeuf** et légumes</t>
  </si>
  <si>
    <t>Café en capsules bio Fairtrade</t>
  </si>
  <si>
    <t>Saumur Champigny AOP</t>
  </si>
  <si>
    <t xml:space="preserve">Fitou bio "La Crémade" AOC </t>
  </si>
  <si>
    <t xml:space="preserve"> Pain complet</t>
  </si>
  <si>
    <t>Torsade framboise</t>
  </si>
  <si>
    <t xml:space="preserve"> Pain rustique </t>
  </si>
  <si>
    <t xml:space="preserve">Cidre Rosé </t>
  </si>
  <si>
    <t>Cidre aromatisé à la framboise</t>
  </si>
  <si>
    <t>Cidre aromatisé à la pêche</t>
  </si>
  <si>
    <t>Cidre artisanal Bretagne brut IGP</t>
  </si>
  <si>
    <t>Saucisson fumé lorrain</t>
  </si>
  <si>
    <t>Fuseau lorrain tranché</t>
  </si>
  <si>
    <t>Bag in box Côtes du Roussillon rosé</t>
  </si>
  <si>
    <t>Préparation à la myrtille Bio</t>
  </si>
  <si>
    <t>Crème UHT Bio</t>
  </si>
  <si>
    <t>Salade quinoa boulgour légumes aman</t>
  </si>
  <si>
    <t>Salades de pâtes premium</t>
  </si>
  <si>
    <t xml:space="preserve"> Beignet saveur chocolat noisette</t>
  </si>
  <si>
    <t>Pur jus de raisin bio</t>
  </si>
  <si>
    <t>Pur jus de tomate bio</t>
  </si>
  <si>
    <t>Salade veggie assort. SK1</t>
  </si>
  <si>
    <t>Salade veggie assortiment SK 2</t>
  </si>
  <si>
    <t>Chips poulet / sel et vinaigre</t>
  </si>
  <si>
    <t>Plats cuisinés classiques 3</t>
  </si>
  <si>
    <t>Angelus Bière Blonde</t>
  </si>
  <si>
    <t>Epaule d'agneau au beurre</t>
  </si>
  <si>
    <t>Chips aromatisées</t>
  </si>
  <si>
    <t xml:space="preserve">Chips salées </t>
  </si>
  <si>
    <t>Moelleux pommes/caram. beurre salé</t>
  </si>
  <si>
    <t>Assortiment libanais</t>
  </si>
  <si>
    <t>Cidre de Cornouailles AOP</t>
  </si>
  <si>
    <t>Cidre artisanal BIO</t>
  </si>
  <si>
    <t>Uberach Bière Blonde</t>
  </si>
  <si>
    <t>Juliette Bière Blonde</t>
  </si>
  <si>
    <t>Tajine au boeuf</t>
  </si>
  <si>
    <t>Paëlla</t>
  </si>
  <si>
    <t>Filet de poulet pommes de terre</t>
  </si>
  <si>
    <t>Couscous</t>
  </si>
  <si>
    <t>Rôti de boeuf *** Charolais</t>
  </si>
  <si>
    <t>Trois Chariots bière triple</t>
  </si>
  <si>
    <t>Trois Chariots IPA Bière</t>
  </si>
  <si>
    <t>Trois Chariots bière brune</t>
  </si>
  <si>
    <t>Trois Chariots bière blonde</t>
  </si>
  <si>
    <t>Trois Chariots bière blanche</t>
  </si>
  <si>
    <t>Bière Ambrée Bio sans gluten</t>
  </si>
  <si>
    <t>Billes de fromage de chèvre fourrée</t>
  </si>
  <si>
    <t xml:space="preserve">Billes de fromage de chèvre tomate </t>
  </si>
  <si>
    <t>St-Emilion Grand Cru Haut Faugères</t>
  </si>
  <si>
    <t>Fromage BBQ</t>
  </si>
  <si>
    <t>Feuilletés allumette emmental</t>
  </si>
  <si>
    <t>Cake au poulet, au chorizo</t>
  </si>
  <si>
    <t>Cake fromage de chèvre courgette</t>
  </si>
  <si>
    <t>Bière IPA 7°</t>
  </si>
  <si>
    <t>Bière de Noël</t>
  </si>
  <si>
    <t>Mini quatre-quarts</t>
  </si>
  <si>
    <t>Croûtons pour salade ail fine herbe</t>
  </si>
  <si>
    <t>Mini burgers assortis x9</t>
  </si>
  <si>
    <t>MIni feuilletés saucisse x16</t>
  </si>
  <si>
    <t>Mini hot dog 3 sortes x9</t>
  </si>
  <si>
    <t>Mini préfou assort.</t>
  </si>
  <si>
    <t>Mini bâtonnets crabe sauce cocktail</t>
  </si>
  <si>
    <t>Pâté Lorrain</t>
  </si>
  <si>
    <t>Pâté chaud de volaille</t>
  </si>
  <si>
    <t>Hachés spécial burger x 4</t>
  </si>
  <si>
    <t>Filet de merlan</t>
  </si>
  <si>
    <t>Filet de limande</t>
  </si>
  <si>
    <t>Bar entier vidé x2</t>
  </si>
  <si>
    <t>Dorade royale entière vidée</t>
  </si>
  <si>
    <t>Filet de carrelet MSC</t>
  </si>
  <si>
    <t>Madeleine pur beurre Bio</t>
  </si>
  <si>
    <t>Madeleine coquille MGV</t>
  </si>
  <si>
    <t>Di'vin 'Mix rosé pamplemouse BIO</t>
  </si>
  <si>
    <t>Brochettes de porc x4</t>
  </si>
  <si>
    <t>Moutarde douce au Riesling</t>
  </si>
  <si>
    <t>Moutarde douce à la bière</t>
  </si>
  <si>
    <t>Brochettes de poulet arti. citron</t>
  </si>
  <si>
    <t>Plats cuisinés classiques 4</t>
  </si>
  <si>
    <t>Plats cuisinés du Terroir</t>
  </si>
  <si>
    <t>Queues de crevettes à poêler, marin</t>
  </si>
  <si>
    <t xml:space="preserve">Queues de crevettes cuites BIO </t>
  </si>
  <si>
    <t>Emincés de gésiers de volaille</t>
  </si>
  <si>
    <t>Emincé de poulet saveur kebab</t>
  </si>
  <si>
    <t>Oc Cinsault-Grenache IGP</t>
  </si>
  <si>
    <t>Champagne Jacques Lorent AOC</t>
  </si>
  <si>
    <t>Pastillas au poulet et aux amandes</t>
  </si>
  <si>
    <t>American Pancakes aux pépites choco</t>
  </si>
  <si>
    <t xml:space="preserve">American Pancake aux myrtilles </t>
  </si>
  <si>
    <t xml:space="preserve">American Pancake natures </t>
  </si>
  <si>
    <t xml:space="preserve">Croustade des Pyrénées pruneaux </t>
  </si>
  <si>
    <t>Croustade des Pyrénées aux oeufs</t>
  </si>
  <si>
    <t>Piment Doux</t>
  </si>
  <si>
    <t>Tapenade</t>
  </si>
  <si>
    <t>Var rosé IGP PR-02</t>
  </si>
  <si>
    <t>Mogettes de Vendée Label Rouge</t>
  </si>
  <si>
    <t>Tapenade d'olives noires premium</t>
  </si>
  <si>
    <t>Houmous Premium</t>
  </si>
  <si>
    <t>Tartare de légumes</t>
  </si>
  <si>
    <t>Paupiettes de porc XXL</t>
  </si>
  <si>
    <t>Filets de sardines aux épices</t>
  </si>
  <si>
    <t>Méditerranée rosé Domaine IGP</t>
  </si>
  <si>
    <t>Burger Poulet chorizo</t>
  </si>
  <si>
    <t>Olives saveurs soleil/méditerannéen</t>
  </si>
  <si>
    <t xml:space="preserve">Olives vertes farcies </t>
  </si>
  <si>
    <t>Boudin blanc tomate/feta</t>
  </si>
  <si>
    <t>Langotines de porc 3 tranches</t>
  </si>
  <si>
    <t xml:space="preserve">Rillettes de poulet au piment </t>
  </si>
  <si>
    <t>Lait bio demi-écréme orig. UE</t>
  </si>
  <si>
    <t>Lardons mediterrannéens</t>
  </si>
  <si>
    <t>Lardons miel Romarin</t>
  </si>
  <si>
    <t>Rôti de veau farci aux olives</t>
  </si>
  <si>
    <t>Saucissons secs en tranches ass.</t>
  </si>
  <si>
    <t>Saucisson sec bio</t>
  </si>
  <si>
    <t>Taboulé libanais</t>
  </si>
  <si>
    <t>Tzatziki Fan de BBQ</t>
  </si>
  <si>
    <t>Coquelet cuit fumé</t>
  </si>
  <si>
    <t>Crêpes fourrées assorties</t>
  </si>
  <si>
    <t>Pizza thon à la provençale</t>
  </si>
  <si>
    <t>VR-23 Saint-Joseph Res. des Ter.AOC</t>
  </si>
  <si>
    <t xml:space="preserve">VR-15 Vinsobres Croze-Brunet AOP </t>
  </si>
  <si>
    <t xml:space="preserve">Bastide Sobriana </t>
  </si>
  <si>
    <t>LR-19 Côtes du Roussillon B. AOP</t>
  </si>
  <si>
    <t>LR-30 Bastide Miraflors Muscat IGP</t>
  </si>
  <si>
    <t>LO-01 St-Nicolas-de-Bourg. Bio AOP</t>
  </si>
  <si>
    <t>EF-04 Clairette de Die Bio AOC</t>
  </si>
  <si>
    <t>Côtes du Rhône Bio AOP</t>
  </si>
  <si>
    <t>AL-11 Alsace Bio Pinot Gris AOC</t>
  </si>
  <si>
    <t>Tzatziki extra</t>
  </si>
  <si>
    <t>Pizza 3 fromages Bio</t>
  </si>
  <si>
    <t>Pizza Bio au chèvre</t>
  </si>
  <si>
    <t>Pizza Bio royale</t>
  </si>
  <si>
    <t>Pizza Maroilles et crème</t>
  </si>
  <si>
    <t>Pizza munster lardon</t>
  </si>
  <si>
    <t>Viande boeuf hachée 15% MG vbf</t>
  </si>
  <si>
    <t>Tartiflette</t>
  </si>
  <si>
    <t>Parm. de poisson/ Gratin de fdm</t>
  </si>
  <si>
    <t>Parmentier/Gratin auvergnat</t>
  </si>
  <si>
    <t>Parmentier de canard</t>
  </si>
  <si>
    <t>Gratin légumes du soleil</t>
  </si>
  <si>
    <t>Saucisse de Toulouse LR</t>
  </si>
  <si>
    <t>Baba Chantilly au rhum St-James</t>
  </si>
  <si>
    <t>Choux chantilly</t>
  </si>
  <si>
    <t xml:space="preserve">Fraisier individuel carré </t>
  </si>
  <si>
    <t>Mini Tropézienne x2</t>
  </si>
  <si>
    <t>Côtes échine de sanglier marinées</t>
  </si>
  <si>
    <t>LR-22 Faugères Bio Esprit AOP</t>
  </si>
  <si>
    <t>LR-25 Muscat de Frontignan 2016 AOC</t>
  </si>
  <si>
    <t>BX-09 Bordeaux Sup. Ch Margerot AOP</t>
  </si>
  <si>
    <t>SO-08 Jurançon Domaine Borny AOP</t>
  </si>
  <si>
    <t>EF-05 Cham. Maximilien Auguste AOC</t>
  </si>
  <si>
    <t>BX-20 Moulis Médoc la Mouline AOC</t>
  </si>
  <si>
    <t>Cocktail aromatisé base vin pamp.</t>
  </si>
  <si>
    <t>LO-07 Val de Loire Sauvignon IGP</t>
  </si>
  <si>
    <t>SO-02 Bergerac Haut Lestevenie AOC</t>
  </si>
  <si>
    <t>VR-01 Louis de Roncery IGP</t>
  </si>
  <si>
    <t>LR-14 St-Chinian Bio Saint Just AOP</t>
  </si>
  <si>
    <t>LR-04 Saint-Chinian 2016 AOP</t>
  </si>
  <si>
    <t>LR-02 Pierres Fendues B. Magrez IGP</t>
  </si>
  <si>
    <t>LR-03 Languedoc Prince des Sarments</t>
  </si>
  <si>
    <t>VR-01 Bouches-du-Rhône Causette IGP</t>
  </si>
  <si>
    <t>VR-16 Châteauneuf-du-Pape AOP</t>
  </si>
  <si>
    <t>Assortiment petites madeleines</t>
  </si>
  <si>
    <t>Ravioles au Saint Marcellin</t>
  </si>
  <si>
    <t>Mini saucissons secs porc nat. XXL</t>
  </si>
  <si>
    <t>Mini saucissons secs assort. XXL</t>
  </si>
  <si>
    <t>Foie gras de canard entier IGP S/O</t>
  </si>
  <si>
    <t>Viande hachée charolais 5% MG</t>
  </si>
  <si>
    <t>Cramique au sucre saveur or</t>
  </si>
  <si>
    <t>Bloc foie gras canard IGP tranche</t>
  </si>
  <si>
    <t xml:space="preserve">Foie gras canard cru IGP Sud-Ouest </t>
  </si>
  <si>
    <t>Foie gras de canard entier IGP S.O</t>
  </si>
  <si>
    <t>Pizza tartiflette</t>
  </si>
  <si>
    <t>Pizza aux ravioles</t>
  </si>
  <si>
    <t>Pizza reblochon morbier</t>
  </si>
  <si>
    <t>Pizzas cuit. feu de bois Royal/chèv</t>
  </si>
  <si>
    <t>Steaks hachés charolais FB 5% MG x2</t>
  </si>
  <si>
    <t>Chair à saucisse</t>
  </si>
  <si>
    <t>Loire, Saumur AOP</t>
  </si>
  <si>
    <t>Hachés de veau façon bouchère</t>
  </si>
  <si>
    <t>Déli'Pocket tartiflette/chèvre lard</t>
  </si>
  <si>
    <t>JU-01 Vin Jaune M. Jacquier AOP</t>
  </si>
  <si>
    <t>LR-16 Merlot Persien. M. Blayac IGP</t>
  </si>
  <si>
    <t>BX-07 St-Estèphe Ch Plantier R. AOC</t>
  </si>
  <si>
    <t>BG-02 Bourgogne Savigny 2015 AOP</t>
  </si>
  <si>
    <t>LO-10 Touraine Clos Ronceveaux AOP</t>
  </si>
  <si>
    <t>Gratin de choux fleur</t>
  </si>
  <si>
    <t>Saint-Emilion Grand Cru Prélude AOC</t>
  </si>
  <si>
    <t>Petit beurre chocolat noir Bio</t>
  </si>
  <si>
    <t>Ecrasé de patate douce et butternut</t>
  </si>
  <si>
    <t>Purée de légumes anciens</t>
  </si>
  <si>
    <t>Ecrasé de pommes de terre noisettes</t>
  </si>
  <si>
    <t>Purée savoyarde</t>
  </si>
  <si>
    <t>Poêlée champignons à la forestière</t>
  </si>
  <si>
    <t xml:space="preserve">Gratin individuel pommes de terre </t>
  </si>
  <si>
    <t>Poêlée champêtre aux petits légumes</t>
  </si>
  <si>
    <t>Cubes gourm. lait feuillantine</t>
  </si>
  <si>
    <t>Meule fruitée</t>
  </si>
  <si>
    <t>Filet de Bacon XXL</t>
  </si>
  <si>
    <t>Gésiers de canard à la graisse de c</t>
  </si>
  <si>
    <t>Ecrasé de butternut et chataîgne</t>
  </si>
  <si>
    <t>Ecrasé pomme de terre à la truffe</t>
  </si>
  <si>
    <t>Tirelire Halloween</t>
  </si>
  <si>
    <t>Mezzé méditerranéen</t>
  </si>
  <si>
    <t>Crème fouettée à l'aneth</t>
  </si>
  <si>
    <t>Tamara premium</t>
  </si>
  <si>
    <t>Coffret apéritif fromager</t>
  </si>
  <si>
    <t>Tarte au citron</t>
  </si>
  <si>
    <t>Succès au citron</t>
  </si>
  <si>
    <t>Bûche plaisir vanille praliné</t>
  </si>
  <si>
    <t>Mini Cake St-Jacques façon bretonne</t>
  </si>
  <si>
    <t>Verrines truite et céléri</t>
  </si>
  <si>
    <t>Mini cakes figue foie gras</t>
  </si>
  <si>
    <t>Pizza 4 fromages XXL</t>
  </si>
  <si>
    <t xml:space="preserve">Crème anglaise </t>
  </si>
  <si>
    <t xml:space="preserve">Bouillabaisse aux épices </t>
  </si>
  <si>
    <t>Petite brioche au saucisson</t>
  </si>
  <si>
    <t>Moelleux au Roquefort et noix</t>
  </si>
  <si>
    <t>Moelleux au Saint-Marcelin</t>
  </si>
  <si>
    <t>Yaourt à boire vanille/fraise</t>
  </si>
  <si>
    <t>Box poulet croustillant épicé</t>
  </si>
  <si>
    <t>Box nuggets de poulet crispy</t>
  </si>
  <si>
    <t>Saucisse de dinde</t>
  </si>
  <si>
    <t>Soupe aux légumes d'autrefois</t>
  </si>
  <si>
    <t>Calendrier de l'avent + cadeau</t>
  </si>
  <si>
    <t>Assortiment café gourmand Bio</t>
  </si>
  <si>
    <t>Salade de thon assorties SK1</t>
  </si>
  <si>
    <t>Snaps Crackles</t>
  </si>
  <si>
    <t>Guimauves myrtilles et vanille</t>
  </si>
  <si>
    <t>Paupiettes de veau x 4</t>
  </si>
  <si>
    <t>30 Mini feuilletés</t>
  </si>
  <si>
    <t>Cakes salés assortis SK1 245g</t>
  </si>
  <si>
    <t>Tarte Tatin</t>
  </si>
  <si>
    <t>Tarte au chocolat</t>
  </si>
  <si>
    <t xml:space="preserve">Double Poulet blanc </t>
  </si>
  <si>
    <t>Double poulet jaune</t>
  </si>
  <si>
    <t>Bouchées de lotte et St-Jacques</t>
  </si>
  <si>
    <t>Terrine de Campagne  x6</t>
  </si>
  <si>
    <t>Cachir boeuf nature halal</t>
  </si>
  <si>
    <t>Cachir boeuf piquant</t>
  </si>
  <si>
    <t>Cachir boeuf olive</t>
  </si>
  <si>
    <t>Marrons glacés premium bio</t>
  </si>
  <si>
    <t>Cordon bleu halal x2</t>
  </si>
  <si>
    <t>Blanc de poulet halal 4Tr</t>
  </si>
  <si>
    <t>Bacon de dinde halal</t>
  </si>
  <si>
    <t>Mini knack halal</t>
  </si>
  <si>
    <t>Salami dinde/ veau 16Tranches halal</t>
  </si>
  <si>
    <t>Cordon bleu XXL</t>
  </si>
  <si>
    <t>Truthahn-Kebab halal</t>
  </si>
  <si>
    <t>Blanc de poulet XXL</t>
  </si>
  <si>
    <t>Yaourts poire caramel</t>
  </si>
  <si>
    <t>Mini calissons d'Aix</t>
  </si>
  <si>
    <t>Velouté forestier</t>
  </si>
  <si>
    <t>Velouté de légumes du soleil</t>
  </si>
  <si>
    <t>Velouté courgette chèvre</t>
  </si>
  <si>
    <t>Caviar français avec 2 cuillières</t>
  </si>
  <si>
    <t>Caviar français</t>
  </si>
  <si>
    <t>Cake truite fumée Bretagne/poireaux</t>
  </si>
  <si>
    <t>Cake au thon à la tomate</t>
  </si>
  <si>
    <t>Gratin de St Jacques aux gamba</t>
  </si>
  <si>
    <t>Parmentier ris de veau patate douce</t>
  </si>
  <si>
    <t>Emincé de porc et ses légumes</t>
  </si>
  <si>
    <t>LR-26 Oc Mauzac Les Bonites IGP</t>
  </si>
  <si>
    <t>Pavés de hauts de cuisses de poulet</t>
  </si>
  <si>
    <t>Mousse au café</t>
  </si>
  <si>
    <t>Filet de poulet blanc Halal</t>
  </si>
  <si>
    <t>Truffes au chocolat Bio</t>
  </si>
  <si>
    <t>Pintade farcie crue foie gras figue</t>
  </si>
  <si>
    <t>Champignons farcis x2</t>
  </si>
  <si>
    <t>Mini burgers au foie gras canard</t>
  </si>
  <si>
    <t>Coeur laitue/salade composée</t>
  </si>
  <si>
    <t>Yaourt de brebis Bio nature</t>
  </si>
  <si>
    <t>Yaourt de brebis Bio Vanille</t>
  </si>
  <si>
    <t>4 Crêpes de froment BIO</t>
  </si>
  <si>
    <t>Sucre extra fin</t>
  </si>
  <si>
    <t>Rillettes XXL de poulet</t>
  </si>
  <si>
    <t>Terrine de canard au foie de canard</t>
  </si>
  <si>
    <t xml:space="preserve">Pâté de faisan aux noisettes </t>
  </si>
  <si>
    <t>Gaillac blanc AOP</t>
  </si>
  <si>
    <t>Jambon de Bayonne gr tr 12 mois IGP</t>
  </si>
  <si>
    <t>Jambon de Bayonne au piment d'Esp.</t>
  </si>
  <si>
    <t>Parmentier de canard au foie gras</t>
  </si>
  <si>
    <t>2 Tranches de pâté en croûte Riche.</t>
  </si>
  <si>
    <t>Pâté en croute girolles</t>
  </si>
  <si>
    <t xml:space="preserve">Pâté en croute au saumon </t>
  </si>
  <si>
    <t>Orangettes Bio</t>
  </si>
  <si>
    <t>Gourmandise foie gras canard figue</t>
  </si>
  <si>
    <t>Tourte de veau au foie gras</t>
  </si>
  <si>
    <t xml:space="preserve">Gourmandise foie gras au piment </t>
  </si>
  <si>
    <t>Trio de mousselines</t>
  </si>
  <si>
    <t>Tarte flambée XXL</t>
  </si>
  <si>
    <t xml:space="preserve">Baguette de terrines assortiments </t>
  </si>
  <si>
    <t>Double crème à la truffe</t>
  </si>
  <si>
    <t>Double crème au pain d'épice</t>
  </si>
  <si>
    <t>Couronne des rois fruits confits</t>
  </si>
  <si>
    <t>Verrine saumon fumé pates tzatziki</t>
  </si>
  <si>
    <t>Pavé de boeuf marinés sauce porto</t>
  </si>
  <si>
    <t>Chocolat à casser</t>
  </si>
  <si>
    <t>Truffe entière</t>
  </si>
  <si>
    <t>Carpaccio de truffes</t>
  </si>
  <si>
    <t>Brisures de truffes</t>
  </si>
  <si>
    <t>Rillettes de truite à la moutarde</t>
  </si>
  <si>
    <t>Rillettes de thon au poivre vert</t>
  </si>
  <si>
    <t>Bûche de noel creme au beurre choco</t>
  </si>
  <si>
    <t>Bûche de noel crème beurre praliné</t>
  </si>
  <si>
    <t>Rillettes de poulet Bio</t>
  </si>
  <si>
    <t>Saumon fumé Label Rouge</t>
  </si>
  <si>
    <t>Ballotins de dinde farcis aux cèpes</t>
  </si>
  <si>
    <t xml:space="preserve">4 Mini pavés d'affinois truffe </t>
  </si>
  <si>
    <t>Assortiment plateau ardoise</t>
  </si>
  <si>
    <t xml:space="preserve">Steaks hachés 15% MGx12 </t>
  </si>
  <si>
    <t>Steaks hachés 20% MGx16 XXL</t>
  </si>
  <si>
    <t xml:space="preserve">Burger nature </t>
  </si>
  <si>
    <t>Tête de veau et sa sauce Gribiche</t>
  </si>
  <si>
    <t>Langue de boeuf cuite sauce madère</t>
  </si>
  <si>
    <t>Poêlées assorties</t>
  </si>
  <si>
    <t>Huîtres creuses n°3, 12 pièces</t>
  </si>
  <si>
    <t>Faux Filet *** Blonde d'Aquitaine</t>
  </si>
  <si>
    <t>Entrecôte *** Blonde d'Aquitaine</t>
  </si>
  <si>
    <t>Rôti *** boeuf Blonde d'Aquitaine</t>
  </si>
  <si>
    <t>Steaks ** Blonde d'Aquitaine x 2</t>
  </si>
  <si>
    <t>Steaks hachés FB Blonde d'Aquitaine</t>
  </si>
  <si>
    <t>Haché vrac Blonde d'Aquitaine 5%MG</t>
  </si>
  <si>
    <t>Huîtres creuses N°4 IGP</t>
  </si>
  <si>
    <t>Huîtres creuses N°2 IGP</t>
  </si>
  <si>
    <t>Huitres creuses N°3 IGP</t>
  </si>
  <si>
    <t>Huîtres creuses n°3 IGP, 12 pièces</t>
  </si>
  <si>
    <t>Mini toasts briochés</t>
  </si>
  <si>
    <t>Soupe Chorba</t>
  </si>
  <si>
    <t>Soupe Harira</t>
  </si>
  <si>
    <t>Cantal entre-deux AOP</t>
  </si>
  <si>
    <t>Buddha Bol SK1</t>
  </si>
  <si>
    <t>Ailes de poulet Barbecue XXL</t>
  </si>
  <si>
    <t>Manchons de poulet mexicaine XXL</t>
  </si>
  <si>
    <t>Manchons de poulet nature XXL</t>
  </si>
  <si>
    <t>Steaks * Blonde d'Aquitaine x4</t>
  </si>
  <si>
    <t xml:space="preserve">Haché rond spécial Burger 15%MG </t>
  </si>
  <si>
    <t>Crème caramel au beurre salé</t>
  </si>
  <si>
    <t>Préparation de fruits assorties</t>
  </si>
  <si>
    <t xml:space="preserve">Fromage blanc battu AOP Bresse </t>
  </si>
  <si>
    <t>Rôti ** de boeuf x 2, 1.4 kg</t>
  </si>
  <si>
    <t>Yaourt au caramel beurre salé</t>
  </si>
  <si>
    <t>Yaourt sur lit de mangue</t>
  </si>
  <si>
    <t>Kit pour couscous</t>
  </si>
  <si>
    <t>Pina Colada South King sans alcool</t>
  </si>
  <si>
    <t>Tartelette poire    amandine</t>
  </si>
  <si>
    <t>Mâche / jeunes pousses</t>
  </si>
  <si>
    <t>Côte **d'agneau Lacaune x3</t>
  </si>
  <si>
    <t>Fougasse olives &amp; tomates séchées</t>
  </si>
  <si>
    <t>Rôti de veau farci foie gras</t>
  </si>
  <si>
    <t>Salades de céréales</t>
  </si>
  <si>
    <t>Quiche aux poireaux</t>
  </si>
  <si>
    <t>Pur jus de clémentine</t>
  </si>
  <si>
    <t>Nectar de pommes sans sucre Bio</t>
  </si>
  <si>
    <t>Pur Jus pomme "C'est qui le patron"</t>
  </si>
  <si>
    <t>Nectar de poire</t>
  </si>
  <si>
    <t xml:space="preserve">Pur jus de raisin Bio </t>
  </si>
  <si>
    <t>Pur jus de carotte Bio</t>
  </si>
  <si>
    <t>Dorade entière vidée</t>
  </si>
  <si>
    <t>Bar entier vidé</t>
  </si>
  <si>
    <t>Pavés de saumon x2 ASC</t>
  </si>
  <si>
    <t>Filet de merlu</t>
  </si>
  <si>
    <t>Ardwen Cerise</t>
  </si>
  <si>
    <t>Mini canelés de Bordeaux</t>
  </si>
  <si>
    <t>Olives noires herbes de Provence</t>
  </si>
  <si>
    <t>Olives noires à la grecque</t>
  </si>
  <si>
    <t>Olives méditerranéenne PNE 600g</t>
  </si>
  <si>
    <t>Klintz blonde bio</t>
  </si>
  <si>
    <t>Uberach Blanche</t>
  </si>
  <si>
    <t>Croissant abricots</t>
  </si>
  <si>
    <t xml:space="preserve"> Pain sportif</t>
  </si>
  <si>
    <t xml:space="preserve">Pizza aux fromages </t>
  </si>
  <si>
    <t>Soda artisanal agrumes de Corse</t>
  </si>
  <si>
    <t>Sorbet plein fruit à la pêche</t>
  </si>
  <si>
    <t>Crème glacée S. J. et Rhum Raisins</t>
  </si>
  <si>
    <t>Sorbet plein fruit citron vert car.</t>
  </si>
  <si>
    <t>Crème glacée caramel au beurre salé</t>
  </si>
  <si>
    <t>Sorbet plein fruit au cassis France</t>
  </si>
  <si>
    <t>Crème glacée au yaourt Saint Malo</t>
  </si>
  <si>
    <t>Sorbet plein fruit à la fraise ver.</t>
  </si>
  <si>
    <t>Glaces artisanales poire</t>
  </si>
  <si>
    <t xml:space="preserve">Crème glacée aux pruneaux armagnac </t>
  </si>
  <si>
    <t xml:space="preserve">LR-11Oc Cinsault rosé IGP </t>
  </si>
  <si>
    <t>LR-13 Faugères rosé Coudougno AOC</t>
  </si>
  <si>
    <t>SO-02 Fronton rosé Sgnr d'Axat AOP</t>
  </si>
  <si>
    <t>LR-10 Oc Merlot rosé Domaine IGP</t>
  </si>
  <si>
    <t>Nougat gourmand</t>
  </si>
  <si>
    <t>Brochette au curry x3</t>
  </si>
  <si>
    <t>Saucisses de volaille x24</t>
  </si>
  <si>
    <t>Brochettes de dinde marinés XXL</t>
  </si>
  <si>
    <t xml:space="preserve">Brochettes de dinde marinées </t>
  </si>
  <si>
    <t>LR-19Faugères AOP Domaine Coudou.</t>
  </si>
  <si>
    <t>Filets de colin d'Alaska meunière</t>
  </si>
  <si>
    <t>AL-07 Alsace Riesling Bio M.R. AOP</t>
  </si>
  <si>
    <t>Oc Marselan IGP</t>
  </si>
  <si>
    <t>AL-10 Alsace Pinot Gris AOP</t>
  </si>
  <si>
    <t>AL-08 Alsace Pinot Blanc J.C. AOP</t>
  </si>
  <si>
    <t>Saucisse de Toulouse au piment</t>
  </si>
  <si>
    <t xml:space="preserve">Plateau grill porc </t>
  </si>
  <si>
    <t>Glaces artisanales assortiment</t>
  </si>
  <si>
    <t>Pur jus d'ananas mangue citron</t>
  </si>
  <si>
    <t>Boisson citron pressé</t>
  </si>
  <si>
    <t>Pur jus orange-mangue</t>
  </si>
  <si>
    <t>Limonade Bio artisanale citron</t>
  </si>
  <si>
    <t>Limonade Bio artisanale fraise</t>
  </si>
  <si>
    <t>Limonade de Lorraine</t>
  </si>
  <si>
    <t>Dessert de fruits pomme rhubarbe</t>
  </si>
  <si>
    <t>Dessert de fruits pomme abricot</t>
  </si>
  <si>
    <t>Limonade Bio artisanale nature</t>
  </si>
  <si>
    <t>Croustillant choco individuel</t>
  </si>
  <si>
    <t>Pinot Noir Jean Cornelius AOC</t>
  </si>
  <si>
    <t>LR-31 Languedoc-Rouss. Fitou AOP</t>
  </si>
  <si>
    <t>LR-11 Fitou Seigneurie d'Arse AOC</t>
  </si>
  <si>
    <t>LR-07 Languedoc-Rouss, Fitou AOP</t>
  </si>
  <si>
    <t>LR-08 Languedoc-Roussillon, Fitou</t>
  </si>
  <si>
    <t>VR-21 Gigondas Puech Morny AOP</t>
  </si>
  <si>
    <t>LR-25 Chardonnay Viogner IGP</t>
  </si>
  <si>
    <t>VR-09 Côtes du Rhône Roaix AOP</t>
  </si>
  <si>
    <t>VR-08 Côtes du Rhône Valréas AOP</t>
  </si>
  <si>
    <t>LR-01 Languedoc Hauts de Gab.AOP</t>
  </si>
  <si>
    <t>Boisson aux fruits gazeuse artis.</t>
  </si>
  <si>
    <t>VR-06 Côtes Rhône Dom St-Rémi AOP</t>
  </si>
  <si>
    <t>VR-05 Côtes du Rhône Bio Vieux Cade</t>
  </si>
  <si>
    <t>VR-19 Cost. Nîmes Phil Lamour AOP</t>
  </si>
  <si>
    <t>VR-02 Méditerranée Brin de C. IGP</t>
  </si>
  <si>
    <t>LR-03 Cité Carcassonne IGP</t>
  </si>
  <si>
    <t>LR-05 Catalanes Laquerac IGP</t>
  </si>
  <si>
    <t xml:space="preserve">VR-06 Côtes du Rhône Vill. Valréas </t>
  </si>
  <si>
    <t>Bordeaux Bio La Croix Beaucourt AOP</t>
  </si>
  <si>
    <t>BX-15 Château Vieux Duché AOC</t>
  </si>
  <si>
    <t>BX-20 Graves Château Carolle 2016</t>
  </si>
  <si>
    <t>Alsace Pinot Noir AOC</t>
  </si>
  <si>
    <t>Jurançon Sec Cuvée Océane AOP</t>
  </si>
  <si>
    <t xml:space="preserve">BX-26 Ste-Croix Ch. Valentin 2016 </t>
  </si>
  <si>
    <t>VR-03 Côtes du Rhône Fruité AOP</t>
  </si>
  <si>
    <t>AL-13 Grand Cru Schloss. Riesl. AOC</t>
  </si>
  <si>
    <t>Panettone boîte métal</t>
  </si>
  <si>
    <t>Marrons gros morceaux</t>
  </si>
  <si>
    <t>Volvic Juicy Fraise</t>
  </si>
  <si>
    <t>AL-01 Pinot noir vieilles AOC</t>
  </si>
  <si>
    <t xml:space="preserve"> Briochette feuilletée au sucre </t>
  </si>
  <si>
    <t>Filet de julienne</t>
  </si>
  <si>
    <t>Filet d'églefin</t>
  </si>
  <si>
    <t>Salade Romaine</t>
  </si>
  <si>
    <t>Salade Sicilienne</t>
  </si>
  <si>
    <t>Andouillette pur porc qualité sup</t>
  </si>
  <si>
    <t>Tarte aux abricots du Roussillon</t>
  </si>
  <si>
    <t>Tarte Bourdaloue</t>
  </si>
  <si>
    <t>Eclairs Poire Belle-Hélène</t>
  </si>
  <si>
    <t>Eclairs saveur exotique</t>
  </si>
  <si>
    <t>Eclairs saveur caramel</t>
  </si>
  <si>
    <t>Eclairs saveur Pomme d'amour</t>
  </si>
  <si>
    <t>Tarte chocolat banane</t>
  </si>
  <si>
    <t>Tarte coco framboise</t>
  </si>
  <si>
    <t>Moelleux chocolat banane</t>
  </si>
  <si>
    <t>Moelleux à la canelle</t>
  </si>
  <si>
    <t>Moelleux mandarine-Yuzu</t>
  </si>
  <si>
    <t>Merguez au boyau végétal</t>
  </si>
  <si>
    <t>Chipolatas enveloppe végétale</t>
  </si>
  <si>
    <t xml:space="preserve">Plateau grill </t>
  </si>
  <si>
    <t>Pavé de boeuf mariné aux herbes</t>
  </si>
  <si>
    <t>Aiguillettes de poulet rôti</t>
  </si>
  <si>
    <t>Emincés de poulet barbecue</t>
  </si>
  <si>
    <t>Mix gésiers poulet confit/lardons</t>
  </si>
  <si>
    <t>Maïs à griller 2 épis</t>
  </si>
  <si>
    <t xml:space="preserve">Oc Cinsault Grenache IGP </t>
  </si>
  <si>
    <t>Pavés boeuf marinés barbecue</t>
  </si>
  <si>
    <t>Miettes de surimi MSC</t>
  </si>
  <si>
    <t>Mini bât surimi ass. mayo/cocktail</t>
  </si>
  <si>
    <t>LO-07 Muscadet Sèvre AOC</t>
  </si>
  <si>
    <t xml:space="preserve">Muscadet Sèvre et Maine 2017 AOP </t>
  </si>
  <si>
    <t>VR-12 Côtes du Rhône Vil. Fam. AOC</t>
  </si>
  <si>
    <t>VR-14 Ventoux Vie. Ferme Perrin AOC</t>
  </si>
  <si>
    <t>BG-06 Vieille Vignes Mâcon Igé AOP</t>
  </si>
  <si>
    <t>Beaujolais-Villages Dom. Plaisance</t>
  </si>
  <si>
    <t>Brochette de boeuf x7</t>
  </si>
  <si>
    <t>Brochettes de boeuf mari et attendr</t>
  </si>
  <si>
    <t>Ribs à la provençale 600g</t>
  </si>
  <si>
    <t>LO-02 St-Pourçain Orme AOP</t>
  </si>
  <si>
    <t xml:space="preserve">Champagne Paul Menand </t>
  </si>
  <si>
    <t>EF-05 Champagne Brut 1er Cru AOC</t>
  </si>
  <si>
    <t>Gaillac rouge AOP</t>
  </si>
  <si>
    <t>LO-05 Val de Loire Chenin IGP</t>
  </si>
  <si>
    <t>Touraine Sauvignon Blanc AOP</t>
  </si>
  <si>
    <t>LO-01 Pouilly-Fumé Dom. M.D. AOC</t>
  </si>
  <si>
    <t>LO-03 Domaine Levron Vincenot AOC</t>
  </si>
  <si>
    <t>SO-03 Fronton Chât. Monplaisir 2017</t>
  </si>
  <si>
    <t>SO-01 Côtes de Duras BIO AOP</t>
  </si>
  <si>
    <t>BX-07 Bordeaux Orme de Pilon AOP</t>
  </si>
  <si>
    <t xml:space="preserve">BX-04 Bordeaux Château </t>
  </si>
  <si>
    <t>BX--10 Bordeaux Ter. Aut. BIO AOP</t>
  </si>
  <si>
    <t>BX-13 Côtes de Bordeaux BIO AOP</t>
  </si>
  <si>
    <t>BX-21 Médoc Fiefs de Bégadan AOP</t>
  </si>
  <si>
    <t>BX-22 Haut-Médoc Cru Ch. Lacour AOP</t>
  </si>
  <si>
    <t>Oc Merlot Bio Rouge</t>
  </si>
  <si>
    <t>LR-13 St-Chinian Merm.Tradition AOP</t>
  </si>
  <si>
    <t>VR-04 Côtes du Rhône AOP</t>
  </si>
  <si>
    <t xml:space="preserve">BX-28 Loupiac Chât. Cornélien AOP </t>
  </si>
  <si>
    <t>BX-03 Sauternes Château Delmond AOP</t>
  </si>
  <si>
    <t>BX-04 Bordeaux Cos du Roy AOP</t>
  </si>
  <si>
    <t>BX-05 Bordeaux Terre d'Ex. AOP</t>
  </si>
  <si>
    <t>BX-06 Bordeaux Baron AOP</t>
  </si>
  <si>
    <t>BX-11 Bordeaux sup. Ch. Marg. AOP</t>
  </si>
  <si>
    <t>LO-08 Muscadet Sèvre AOP</t>
  </si>
  <si>
    <t>VR-18 Vacqueyras Terroir AOP</t>
  </si>
  <si>
    <t>VR-17 B.-de-V. Grau Oliviers AOP</t>
  </si>
  <si>
    <t>Brochette andouillette de Troyes</t>
  </si>
  <si>
    <t>Andouillette aux herbes</t>
  </si>
  <si>
    <t xml:space="preserve">Véritable andouillette de Troyes </t>
  </si>
  <si>
    <t>BG-05 Viré-Clessé AOP</t>
  </si>
  <si>
    <t>BG-03 Hautes-Côtes Beaune AOP</t>
  </si>
  <si>
    <t>VR-11 Vallée du Rhône AOP</t>
  </si>
  <si>
    <t>SO-07 Jurançon Domaine Cauhape AOC</t>
  </si>
  <si>
    <t>BX-16 Lalande de Pomerol Chât. Plai</t>
  </si>
  <si>
    <t>BX-19 Graves Château Gravaillas AOC</t>
  </si>
  <si>
    <t>SO-04 Côtes du Tarn Duc de Calonne</t>
  </si>
  <si>
    <t>Sud-Ouest, Côtes de Gascogne</t>
  </si>
  <si>
    <t>BX-01 Entre-Deux-Mers AOC</t>
  </si>
  <si>
    <t>BX-23 Entre-Deux-Mers Chât. Gros Ch</t>
  </si>
  <si>
    <t>BX-09 Bordeaux Château AOP</t>
  </si>
  <si>
    <t xml:space="preserve">BX-01 Bordeaux Chât. Roux Beaucés </t>
  </si>
  <si>
    <t xml:space="preserve">BX-06 Blaye Côtes de Bordeaux </t>
  </si>
  <si>
    <t>BX-16 Lussac-Saint-Emilion AOC</t>
  </si>
  <si>
    <t>BX-27 Bordeaux Ste-Croix Cht</t>
  </si>
  <si>
    <t>LO-09 Touraine Sauvignon AOP</t>
  </si>
  <si>
    <t>Crozes Hermitage rouge Parsifal AOC</t>
  </si>
  <si>
    <t>LR-22 Chardonnay Viogner JC Mas 17</t>
  </si>
  <si>
    <t>LR-32 Oc Marsanne Roussanne 17 IGP</t>
  </si>
  <si>
    <t xml:space="preserve">LR-17 Corbières JC Mas 17 </t>
  </si>
  <si>
    <t>LR-31Terrasses Larzac Ceyras 17 AOP</t>
  </si>
  <si>
    <t>LR-10 Montpellier Mas de Peyral AOP</t>
  </si>
  <si>
    <t>BX-29 Sauternes Cht. Lange</t>
  </si>
  <si>
    <t>BX-08 Bordeaux Cht Roubeyrac AOP</t>
  </si>
  <si>
    <t>BG-07 Chablis Dom O. Lecestre AOC</t>
  </si>
  <si>
    <t>AL-09 Riesling Pinot Gris AOP</t>
  </si>
  <si>
    <t>AL-16 Grand Cru Steinert AOP</t>
  </si>
  <si>
    <t>VR-20 Rasteau Dame de Clo. AOP</t>
  </si>
  <si>
    <t>LO-11 Reuilly Dom. Le Sentier AOC</t>
  </si>
  <si>
    <t>LR-07 Pays d'Oc Merlot Blayac IGP</t>
  </si>
  <si>
    <t xml:space="preserve">LR-06 Oc Syrah les Persiennes IGP </t>
  </si>
  <si>
    <t>LO-02 St-Nicolas-de-Bourgueil 17</t>
  </si>
  <si>
    <t>LO-04 Saumur-Champigny AOC</t>
  </si>
  <si>
    <t>BX-03 Bordeaux supérieur</t>
  </si>
  <si>
    <t>BX-18 Côtes de Bourg Chât. AOC</t>
  </si>
  <si>
    <t>BX-17 St-Emilion GC Cht. Darius 16</t>
  </si>
  <si>
    <t>BX-21 Moulis Charme Mouline AOC 16</t>
  </si>
  <si>
    <t xml:space="preserve">LO-06 Muscadet Sèvre </t>
  </si>
  <si>
    <t>BJ-02 Régnié Jules Descombins AOP</t>
  </si>
  <si>
    <t>BG-02 Mercurey rouge Chanussots AOP</t>
  </si>
  <si>
    <t>LO-01 Touraine Les Audrelles 2017</t>
  </si>
  <si>
    <t>BX-14 Pessac-Léog Ch. Civ. AOC</t>
  </si>
  <si>
    <t>AL-12 Alsace Grd Cru Wineck AOC</t>
  </si>
  <si>
    <t>SO-05 Côtes de Gasc. Sauvignon IGP</t>
  </si>
  <si>
    <t>Découpe de lapin mariné thym/citron</t>
  </si>
  <si>
    <t>Découpe de lapin à la prov.</t>
  </si>
  <si>
    <t>LO-13 Sancerre Cuvée Aubelles AOP</t>
  </si>
  <si>
    <t>Ratatouille à la provençale</t>
  </si>
  <si>
    <t>Riste d'aubergine à la provençale</t>
  </si>
  <si>
    <t>Colin d'Alaska au légumes Caraïbes</t>
  </si>
  <si>
    <t>LR-27 Pays d'Oc Vermentino IGP</t>
  </si>
  <si>
    <t>LR-18 Côtes du Roussillon D. JC Mas</t>
  </si>
  <si>
    <t>Chimichangas x6</t>
  </si>
  <si>
    <t>Croquetas x6</t>
  </si>
  <si>
    <t>Falafel x6</t>
  </si>
  <si>
    <t>Terrine de campagne "Le Parfait"</t>
  </si>
  <si>
    <t>Duo de mini-préfous assort.</t>
  </si>
  <si>
    <t>Préfou beurre et ail</t>
  </si>
  <si>
    <t>Tartine au fromage de chèvre</t>
  </si>
  <si>
    <t>Météor Bière "Hefeweizen"</t>
  </si>
  <si>
    <t>Bière d'Abbaye blonde Wendelinus</t>
  </si>
  <si>
    <t>Bière blanche Météor Brassin d'été</t>
  </si>
  <si>
    <t>Bière blanche Météor d'Alsace</t>
  </si>
  <si>
    <t>Jambon persillé poivron basilic</t>
  </si>
  <si>
    <t>Billes gum (bocal)</t>
  </si>
  <si>
    <t xml:space="preserve">Soucoupe </t>
  </si>
  <si>
    <t>Rouleaux bonbons</t>
  </si>
  <si>
    <t>Coupe du monde bonbon</t>
  </si>
  <si>
    <t>Babeluttes du Nord</t>
  </si>
  <si>
    <t>Bêtises de Cambrai 3 parfums</t>
  </si>
  <si>
    <t>Dosettes café expresso UTZ x 36</t>
  </si>
  <si>
    <t xml:space="preserve">Dosette café Tradition UTZ x 36 </t>
  </si>
  <si>
    <t>Rillettes de porc Label Rouge</t>
  </si>
  <si>
    <t>Confiture d'Automne</t>
  </si>
  <si>
    <t xml:space="preserve">Confiture gourmandise de Noël </t>
  </si>
  <si>
    <t>Délice de Framboise au biscuit rose</t>
  </si>
  <si>
    <t>Confiture d'Hiver</t>
  </si>
  <si>
    <t>Thé mix Macademia/Hélène/pomme Can.</t>
  </si>
  <si>
    <t>Aiguillettes de dinde marinées thym</t>
  </si>
  <si>
    <t>Poulet cuit saveur Tandoori</t>
  </si>
  <si>
    <t>Piment d'Espelette AOP</t>
  </si>
  <si>
    <t xml:space="preserve">Assortiment de tartelettes </t>
  </si>
  <si>
    <t>3 Boudins blancs au porto</t>
  </si>
  <si>
    <t>Acras de morue avec sauce</t>
  </si>
  <si>
    <t>Boudin blanc à la provençale</t>
  </si>
  <si>
    <t>3 Boudins noirs rhum raisin</t>
  </si>
  <si>
    <t>Rôti de poulet à la mexicaine</t>
  </si>
  <si>
    <t>Fromage de tête au piment cayenne</t>
  </si>
  <si>
    <t>3 Boudins noirs aromatisés chataîgn</t>
  </si>
  <si>
    <t>Tête roulée 4 tranches</t>
  </si>
  <si>
    <t>Cake jambon olives</t>
  </si>
  <si>
    <t>Cake aux légumes du soleil</t>
  </si>
  <si>
    <t>Cake tomate mozzarella</t>
  </si>
  <si>
    <t>Filet de poulet tex mex tranché</t>
  </si>
  <si>
    <t xml:space="preserve">Tendres tranches de poulet </t>
  </si>
  <si>
    <t>Filet de poulet entier nature</t>
  </si>
  <si>
    <t>Chocolat dessert lait / blanc</t>
  </si>
  <si>
    <t>Filet de poulet Provençal tranché</t>
  </si>
  <si>
    <t>Berlingots Nantais</t>
  </si>
  <si>
    <t>Sucettes au chocolat père noël / bo</t>
  </si>
  <si>
    <t>Figurines de Nöel en chocolat</t>
  </si>
  <si>
    <t>Figurines d'Halloween en chocolat</t>
  </si>
  <si>
    <t>Cocktail Mojito fraise 14,9 %</t>
  </si>
  <si>
    <t>Boisson au Rhum Mangue &amp; Ananas</t>
  </si>
  <si>
    <t>Boisson au Rhum Café &amp; Vanille</t>
  </si>
  <si>
    <t>Boisson spiritueuse Rhum coco30%</t>
  </si>
  <si>
    <t>Chocolat dessert Bio</t>
  </si>
  <si>
    <t>Chocolat noir Bio éclats de fèves</t>
  </si>
  <si>
    <t>Chocolat noir Bio fleur de sel</t>
  </si>
  <si>
    <t>Chocolat noir Bio Orange / Amandes</t>
  </si>
  <si>
    <t>Haricots rouges Bio (PNE 205g)</t>
  </si>
  <si>
    <t>VR-11 Cairanne D. Jubain 17 AOP</t>
  </si>
  <si>
    <t>LO-03 Saumur Champigny Coutures 17</t>
  </si>
  <si>
    <t>LR-16 Corbières Garrigues 2017 AOP</t>
  </si>
  <si>
    <t>LR-05 St-Chinian Hugues 17 AOP</t>
  </si>
  <si>
    <t>LR-20 Minervois Cht Prat-Majou AOP</t>
  </si>
  <si>
    <t>VR-10 Côtes du Rhône Gourget AOP</t>
  </si>
  <si>
    <t>VR-07 Côtes du Rhône Rochegud 17</t>
  </si>
  <si>
    <t>VR-16 Cairanne Dom. Garenne AOP</t>
  </si>
  <si>
    <t>VR-18 Costières de Nîmes BIO 17 AOP</t>
  </si>
  <si>
    <t>Petits pois/carottes Bio (PNE 215g)</t>
  </si>
  <si>
    <t>Pois chiches Bio (PNE 215g)</t>
  </si>
  <si>
    <t>BX-02 Ste-Croix Cht Saint-Jean AOP</t>
  </si>
  <si>
    <t>VR-20 Rasteau André Thomas 16 AOP</t>
  </si>
  <si>
    <t>LR-21 Faugères Schistes AOP</t>
  </si>
  <si>
    <t>VR-10 Côtes Rhône Vill. BIO 17 AOP</t>
  </si>
  <si>
    <t xml:space="preserve">SO-02 BIS Bergerac Franciment 17 </t>
  </si>
  <si>
    <t>LR-17 Côtes Roussillon AOP</t>
  </si>
  <si>
    <t>BX-12 Cht Peyrouley Bio AOP</t>
  </si>
  <si>
    <t>BX-05 Bordeaux Sup Peyrouley BIO</t>
  </si>
  <si>
    <t>Cornichons Mini rec. clas(PNE 295g)</t>
  </si>
  <si>
    <t>Cornichons extra fins balsamique</t>
  </si>
  <si>
    <t>Cornichons extra fin doux</t>
  </si>
  <si>
    <t>Languedoc Côté Garrigue rouge AOP</t>
  </si>
  <si>
    <t>LR-06 Languedoc La Commanderie AOC</t>
  </si>
  <si>
    <t>VR 23 St-Joseph Dom.Blacieux AOP</t>
  </si>
  <si>
    <t>Sirop Violette/Citron vert</t>
  </si>
  <si>
    <t>Sirop Mojito/pinacolada</t>
  </si>
  <si>
    <t>Pur jus pomme poire</t>
  </si>
  <si>
    <t>EF-04 Champagne Xavier Lo. Brut AOC</t>
  </si>
  <si>
    <t>Duc Royal VMQ Ice Blanc</t>
  </si>
  <si>
    <t>Mini chorizo à griller doux/fort</t>
  </si>
  <si>
    <t>Pizza feu de bois Artichaut Gorg.</t>
  </si>
  <si>
    <t xml:space="preserve">Mini Chorizo à griller aux herbes </t>
  </si>
  <si>
    <t>Duc Royal VMQ Ice brut rosé</t>
  </si>
  <si>
    <t>Pizza légumes Grana Padano</t>
  </si>
  <si>
    <t>LR-08 Pays d'Oc Pierres Fendues IGP</t>
  </si>
  <si>
    <t>Pizza légumes grillés provençale</t>
  </si>
  <si>
    <t>Chips Bio nature</t>
  </si>
  <si>
    <t>Chips Bio paysanne nature</t>
  </si>
  <si>
    <t>Chips allégées en matière grasse</t>
  </si>
  <si>
    <t>Bonbons bandeau 4 parfums</t>
  </si>
  <si>
    <t>Bonbons tubes 4 parfums</t>
  </si>
  <si>
    <t>Bonbons fils 4 parfums</t>
  </si>
  <si>
    <t>Saucisson sec pur porc à croquer x4</t>
  </si>
  <si>
    <t>Chips ondulée édition Handball</t>
  </si>
  <si>
    <t>Fjord Nature x8</t>
  </si>
  <si>
    <t>Taillefine 0% fruits rouges x8</t>
  </si>
  <si>
    <t>Danone Activia Nature x12</t>
  </si>
  <si>
    <t>Febreze Aerosols</t>
  </si>
  <si>
    <t>Skip Active Clean</t>
  </si>
  <si>
    <t>Nutella B-Ready T10</t>
  </si>
  <si>
    <t>Sanex gel douche</t>
  </si>
  <si>
    <t>Le Rustique Camembert +10% - 3365</t>
  </si>
  <si>
    <t>Antikal Spray</t>
  </si>
  <si>
    <t>La Croix WC</t>
  </si>
  <si>
    <t>Pavés de boeuf 3 poivres</t>
  </si>
  <si>
    <t xml:space="preserve">Sauté de porc </t>
  </si>
  <si>
    <t xml:space="preserve">Brioche tressée vendéenne IGP </t>
  </si>
  <si>
    <t xml:space="preserve">Brioche tressée au sucre perlé </t>
  </si>
  <si>
    <t>Gâche tranchée</t>
  </si>
  <si>
    <t>Bûchettes citron vert enrobées choc</t>
  </si>
  <si>
    <t>Ballotin chocolats Bio</t>
  </si>
  <si>
    <t xml:space="preserve">Vin Mousseux Bio Duc Royal </t>
  </si>
  <si>
    <t>Plateau assortiment créole</t>
  </si>
  <si>
    <t>Mini samoussa au boeuf</t>
  </si>
  <si>
    <t>Volvic Zest Citron</t>
  </si>
  <si>
    <t>Saucisse blanche tomate mozza</t>
  </si>
  <si>
    <t>Plateau de charcuterie des Pyrénées</t>
  </si>
  <si>
    <t>Cervelas alsacien x4 boyau naturel</t>
  </si>
  <si>
    <t>Dattes Deglet Nour Tunisie Branche</t>
  </si>
  <si>
    <t>Ricola Bonbons</t>
  </si>
  <si>
    <t>Papillottes premium assorties</t>
  </si>
  <si>
    <t>Belle Color Coloration</t>
  </si>
  <si>
    <t>Papillotes tattoo</t>
  </si>
  <si>
    <t>Citronnettes</t>
  </si>
  <si>
    <t>Pur jus pomme/mangue Bio</t>
  </si>
  <si>
    <t>Pur jus douceur d'agrumes Bio</t>
  </si>
  <si>
    <t>Jus de grenade Bio</t>
  </si>
  <si>
    <t>Datte Deglet Nour Branchées</t>
  </si>
  <si>
    <t>Boisson à base Cranberry Bio</t>
  </si>
  <si>
    <t>Pur jus orange/clément./raisin Bio</t>
  </si>
  <si>
    <t>Narta Homme Déo Bille</t>
  </si>
  <si>
    <t>Legal Café Tradition familiale +35%</t>
  </si>
  <si>
    <t>Ocean Spray Classic</t>
  </si>
  <si>
    <t>Badoit rouge eau gazeuse</t>
  </si>
  <si>
    <t>FM Filet de poulet 4+2grtes - 5875</t>
  </si>
  <si>
    <t>Pur jus multifruits Bio briquettes</t>
  </si>
  <si>
    <t>Pur jus d'ananas Bio</t>
  </si>
  <si>
    <t>Sandwich premium assortis sk1</t>
  </si>
  <si>
    <t>Billes acidulées</t>
  </si>
  <si>
    <t>Seven Up Lemon Lemon</t>
  </si>
  <si>
    <t>Noix de cajou à la truffe d'été</t>
  </si>
  <si>
    <t xml:space="preserve">Lamelles truffes blanches d'été </t>
  </si>
  <si>
    <t>Tartuffade</t>
  </si>
  <si>
    <t>Dove mini crème corp. Nutri Essence</t>
  </si>
  <si>
    <t>Axe mini gel douche Black</t>
  </si>
  <si>
    <t>Dove mini shampooing Intens. Repair</t>
  </si>
  <si>
    <t>Dove mini gel douche Nutri Intense</t>
  </si>
  <si>
    <t>Calendrier de l'Avent licence 4 lic</t>
  </si>
  <si>
    <t>Signal White Now kit voyage</t>
  </si>
  <si>
    <t>Williams mini gel à raser</t>
  </si>
  <si>
    <t>Maggi Kub'Or</t>
  </si>
  <si>
    <t>Herta Le Bon Paris étouffé VPF x4</t>
  </si>
  <si>
    <t>FM Blanc de dinde doré au four x2</t>
  </si>
  <si>
    <t>FM Jamb. Sup. avec couenne 4+2grtes</t>
  </si>
  <si>
    <t>Panzani Tomacouli Herbes Prov. Bio</t>
  </si>
  <si>
    <t>Coraya Suprêmes x10 goût crabe</t>
  </si>
  <si>
    <t>Sacla Pesto Rosso +50% gratuit</t>
  </si>
  <si>
    <t>Mini saucissons lorrains</t>
  </si>
  <si>
    <t>Hoegaarden Radler Lemon &amp; Lime</t>
  </si>
  <si>
    <t>Legal 1851 Grand Arabica +35% grt</t>
  </si>
  <si>
    <t>VR-01 Vaucluse Vallis Queyras 2017</t>
  </si>
  <si>
    <t>Gésiers de canard confits</t>
  </si>
  <si>
    <t>Trompettes de la mort (PNE 160g)</t>
  </si>
  <si>
    <t>Bénénuts Twinuts +10% gratuit</t>
  </si>
  <si>
    <t>Badoit aromatisée à la menthe</t>
  </si>
  <si>
    <t>Badoit aromatisée citron</t>
  </si>
  <si>
    <t>Colgate Brosses à dent Extra Clean</t>
  </si>
  <si>
    <t>Peluche chantante de chocolat noël</t>
  </si>
  <si>
    <t>Miel d'Aquitaine</t>
  </si>
  <si>
    <t>Oeufs moyens/gros x 12</t>
  </si>
  <si>
    <t>Oeufs cage moyen gros x30</t>
  </si>
  <si>
    <t>Oeufs plein air moyen/gros x 6</t>
  </si>
  <si>
    <t>Bouchées de chocolat 3 parfums</t>
  </si>
  <si>
    <t>Foie gras de canard IGP du S.-O.</t>
  </si>
  <si>
    <t>Oasis Tropical Pocket Push Pull</t>
  </si>
  <si>
    <t>Taillefine 0% fruits jaunes</t>
  </si>
  <si>
    <t>Danone Taillefine 0% fruits rouges</t>
  </si>
  <si>
    <t xml:space="preserve">Lustucru demi lune ricotta épinard </t>
  </si>
  <si>
    <t>Häagen Dazs Macadamia</t>
  </si>
  <si>
    <t>Häagen Dazs Caramel beurre salé</t>
  </si>
  <si>
    <t>Häagen Dazs Vanille Pécan</t>
  </si>
  <si>
    <t>Délichoc sablé au lait lot de 2</t>
  </si>
  <si>
    <t>FM Blanc de poulet doré 4+2 - 5076</t>
  </si>
  <si>
    <t xml:space="preserve">Bouchées tablettes choco Bio ass. </t>
  </si>
  <si>
    <t>Tirelire de noël avec chocolats</t>
  </si>
  <si>
    <t>Filets de truite</t>
  </si>
  <si>
    <t xml:space="preserve">Pavés de truite </t>
  </si>
  <si>
    <t xml:space="preserve">Dove crème de douche </t>
  </si>
  <si>
    <t>Party mix</t>
  </si>
  <si>
    <t xml:space="preserve">Moules de bouchot </t>
  </si>
  <si>
    <t>Moules de Bouchot BIO</t>
  </si>
  <si>
    <t>Danone Actimel original / fraise</t>
  </si>
  <si>
    <t>Danone Actimel goût multifruits</t>
  </si>
  <si>
    <t>Magret de Canard au piment d'espel.</t>
  </si>
  <si>
    <t>Magret de canard séché IGP sud oue.</t>
  </si>
  <si>
    <t xml:space="preserve">Magret de canard fumé IGP </t>
  </si>
  <si>
    <t>Chips à la truffe blanche d'été</t>
  </si>
  <si>
    <t>St Bastien (Fleur Rouge)</t>
  </si>
  <si>
    <t>Magret de canard au poivre</t>
  </si>
  <si>
    <t>2 Magrets de canard fleur de sel</t>
  </si>
  <si>
    <t>Soupline assouplissant</t>
  </si>
  <si>
    <t>Mixa Bébé lingettes lot de 2 x 72</t>
  </si>
  <si>
    <t>Cadum gel douche 750ml + 250ml grt</t>
  </si>
  <si>
    <t>Lipton Ice Green citron vert/menthe</t>
  </si>
  <si>
    <t>Pain hérisson</t>
  </si>
  <si>
    <t>Gougère x 16 fromages</t>
  </si>
  <si>
    <t>Nectar abricot</t>
  </si>
  <si>
    <t>Terrine chapon pistaches et foie c.</t>
  </si>
  <si>
    <t>Coffret découverte 3 caviars</t>
  </si>
  <si>
    <t>Yaourt à boire gobelet</t>
  </si>
  <si>
    <t>Carpaccio de saumon mariné</t>
  </si>
  <si>
    <t>Tartare de saumon</t>
  </si>
  <si>
    <t>Carambar caramel</t>
  </si>
  <si>
    <t>Carambar atomic</t>
  </si>
  <si>
    <t>Bénédicta mayo "comme à la maison"</t>
  </si>
  <si>
    <t>May Tea saveur pêche</t>
  </si>
  <si>
    <t>Hula Hoops Original 2+1 gratuit</t>
  </si>
  <si>
    <t>Hansaplast Disney Princesses</t>
  </si>
  <si>
    <t>Hansaplast pansements Cars</t>
  </si>
  <si>
    <t>Hansaplast pansements PSG</t>
  </si>
  <si>
    <t>Magret de Canard IGP du Sud-Ouest</t>
  </si>
  <si>
    <t>Lutti Best Fizz</t>
  </si>
  <si>
    <t>Cajoline Intense</t>
  </si>
  <si>
    <t>Persil lessive liquide 52 lavages</t>
  </si>
  <si>
    <t>MayTea menthe</t>
  </si>
  <si>
    <t>Sacla sauce olives/tomates +50% grt</t>
  </si>
  <si>
    <t>Danette chocolat noir prix choc</t>
  </si>
  <si>
    <t>Danette caramel prix choc</t>
  </si>
  <si>
    <t>Danette chocolat prix choc</t>
  </si>
  <si>
    <t>Danette saveur vanille prix choc</t>
  </si>
  <si>
    <t>Feuille de chèvre</t>
  </si>
  <si>
    <t>Roche de Vache</t>
  </si>
  <si>
    <t>Salers</t>
  </si>
  <si>
    <t>From. Brebis au piment d'Espelette</t>
  </si>
  <si>
    <t>Beurre d'Isigny AOP doux</t>
  </si>
  <si>
    <t>Beurre d'Isigny AOP demi-sel</t>
  </si>
  <si>
    <t>Ajax nettoyant ménager</t>
  </si>
  <si>
    <t>Paic Excel+ liquide vaisselle</t>
  </si>
  <si>
    <t>Lu Belvita Miel &amp; Choco x2</t>
  </si>
  <si>
    <t>Joker Le Pur Jus 100% Ananas</t>
  </si>
  <si>
    <t>Zendium Dentifrice Protection Comp.</t>
  </si>
  <si>
    <t>Zendium Dentifrice Blancheur</t>
  </si>
  <si>
    <t>Marrons entiers Bio sous vide</t>
  </si>
  <si>
    <t xml:space="preserve">Bordeau Chesnel rillettes poulet </t>
  </si>
  <si>
    <t>Cake pâtissier poire/abricot</t>
  </si>
  <si>
    <t>Pains d'épices miel et sucre perlé</t>
  </si>
  <si>
    <t>Galantine</t>
  </si>
  <si>
    <t>Jus frais pomme poire cannelle</t>
  </si>
  <si>
    <t>Bonbons miel Bio</t>
  </si>
  <si>
    <t>Moelleux fromage raclette</t>
  </si>
  <si>
    <t>Corbeille dégustation sucrée</t>
  </si>
  <si>
    <t>Bouchées à la reine</t>
  </si>
  <si>
    <t>Bouchée écrevisse homard au chablis</t>
  </si>
  <si>
    <t xml:space="preserve">Bouchées boudin blanc champ.porto </t>
  </si>
  <si>
    <t>Jambon d'Auvergne IGP</t>
  </si>
  <si>
    <t>Médoc Ch. Grands Chênes AOC</t>
  </si>
  <si>
    <t>Lustucru Gnocchi +20% gratuit -8829</t>
  </si>
  <si>
    <t xml:space="preserve">Poulet pomme de terre </t>
  </si>
  <si>
    <t xml:space="preserve">Aiguillettes de canard </t>
  </si>
  <si>
    <t>Omo Duo Tropiques &amp; Magnolia</t>
  </si>
  <si>
    <t>Cailles nature sans tête</t>
  </si>
  <si>
    <t>Milka XL cacahuète caramel</t>
  </si>
  <si>
    <t>Milka XL tablette de chocolat Oreo</t>
  </si>
  <si>
    <t>Milka XL tablette noisette caramel</t>
  </si>
  <si>
    <t>Milka XL tablette chocolat au lait</t>
  </si>
  <si>
    <t>St Hubert Bio sans palme Doux</t>
  </si>
  <si>
    <t>Old El Paso Burritos avec guacamole</t>
  </si>
  <si>
    <t>Old El Paso Fajitas avec guacamole</t>
  </si>
  <si>
    <t>Old El Paso Enchiladas av.guacamole</t>
  </si>
  <si>
    <t>Rousquilles</t>
  </si>
  <si>
    <t>Kouign Amann</t>
  </si>
  <si>
    <t>Accras de morue créoles XXL</t>
  </si>
  <si>
    <t>Mini boudins blancs/antillais</t>
  </si>
  <si>
    <t>Pâté en croûte chapon-pistache 2 tr</t>
  </si>
  <si>
    <t>Pavés marinés à l'échalote</t>
  </si>
  <si>
    <t>Saucisses de volaille assorties</t>
  </si>
  <si>
    <t>Cuisses de lapin mariné moutarde</t>
  </si>
  <si>
    <t>Calendrier de l'avent premium</t>
  </si>
  <si>
    <t>Chocolat à casser Halloween</t>
  </si>
  <si>
    <t>Mendiants assortis</t>
  </si>
  <si>
    <t>Ribs saveur Bacon Oignon</t>
  </si>
  <si>
    <t>Soupe aux oignons</t>
  </si>
  <si>
    <t>Coffret Moutardes aromatisées</t>
  </si>
  <si>
    <t>Huiles d'olives bio aromatisées</t>
  </si>
  <si>
    <t xml:space="preserve">Biscuit roses de Reims </t>
  </si>
  <si>
    <t>Cagette apéro bois</t>
  </si>
  <si>
    <t>Coffret de mignardises</t>
  </si>
  <si>
    <t>Coffret de tartelettes</t>
  </si>
  <si>
    <t>Jésus de Lyon</t>
  </si>
  <si>
    <t>Saumon fumé Label Rouge Norvège</t>
  </si>
  <si>
    <t>Velouté carotte crème</t>
  </si>
  <si>
    <t>Faire France lait 1/2 écrémé Bio</t>
  </si>
  <si>
    <t>Chocolat noir à casser</t>
  </si>
  <si>
    <t>Rillettes de canard au foie gras</t>
  </si>
  <si>
    <t>Bûche pâtis. roulée choco/praliné</t>
  </si>
  <si>
    <t>Toasts foie gras à la figue</t>
  </si>
  <si>
    <t>Chips aux cèpes</t>
  </si>
  <si>
    <t>Chips vitelotte</t>
  </si>
  <si>
    <t>Garniture pour bouchées à la reine</t>
  </si>
  <si>
    <t>Soupe de poissons&amp; homard au safran</t>
  </si>
  <si>
    <t xml:space="preserve">Velouté de morilles &amp; foie gras </t>
  </si>
  <si>
    <t>Galette de Bretagne assortie</t>
  </si>
  <si>
    <t>Coffret chien chat de noël</t>
  </si>
  <si>
    <t>Tarama extra</t>
  </si>
  <si>
    <t>Salade 1,2,3 assorties SK1</t>
  </si>
  <si>
    <t>Champage Brut Laurent Launay AOC</t>
  </si>
  <si>
    <t>Diadermine Soin du jour hyd. PH5</t>
  </si>
  <si>
    <t>Diadermine Soin du jour hyd. PH7</t>
  </si>
  <si>
    <t>Diadermine Anti-rides jour</t>
  </si>
  <si>
    <t>Diadermine Strips purifiants</t>
  </si>
  <si>
    <t>Diadermine Lingettes démaquillantes</t>
  </si>
  <si>
    <t>Colgate Max White / Naturals</t>
  </si>
  <si>
    <t>L'Oréal Masques sort.</t>
  </si>
  <si>
    <t>Signal White Now Touch Glamour</t>
  </si>
  <si>
    <t>L'Oréal Gommage</t>
  </si>
  <si>
    <t>Nivea Eau micellaire sensitive</t>
  </si>
  <si>
    <t>French's Mustard Classic Yellow</t>
  </si>
  <si>
    <t>Lutti Calendrier de l'Après "Lapins</t>
  </si>
  <si>
    <t>Tartare 10 portions +2 grtes - 8936</t>
  </si>
  <si>
    <t xml:space="preserve">Nivea Lingettes démaquillantes </t>
  </si>
  <si>
    <t>Nivea Soin de jour</t>
  </si>
  <si>
    <t>Elnett Laque spray 300+100ml</t>
  </si>
  <si>
    <t>Knorr Douceur de courgettes</t>
  </si>
  <si>
    <t>Knorr Poule vermicelles</t>
  </si>
  <si>
    <t>Toblerone Lait x3</t>
  </si>
  <si>
    <t>Duo foie gras de canard entier conf</t>
  </si>
  <si>
    <t xml:space="preserve">Terrines Tripack au canard </t>
  </si>
  <si>
    <t>Maizena sans gluten cake salé</t>
  </si>
  <si>
    <t>Maizena sans gluten gâteau chocolat</t>
  </si>
  <si>
    <t>Lustucru Gnocchi from.+10% - 8948</t>
  </si>
  <si>
    <t>Evian Eau Minérale</t>
  </si>
  <si>
    <t>Liebig velouté potiron / légumes</t>
  </si>
  <si>
    <t>Le Chat Primeur Côtes Gascogne IGP</t>
  </si>
  <si>
    <t>Corbeille de fruits secs/noix</t>
  </si>
  <si>
    <t>Skip Ultimate Caps Duo x29</t>
  </si>
  <si>
    <t>Ferrero Rocher T28 Pyramide</t>
  </si>
  <si>
    <t>Tripack terrines à la truffe</t>
  </si>
  <si>
    <t>Entrecôte XXL</t>
  </si>
  <si>
    <t xml:space="preserve">Lutti Splend'Or assortiment </t>
  </si>
  <si>
    <t>Lipton Russian Earl Grey</t>
  </si>
  <si>
    <t>Lustucru Tagliatelles+15 % grt-3101</t>
  </si>
  <si>
    <t>Kinder Pingui 6 + 2 gratuits</t>
  </si>
  <si>
    <t>Bridélice crème légère 18% MG 3+1</t>
  </si>
  <si>
    <t>Bénédicta Mayonnaise tube</t>
  </si>
  <si>
    <t>Bridélice Crème légère fluide 12%</t>
  </si>
  <si>
    <t>Lanvin Truffes</t>
  </si>
  <si>
    <t>Kinder Happy Moments</t>
  </si>
  <si>
    <t>Knorr Mouliné de légumes variés</t>
  </si>
  <si>
    <t>Lenor Unstoppables parfum de linge</t>
  </si>
  <si>
    <t>Belin Monaco Emmental x3</t>
  </si>
  <si>
    <t>Vanish Oxi Action Rose</t>
  </si>
  <si>
    <t>Vin de muscat liquoreux 15 % vol.</t>
  </si>
  <si>
    <t>Olives vertes dénoyautées PNE 105gr</t>
  </si>
  <si>
    <t>Olives noires dénoyautées (PNE150g)</t>
  </si>
  <si>
    <t>Mini croquettes espagnoles</t>
  </si>
  <si>
    <t>Torta Imperial</t>
  </si>
  <si>
    <t>Olives aux anchois (PNE 170g)</t>
  </si>
  <si>
    <t>Popcorn salé micro-ondable</t>
  </si>
  <si>
    <t>Yaourts crémeux, assortiment II</t>
  </si>
  <si>
    <t>Crème de marrons glacés</t>
  </si>
  <si>
    <t>Truffe rapée huile d'olive PNE 30G</t>
  </si>
  <si>
    <t>Mousse de Thon/Cèpes/Homard</t>
  </si>
  <si>
    <t>Crevettes méditerranéennes</t>
  </si>
  <si>
    <t>Popcorn sucré/beurré micro-ondable</t>
  </si>
  <si>
    <t>Recharge désodorisant</t>
  </si>
  <si>
    <t>Mini saucissons secs catalans</t>
  </si>
  <si>
    <t>Bâtonnets de chorizo</t>
  </si>
  <si>
    <t>Sauce Salsa Brava</t>
  </si>
  <si>
    <t xml:space="preserve">Calamars farcis à huile d'olive </t>
  </si>
  <si>
    <t>Moules marinées huile olive PNE 68g</t>
  </si>
  <si>
    <t>Filets d'anchois ail&amp;persil PNE80g</t>
  </si>
  <si>
    <t>Gaspacho</t>
  </si>
  <si>
    <t>Jambon de porc Serrano avec os</t>
  </si>
  <si>
    <t>Jambon Serrano Grande Réserve</t>
  </si>
  <si>
    <t>Fuet extra, saucisse sèche</t>
  </si>
  <si>
    <t>Madeleines espagnole</t>
  </si>
  <si>
    <t>Escargot brioché sucré</t>
  </si>
  <si>
    <t>Sauce tomate aux oignons</t>
  </si>
  <si>
    <t>Amandes grillées, salées</t>
  </si>
  <si>
    <t>Pains grillés</t>
  </si>
  <si>
    <t>Tortilla aux oignons / lardons</t>
  </si>
  <si>
    <t>Mini brochettes de tapas</t>
  </si>
  <si>
    <t>Assortiment de Turrón</t>
  </si>
  <si>
    <t>Confiserie espagnole nougat amandes</t>
  </si>
  <si>
    <t>Crevettes blanches cuites</t>
  </si>
  <si>
    <t>Plateau fromage espagnol</t>
  </si>
  <si>
    <t>Fromage Manchego</t>
  </si>
  <si>
    <t>Chorizo Iberico</t>
  </si>
  <si>
    <t>Jus de mandarines</t>
  </si>
  <si>
    <t>Spécialité de salami espagnole</t>
  </si>
  <si>
    <t>Chorizo Vela</t>
  </si>
  <si>
    <t>Calamar à la galicienne</t>
  </si>
  <si>
    <t>Sorbets melon et poire</t>
  </si>
  <si>
    <t>Crème de jour or</t>
  </si>
  <si>
    <t>Crème de nuit or</t>
  </si>
  <si>
    <t>Sérum anti-rides or</t>
  </si>
  <si>
    <t>Citronnade</t>
  </si>
  <si>
    <t>Mojito sans alcool</t>
  </si>
  <si>
    <t>Pina colada sans alcool</t>
  </si>
  <si>
    <t>Glaces à l'eau</t>
  </si>
  <si>
    <t>Jus ananas-raisin Bio</t>
  </si>
  <si>
    <t>Gros sel de mer</t>
  </si>
  <si>
    <t>Sel fin de mer</t>
  </si>
  <si>
    <t>Assortiment de Turron</t>
  </si>
  <si>
    <t>Filets de sardine à l'huile d'olive</t>
  </si>
  <si>
    <t>Figurines monstre en chocolat SK1</t>
  </si>
  <si>
    <t>Tablette de chocolat</t>
  </si>
  <si>
    <t>Tablette chocolat fruits r. /orange</t>
  </si>
  <si>
    <t>Snack Ham Charris</t>
  </si>
  <si>
    <t>Sorbet Citron</t>
  </si>
  <si>
    <t>Boisson aux fruits rouges</t>
  </si>
  <si>
    <t>Crevettes marinées</t>
  </si>
  <si>
    <t>Tortillas assorties</t>
  </si>
  <si>
    <t>Churros</t>
  </si>
  <si>
    <t>Gel douche Dermo/0%</t>
  </si>
  <si>
    <t>Croquettes au jambon Serrano (S&amp;M)</t>
  </si>
  <si>
    <t>Jus de melon et ananas</t>
  </si>
  <si>
    <t>Gambas 8-10 pièces.</t>
  </si>
  <si>
    <t>Sérum Anti-rides</t>
  </si>
  <si>
    <t>Crème de nuit orchidée</t>
  </si>
  <si>
    <t>Crème de jour orchidée</t>
  </si>
  <si>
    <t>Soin contour des yeux orchidée</t>
  </si>
  <si>
    <t>Cannelloni aux fruits de mer</t>
  </si>
  <si>
    <t>Empanada au thon certifié MSC</t>
  </si>
  <si>
    <t>Plateau fromages espagnols</t>
  </si>
  <si>
    <t>Mini batônnets fuet/chorizo</t>
  </si>
  <si>
    <t>Gazpacho</t>
  </si>
  <si>
    <t>Jambon cru espagnol en tranches</t>
  </si>
  <si>
    <t xml:space="preserve">Serviettes papier rouges/blanches  </t>
  </si>
  <si>
    <t>Filets d'anchois huile de tournesol</t>
  </si>
  <si>
    <t>Crevettes cuites 64/80 pièces</t>
  </si>
  <si>
    <t xml:space="preserve"> Donut au chocolat</t>
  </si>
  <si>
    <t xml:space="preserve">Huile d'olive vierge </t>
  </si>
  <si>
    <t>Super Bock Bière</t>
  </si>
  <si>
    <t>Huile d'olives du Portugal</t>
  </si>
  <si>
    <t>Chorizo</t>
  </si>
  <si>
    <t>Beignets de crevettes 10 pièces</t>
  </si>
  <si>
    <t>Sardines</t>
  </si>
  <si>
    <t>Longes de morue MSC</t>
  </si>
  <si>
    <t xml:space="preserve">Cacahuètes grillées  </t>
  </si>
  <si>
    <t>Lupins cuits PNE 400g</t>
  </si>
  <si>
    <t>Jambon kassler traditionelle</t>
  </si>
  <si>
    <t>Pois chiche</t>
  </si>
  <si>
    <t>Amandes au chocolat</t>
  </si>
  <si>
    <t xml:space="preserve">Fruits de mer </t>
  </si>
  <si>
    <t>Moules et coquillages sauce tomate</t>
  </si>
  <si>
    <t>Salade de fruits de mer</t>
  </si>
  <si>
    <t>Tomates séchées à l'huile PNE 150g</t>
  </si>
  <si>
    <t>Polenta précuite</t>
  </si>
  <si>
    <t>Macarons moelleux aux amandes</t>
  </si>
  <si>
    <t>Biscuits feuilletés</t>
  </si>
  <si>
    <t>Olives vertes di Cerignola PNE 420g</t>
  </si>
  <si>
    <t>Feuilles de lasagne aux oeufs</t>
  </si>
  <si>
    <t>Carpaccio de poulpes (PNE 80g)</t>
  </si>
  <si>
    <t>Pâtes fraîches farcies</t>
  </si>
  <si>
    <t>Pesto alla Trapanese / Siciliano</t>
  </si>
  <si>
    <t xml:space="preserve">Filets d'anchois marinés </t>
  </si>
  <si>
    <t>Mélange encornet/calamar/crevette</t>
  </si>
  <si>
    <t>Ficelle aux olives</t>
  </si>
  <si>
    <t>Pâtes de semoule de blé dur</t>
  </si>
  <si>
    <t>Pâtes aux épinards</t>
  </si>
  <si>
    <t>Fromages italiens</t>
  </si>
  <si>
    <t>Grana Padano dés</t>
  </si>
  <si>
    <t>Mini Panettone chocolat</t>
  </si>
  <si>
    <t>Pandoro au citron</t>
  </si>
  <si>
    <t xml:space="preserve">Panettone avec crème chocolat </t>
  </si>
  <si>
    <t>Mini Panettone</t>
  </si>
  <si>
    <t>Provoletta en tranches</t>
  </si>
  <si>
    <t>Jambon Fiocco di Parma</t>
  </si>
  <si>
    <t>Burrata</t>
  </si>
  <si>
    <t>Mascarpone gorgonzola</t>
  </si>
  <si>
    <t xml:space="preserve">Barre de nougat </t>
  </si>
  <si>
    <t>Barres de nougat</t>
  </si>
  <si>
    <t>Pappardelles farcies aux cèpes</t>
  </si>
  <si>
    <t>Tagliolini avec truffe</t>
  </si>
  <si>
    <t>Mozzarella lait de bufflone</t>
  </si>
  <si>
    <t>Prosciutto en tranches</t>
  </si>
  <si>
    <t>Tomates cerises séchées</t>
  </si>
  <si>
    <t>Jambon italien en tranches</t>
  </si>
  <si>
    <t xml:space="preserve">Fromage Grana Padano DOP  </t>
  </si>
  <si>
    <t>Pâtes medaglioni basilic</t>
  </si>
  <si>
    <t>Coton prédécoupé</t>
  </si>
  <si>
    <t>Pizza Diavola</t>
  </si>
  <si>
    <t>Grana pad. rapé/Parmigi. en copeaux</t>
  </si>
  <si>
    <t>Melanzane alla Parmigiana</t>
  </si>
  <si>
    <t>Maccheroni nature / Cavatoni</t>
  </si>
  <si>
    <t>Bandes de cire froide</t>
  </si>
  <si>
    <t xml:space="preserve">Moelleux au chocolat blanc  </t>
  </si>
  <si>
    <t>Sauce béchamel 10,5 %</t>
  </si>
  <si>
    <t xml:space="preserve">Caviar </t>
  </si>
  <si>
    <t>Pizza Burrata cuite au feu</t>
  </si>
  <si>
    <t>Parmigiano Reggiano Bio</t>
  </si>
  <si>
    <t>Bio Pizza Margherita</t>
  </si>
  <si>
    <t>Gressins à l'épeautre Bio</t>
  </si>
  <si>
    <t>Saucisson sec en tranche IGP</t>
  </si>
  <si>
    <t>Ravioli au caviar d'encre de seiche</t>
  </si>
  <si>
    <t>Gressins ass. sésame/huile d'olive</t>
  </si>
  <si>
    <t>Moelleux lait</t>
  </si>
  <si>
    <t>Snack au cacao</t>
  </si>
  <si>
    <t>Pizza Crackers assortiment</t>
  </si>
  <si>
    <t>Calzone aux tomates et mozzarella</t>
  </si>
  <si>
    <t>Pâtes fraîches</t>
  </si>
  <si>
    <t>Panettone raisins et Moscato</t>
  </si>
  <si>
    <t>Jambon de Parme 18M grande réserve</t>
  </si>
  <si>
    <t>Pancetta piacentina DOP</t>
  </si>
  <si>
    <t>Fromage râpé à pâte dure</t>
  </si>
  <si>
    <t>Tagliatelles fraîches BIO</t>
  </si>
  <si>
    <t>Antipasti fruits de mer</t>
  </si>
  <si>
    <t>Grana Padano DOP en dés</t>
  </si>
  <si>
    <t>Chaussons aux épinards</t>
  </si>
  <si>
    <t>Chaussons au fromage</t>
  </si>
  <si>
    <t>Brioche escargot à la crème x4</t>
  </si>
  <si>
    <t>Pâte à tartiner sésame et miel</t>
  </si>
  <si>
    <t>Feuilles de vignes farcies au riz</t>
  </si>
  <si>
    <t>Haricots verts/Aubergines sauce tom</t>
  </si>
  <si>
    <t>Mini pastelli grecque</t>
  </si>
  <si>
    <t>Halva au cacao</t>
  </si>
  <si>
    <t>Halva aux amandes</t>
  </si>
  <si>
    <t>Nougat aux amandes</t>
  </si>
  <si>
    <t>Chausson fromage/origan/sésame</t>
  </si>
  <si>
    <t>Loukoums SK2</t>
  </si>
  <si>
    <t>Nemea P.O.P Agiorgitiko Barrique</t>
  </si>
  <si>
    <t>Mini gressins</t>
  </si>
  <si>
    <t>Feuilleté pain pita à la viande</t>
  </si>
  <si>
    <t xml:space="preserve">Feuilleté pain pita au poulet  </t>
  </si>
  <si>
    <t xml:space="preserve">Olive vertes grec farcies assorti. </t>
  </si>
  <si>
    <t>Baklawa aux noix</t>
  </si>
  <si>
    <t xml:space="preserve">Poulpe sauce piquante </t>
  </si>
  <si>
    <t>Sauce tomate à la grecque</t>
  </si>
  <si>
    <t>Glace au yaourt et miel</t>
  </si>
  <si>
    <t xml:space="preserve">Feta grecque </t>
  </si>
  <si>
    <t>Fromage Feta</t>
  </si>
  <si>
    <t>Olives vertes Bio PNE 160 / 200g</t>
  </si>
  <si>
    <t>Boulgour</t>
  </si>
  <si>
    <t xml:space="preserve">Miel d'acacia </t>
  </si>
  <si>
    <t>Sauce soja</t>
  </si>
  <si>
    <t>Cubes glacés</t>
  </si>
  <si>
    <t>Envitas petit déjeuner</t>
  </si>
  <si>
    <t>Beurre de cacahuètes XXL</t>
  </si>
  <si>
    <t>Vol au vent x 4</t>
  </si>
  <si>
    <t>Assortiment crèmes glacées</t>
  </si>
  <si>
    <t>Pain pita ail/coriandre</t>
  </si>
  <si>
    <t>Billes multicolores dragéifiées</t>
  </si>
  <si>
    <t>Gaufres au miel Bio</t>
  </si>
  <si>
    <t xml:space="preserve">Jus frais assortis </t>
  </si>
  <si>
    <t xml:space="preserve">Préparation cookies / brownies </t>
  </si>
  <si>
    <t>Mélange de fruits secs VRAC</t>
  </si>
  <si>
    <t>Biscuits Jungle</t>
  </si>
  <si>
    <t>Petits pains sans gluten</t>
  </si>
  <si>
    <t>Bâtonnets beurre de cacahuète</t>
  </si>
  <si>
    <t>Minitartelette choco fourré au lait</t>
  </si>
  <si>
    <t xml:space="preserve">Mousse au chocolat noir </t>
  </si>
  <si>
    <t>Marshmallow halloween</t>
  </si>
  <si>
    <t>Dessert spéculoos fourrage fruits</t>
  </si>
  <si>
    <t>Sauce pour grillade</t>
  </si>
  <si>
    <t>Sauce Squeeze assort.</t>
  </si>
  <si>
    <t>Macarons Frais</t>
  </si>
  <si>
    <t>Carré d'agneau</t>
  </si>
  <si>
    <t>Glace en pot</t>
  </si>
  <si>
    <t>Bière Triple 8,0% Vol.</t>
  </si>
  <si>
    <t>Push up vanille</t>
  </si>
  <si>
    <t>20 Mini aumonières apéritives</t>
  </si>
  <si>
    <t>Quadrette de minis sauces</t>
  </si>
  <si>
    <t>Pain d'épices au miel</t>
  </si>
  <si>
    <t>Pain d'épices aux noix et dattes</t>
  </si>
  <si>
    <t>Assortiment de mini sauces</t>
  </si>
  <si>
    <t>Pain d'épice Bio aux noix</t>
  </si>
  <si>
    <t>Dove Savon Crème</t>
  </si>
  <si>
    <t>Huile de noix</t>
  </si>
  <si>
    <t>Snacks fromage</t>
  </si>
  <si>
    <t>Brochettes de poulet marinées</t>
  </si>
  <si>
    <t>Palets au chocolat 3 parfums</t>
  </si>
  <si>
    <t>Rhum cubain 7 ans d'âge 38% vol</t>
  </si>
  <si>
    <t>Ron Rumbero Cubain 3 ans 38 % Vol.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</si>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</sst>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Arial"/>
      <family val="2"/>
    </font>
    <font>
      <sz val="10"/>
      <color rgb="FFFF0000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20"/>
      <color theme="1"/>
      <name val="Adobe Garamond Pro Bold"/>
      <family val="1"/>
    </font>
    <font>
      <sz val="10"/>
      <color theme="1"/>
      <name val="Adobe Caslon Pro Bold"/>
      <family val="1"/>
    </font>
    <font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14" fontId="2" fillId="0" borderId="0" xfId="0" applyNumberFormat="1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/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14" fontId="2" fillId="3" borderId="2" xfId="0" applyNumberFormat="1" applyFont="1" applyFill="1" applyBorder="1" applyAlignment="1">
      <alignment vertical="center"/>
    </xf>
    <xf numFmtId="14" fontId="0" fillId="3" borderId="3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vertical="center"/>
    </xf>
    <xf numFmtId="0" fontId="0" fillId="4" borderId="2" xfId="0" applyFill="1" applyBorder="1" applyAlignment="1">
      <alignment vertical="center"/>
    </xf>
    <xf numFmtId="0" fontId="0" fillId="4" borderId="2" xfId="0" applyFill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4" fontId="2" fillId="3" borderId="0" xfId="0" applyNumberFormat="1" applyFont="1" applyFill="1" applyBorder="1" applyAlignment="1">
      <alignment vertical="center"/>
    </xf>
    <xf numFmtId="14" fontId="0" fillId="3" borderId="0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3" borderId="0" xfId="0" applyFill="1" applyBorder="1" applyAlignment="1">
      <alignment horizontal="center" vertical="center" wrapText="1"/>
    </xf>
    <xf numFmtId="0" fontId="0" fillId="3" borderId="0" xfId="0" applyFill="1" applyBorder="1"/>
    <xf numFmtId="0" fontId="2" fillId="3" borderId="0" xfId="0" applyFont="1" applyFill="1" applyBorder="1" applyAlignment="1">
      <alignment vertical="center"/>
    </xf>
    <xf numFmtId="14" fontId="0" fillId="3" borderId="0" xfId="0" applyNumberFormat="1" applyFill="1" applyBorder="1"/>
    <xf numFmtId="0" fontId="0" fillId="7" borderId="1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619125</xdr:colOff>
          <xdr:row>27</xdr:row>
          <xdr:rowOff>133350</xdr:rowOff>
        </xdr:from>
        <xdr:to>
          <xdr:col>2</xdr:col>
          <xdr:colOff>1238250</xdr:colOff>
          <xdr:row>31</xdr:row>
          <xdr:rowOff>85725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Validation litige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7" tint="0.59999389629810485"/>
  </sheetPr>
  <dimension ref="A1:P26"/>
  <sheetViews>
    <sheetView workbookViewId="0">
      <selection activeCell="M11" sqref="M11"/>
    </sheetView>
  </sheetViews>
  <sheetFormatPr baseColWidth="10" defaultRowHeight="12.75" x14ac:dyDescent="0.2"/>
  <cols>
    <col min="1" max="1" width="12.140625" customWidth="1"/>
    <col min="2" max="2" width="12.5703125" bestFit="1" customWidth="1"/>
    <col min="3" max="3" width="25.7109375" customWidth="1"/>
    <col min="5" max="5" width="23" customWidth="1"/>
    <col min="6" max="6" width="17.5703125" customWidth="1"/>
    <col min="7" max="7" width="16.28515625" customWidth="1"/>
    <col min="8" max="8" width="19.28515625" customWidth="1"/>
    <col min="9" max="9" width="13.5703125" customWidth="1"/>
    <col min="10" max="10" width="11.28515625" bestFit="1" customWidth="1"/>
    <col min="11" max="11" width="25" customWidth="1"/>
    <col min="12" max="12" width="25.140625" customWidth="1"/>
    <col min="13" max="13" width="16.85546875" customWidth="1"/>
    <col min="15" max="15" width="24" hidden="1" customWidth="1"/>
    <col min="16" max="16" width="16.140625" hidden="1" customWidth="1"/>
  </cols>
  <sheetData>
    <row r="1" spans="1:16" ht="13.5" thickBot="1" x14ac:dyDescent="0.25"/>
    <row r="2" spans="1:16" ht="17.25" x14ac:dyDescent="0.2">
      <c r="A2" s="15">
        <f ca="1">TODAY()</f>
        <v>43467</v>
      </c>
      <c r="B2" s="30" t="s">
        <v>3672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2"/>
    </row>
    <row r="3" spans="1:16" x14ac:dyDescent="0.2">
      <c r="B3" s="33"/>
      <c r="C3" s="34"/>
      <c r="D3" s="34"/>
      <c r="E3" s="34"/>
      <c r="F3" s="34"/>
      <c r="G3" s="34"/>
      <c r="H3" s="34"/>
      <c r="I3" s="34"/>
      <c r="J3" s="34"/>
      <c r="K3" s="34"/>
      <c r="L3" s="34"/>
      <c r="M3" s="35"/>
    </row>
    <row r="4" spans="1:16" ht="13.5" thickBot="1" x14ac:dyDescent="0.25">
      <c r="B4" s="36"/>
      <c r="C4" s="37"/>
      <c r="D4" s="37"/>
      <c r="E4" s="37"/>
      <c r="F4" s="37"/>
      <c r="G4" s="37"/>
      <c r="H4" s="37"/>
      <c r="I4" s="37"/>
      <c r="J4" s="37"/>
      <c r="K4" s="37"/>
      <c r="L4" s="37"/>
      <c r="M4" s="38"/>
    </row>
    <row r="6" spans="1:16" ht="15" thickBot="1" x14ac:dyDescent="0.25">
      <c r="A6" s="1" t="str">
        <f>IF($B6&lt;&gt;"",$A$2,"")</f>
        <v/>
      </c>
      <c r="B6" s="2"/>
      <c r="C6" s="2" t="str">
        <f>IFERROR(VLOOKUP($B6,'Base de donnée EFIS'!$A:$C,3,FALSE),"")</f>
        <v/>
      </c>
      <c r="D6" s="2" t="str">
        <f>IFERROR(VLOOKUP(B6,'Base de donnée EFIS'!$A:$F,6,FALSE),"")</f>
        <v/>
      </c>
      <c r="E6" s="2" t="str">
        <f>IFERROR(VLOOKUP(D6,'Base de donnée EFIS'!$F:$G,2,FALSE),"")</f>
        <v/>
      </c>
      <c r="F6" s="2" t="str">
        <f>IFERROR(VLOOKUP($B6,'Base de donnée EFIS'!$A:$D,4,FALSE),"")</f>
        <v/>
      </c>
      <c r="I6" t="str">
        <f>IFERROR(($G6-$H6)/VLOOKUP($B6,VALO!$B:$H,7,FALSE),"")</f>
        <v/>
      </c>
    </row>
    <row r="7" spans="1:16" ht="51.75" thickBot="1" x14ac:dyDescent="0.25">
      <c r="A7" s="4" t="s">
        <v>3639</v>
      </c>
      <c r="B7" s="5" t="s">
        <v>3640</v>
      </c>
      <c r="C7" s="6" t="s">
        <v>3641</v>
      </c>
      <c r="D7" s="5" t="s">
        <v>3642</v>
      </c>
      <c r="E7" s="5" t="s">
        <v>3643</v>
      </c>
      <c r="F7" s="5" t="s">
        <v>3644</v>
      </c>
      <c r="G7" s="6" t="s">
        <v>3656</v>
      </c>
      <c r="H7" s="6" t="s">
        <v>3646</v>
      </c>
      <c r="I7" s="6" t="s">
        <v>3647</v>
      </c>
      <c r="J7" s="6" t="s">
        <v>3648</v>
      </c>
      <c r="K7" s="6" t="s">
        <v>3649</v>
      </c>
      <c r="L7" s="5" t="s">
        <v>3650</v>
      </c>
      <c r="M7" s="7" t="s">
        <v>3655</v>
      </c>
    </row>
    <row r="8" spans="1:16" ht="17.25" customHeight="1" thickBot="1" x14ac:dyDescent="0.25">
      <c r="A8" s="12">
        <f t="shared" ref="A8:A26" ca="1" si="0">IF($B8&lt;&gt;"",$A$2,"")</f>
        <v>43467</v>
      </c>
      <c r="B8" s="11">
        <v>2334</v>
      </c>
      <c r="C8" s="13" t="str">
        <f>IFERROR(VLOOKUP($B8,'Base de donnée EFIS'!$A:$C,3,FALSE),"")</f>
        <v xml:space="preserve">Levure chimique x 10                                                                                </v>
      </c>
      <c r="D8" s="14">
        <f>IFERROR(VLOOKUP(B8,'Base de donnée EFIS'!$A:$F,6,FALSE),"")</f>
        <v>1797</v>
      </c>
      <c r="E8" s="13" t="str">
        <f>IFERROR(VLOOKUP(D8,'Base de donnée EFIS'!$F:$G,2,FALSE),"")</f>
        <v xml:space="preserve">RUF Lebensmittelwerk KG                                                         </v>
      </c>
      <c r="F8" s="13" t="str">
        <f>IFERROR(VLOOKUP($B8,'Base de donnée EFIS'!$A:$D,4,FALSE),"")</f>
        <v xml:space="preserve">Kley. Arlon PS      </v>
      </c>
      <c r="G8" s="8">
        <v>143</v>
      </c>
      <c r="H8" s="8">
        <v>0</v>
      </c>
      <c r="I8" s="29">
        <f>IFERROR(($G8-$H8)/VLOOKUP($B8,VALO!$B:$H,7,FALSE),"")</f>
        <v>1</v>
      </c>
      <c r="J8" s="9">
        <v>43454</v>
      </c>
      <c r="K8" s="8" t="s">
        <v>3657</v>
      </c>
      <c r="L8" s="8" t="s">
        <v>3670</v>
      </c>
      <c r="M8" s="10"/>
    </row>
    <row r="9" spans="1:16" ht="17.25" customHeight="1" thickBot="1" x14ac:dyDescent="0.25">
      <c r="A9" s="12">
        <f t="shared" ca="1" si="0"/>
        <v>43467</v>
      </c>
      <c r="B9" s="11">
        <v>21818</v>
      </c>
      <c r="C9" s="13" t="str">
        <f>IFERROR(VLOOKUP($B9,'Base de donnée EFIS'!$A:$C,3,FALSE),"")</f>
        <v xml:space="preserve">Sucre vanilliné                                                                                     </v>
      </c>
      <c r="D9" s="14">
        <f>IFERROR(VLOOKUP(B9,'Base de donnée EFIS'!$A:$F,6,FALSE),"")</f>
        <v>1797</v>
      </c>
      <c r="E9" s="13" t="str">
        <f>IFERROR(VLOOKUP(D9,'Base de donnée EFIS'!$F:$G,2,FALSE),"")</f>
        <v xml:space="preserve">RUF Lebensmittelwerk KG                                                         </v>
      </c>
      <c r="F9" s="13" t="str">
        <f>IFERROR(VLOOKUP($B9,'Base de donnée EFIS'!$A:$D,4,FALSE),"")</f>
        <v xml:space="preserve">Kley. Arlon PS      </v>
      </c>
      <c r="G9" s="8">
        <v>168</v>
      </c>
      <c r="H9" s="8">
        <v>0</v>
      </c>
      <c r="I9" s="29">
        <f>IFERROR(($G9-$H9)/VLOOKUP($B9,VALO!$B:$H,7,FALSE),"")</f>
        <v>1</v>
      </c>
      <c r="J9" s="9">
        <v>43454</v>
      </c>
      <c r="K9" s="8" t="s">
        <v>3657</v>
      </c>
      <c r="L9" s="8" t="s">
        <v>3670</v>
      </c>
      <c r="M9" s="10"/>
    </row>
    <row r="10" spans="1:16" ht="17.25" customHeight="1" thickBot="1" x14ac:dyDescent="0.25">
      <c r="A10" s="12">
        <f t="shared" ca="1" si="0"/>
        <v>43467</v>
      </c>
      <c r="B10" s="11">
        <v>70432</v>
      </c>
      <c r="C10" s="13" t="str">
        <f>IFERROR(VLOOKUP($B10,'Base de donnée EFIS'!$A:$C,3,FALSE),"")</f>
        <v xml:space="preserve">Levure boulangère                                                                                   </v>
      </c>
      <c r="D10" s="14">
        <f>IFERROR(VLOOKUP(B10,'Base de donnée EFIS'!$A:$F,6,FALSE),"")</f>
        <v>1797</v>
      </c>
      <c r="E10" s="13" t="str">
        <f>IFERROR(VLOOKUP(D10,'Base de donnée EFIS'!$F:$G,2,FALSE),"")</f>
        <v xml:space="preserve">RUF Lebensmittelwerk KG                                                         </v>
      </c>
      <c r="F10" s="13" t="str">
        <f>IFERROR(VLOOKUP($B10,'Base de donnée EFIS'!$A:$D,4,FALSE),"")</f>
        <v xml:space="preserve">Kley. Arlon PS      </v>
      </c>
      <c r="G10" s="8">
        <v>0</v>
      </c>
      <c r="H10" s="8">
        <v>0</v>
      </c>
      <c r="I10" s="29">
        <f>IFERROR(($G10-$H10)/VLOOKUP($B10,VALO!$B:$H,7,FALSE),"")</f>
        <v>0</v>
      </c>
      <c r="J10" s="9">
        <v>43454</v>
      </c>
      <c r="K10" s="8" t="s">
        <v>3657</v>
      </c>
      <c r="L10" s="8" t="s">
        <v>3670</v>
      </c>
      <c r="M10" s="10"/>
      <c r="O10" t="s">
        <v>3674</v>
      </c>
      <c r="P10" t="s">
        <v>3675</v>
      </c>
    </row>
    <row r="11" spans="1:16" ht="17.25" customHeight="1" thickBot="1" x14ac:dyDescent="0.25">
      <c r="A11" s="12">
        <f t="shared" ca="1" si="0"/>
        <v>43467</v>
      </c>
      <c r="B11" s="11">
        <v>72154</v>
      </c>
      <c r="C11" s="13" t="str">
        <f>IFERROR(VLOOKUP($B11,'Base de donnée EFIS'!$A:$C,3,FALSE),"")</f>
        <v xml:space="preserve">Préparation pour fondant chocolat                                                                   </v>
      </c>
      <c r="D11" s="14">
        <f>IFERROR(VLOOKUP(B11,'Base de donnée EFIS'!$A:$F,6,FALSE),"")</f>
        <v>1797</v>
      </c>
      <c r="E11" s="13" t="str">
        <f>IFERROR(VLOOKUP(D11,'Base de donnée EFIS'!$F:$G,2,FALSE),"")</f>
        <v xml:space="preserve">RUF Lebensmittelwerk KG                                                         </v>
      </c>
      <c r="F11" s="13" t="str">
        <f>IFERROR(VLOOKUP($B11,'Base de donnée EFIS'!$A:$D,4,FALSE),"")</f>
        <v xml:space="preserve">Kley. Arlon PS      </v>
      </c>
      <c r="G11" s="8">
        <v>60</v>
      </c>
      <c r="H11" s="8">
        <v>0</v>
      </c>
      <c r="I11" s="29">
        <f>IFERROR(($G11-$H11)/VLOOKUP($B11,VALO!$B:$H,7,FALSE),"")</f>
        <v>1</v>
      </c>
      <c r="J11" s="9">
        <v>43454</v>
      </c>
      <c r="K11" s="8" t="s">
        <v>3657</v>
      </c>
      <c r="L11" s="8" t="s">
        <v>3670</v>
      </c>
      <c r="M11" s="10"/>
      <c r="O11" t="s">
        <v>3657</v>
      </c>
      <c r="P11" t="s">
        <v>3667</v>
      </c>
    </row>
    <row r="12" spans="1:16" ht="17.25" customHeight="1" thickBot="1" x14ac:dyDescent="0.25">
      <c r="A12" s="12" t="str">
        <f t="shared" si="0"/>
        <v/>
      </c>
      <c r="B12" s="11"/>
      <c r="C12" s="13" t="str">
        <f>IFERROR(VLOOKUP($B12,'Base de donnée EFIS'!$A:$C,3,FALSE),"")</f>
        <v/>
      </c>
      <c r="D12" s="14" t="str">
        <f>IFERROR(VLOOKUP(B12,'Base de donnée EFIS'!$A:$F,6,FALSE),"")</f>
        <v/>
      </c>
      <c r="E12" s="13" t="str">
        <f>IFERROR(VLOOKUP(D12,'Base de donnée EFIS'!$F:$G,2,FALSE),"")</f>
        <v/>
      </c>
      <c r="F12" s="13" t="str">
        <f>IFERROR(VLOOKUP($B12,'Base de donnée EFIS'!$A:$D,4,FALSE),"")</f>
        <v/>
      </c>
      <c r="G12" s="8"/>
      <c r="H12" s="8"/>
      <c r="I12" s="29" t="str">
        <f>IFERROR(($G12-$H12)/VLOOKUP($B12,VALO!$B:$H,7,FALSE),"")</f>
        <v/>
      </c>
      <c r="J12" s="9"/>
      <c r="K12" s="8"/>
      <c r="L12" s="8"/>
      <c r="M12" s="10"/>
      <c r="O12" t="s">
        <v>3653</v>
      </c>
      <c r="P12" t="s">
        <v>3652</v>
      </c>
    </row>
    <row r="13" spans="1:16" ht="17.25" customHeight="1" thickBot="1" x14ac:dyDescent="0.25">
      <c r="A13" s="12" t="str">
        <f t="shared" si="0"/>
        <v/>
      </c>
      <c r="B13" s="11"/>
      <c r="C13" s="13" t="str">
        <f>IFERROR(VLOOKUP($B13,'Base de donnée EFIS'!$A:$C,3,FALSE),"")</f>
        <v/>
      </c>
      <c r="D13" s="14" t="str">
        <f>IFERROR(VLOOKUP(B13,'Base de donnée EFIS'!$A:$F,6,FALSE),"")</f>
        <v/>
      </c>
      <c r="E13" s="13" t="str">
        <f>IFERROR(VLOOKUP(D13,'Base de donnée EFIS'!$F:$G,2,FALSE),"")</f>
        <v/>
      </c>
      <c r="F13" s="13" t="str">
        <f>IFERROR(VLOOKUP($B13,'Base de donnée EFIS'!$A:$D,4,FALSE),"")</f>
        <v/>
      </c>
      <c r="G13" s="8"/>
      <c r="H13" s="8"/>
      <c r="I13" s="29" t="str">
        <f>IFERROR(($G13-$H13)/VLOOKUP($B13,VALO!$B:$H,7,FALSE),"")</f>
        <v/>
      </c>
      <c r="J13" s="9"/>
      <c r="K13" s="8"/>
      <c r="L13" s="8"/>
      <c r="M13" s="10"/>
      <c r="O13" t="s">
        <v>3651</v>
      </c>
      <c r="P13" t="s">
        <v>3654</v>
      </c>
    </row>
    <row r="14" spans="1:16" ht="17.25" customHeight="1" thickBot="1" x14ac:dyDescent="0.25">
      <c r="A14" s="12" t="str">
        <f t="shared" si="0"/>
        <v/>
      </c>
      <c r="B14" s="11"/>
      <c r="C14" s="13" t="str">
        <f>IFERROR(VLOOKUP($B14,'Base de donnée EFIS'!$A:$C,3,FALSE),"")</f>
        <v/>
      </c>
      <c r="D14" s="14" t="str">
        <f>IFERROR(VLOOKUP(B14,'Base de donnée EFIS'!$A:$F,6,FALSE),"")</f>
        <v/>
      </c>
      <c r="E14" s="13" t="str">
        <f>IFERROR(VLOOKUP(D14,'Base de donnée EFIS'!$F:$G,2,FALSE),"")</f>
        <v/>
      </c>
      <c r="F14" s="13" t="str">
        <f>IFERROR(VLOOKUP($B14,'Base de donnée EFIS'!$A:$D,4,FALSE),"")</f>
        <v/>
      </c>
      <c r="G14" s="8"/>
      <c r="H14" s="8"/>
      <c r="I14" s="29" t="str">
        <f>IFERROR(($G14-$H14)/VLOOKUP($B14,VALO!$B:$H,7,FALSE),"")</f>
        <v/>
      </c>
      <c r="J14" s="9"/>
      <c r="K14" s="8"/>
      <c r="L14" s="8"/>
      <c r="M14" s="10"/>
      <c r="O14" t="s">
        <v>3658</v>
      </c>
      <c r="P14" t="s">
        <v>3668</v>
      </c>
    </row>
    <row r="15" spans="1:16" ht="17.25" customHeight="1" thickBot="1" x14ac:dyDescent="0.25">
      <c r="A15" s="12" t="str">
        <f t="shared" si="0"/>
        <v/>
      </c>
      <c r="B15" s="11"/>
      <c r="C15" s="13" t="str">
        <f>IFERROR(VLOOKUP($B15,'Base de donnée EFIS'!$A:$C,3,FALSE),"")</f>
        <v/>
      </c>
      <c r="D15" s="14" t="str">
        <f>IFERROR(VLOOKUP(B15,'Base de donnée EFIS'!$A:$F,6,FALSE),"")</f>
        <v/>
      </c>
      <c r="E15" s="13" t="str">
        <f>IFERROR(VLOOKUP(D15,'Base de donnée EFIS'!$F:$G,2,FALSE),"")</f>
        <v/>
      </c>
      <c r="F15" s="13" t="str">
        <f>IFERROR(VLOOKUP($B15,'Base de donnée EFIS'!$A:$D,4,FALSE),"")</f>
        <v/>
      </c>
      <c r="G15" s="8"/>
      <c r="H15" s="8"/>
      <c r="I15" s="29" t="str">
        <f>IFERROR(($G15-$H15)/VLOOKUP($B15,VALO!$B:$H,7,FALSE),"")</f>
        <v/>
      </c>
      <c r="J15" s="9"/>
      <c r="K15" s="8"/>
      <c r="L15" s="8"/>
      <c r="M15" s="10"/>
      <c r="O15" t="s">
        <v>3659</v>
      </c>
      <c r="P15" t="s">
        <v>3669</v>
      </c>
    </row>
    <row r="16" spans="1:16" ht="17.25" customHeight="1" thickBot="1" x14ac:dyDescent="0.25">
      <c r="A16" s="12" t="str">
        <f t="shared" si="0"/>
        <v/>
      </c>
      <c r="B16" s="11"/>
      <c r="C16" s="13" t="str">
        <f>IFERROR(VLOOKUP($B16,'Base de donnée EFIS'!$A:$C,3,FALSE),"")</f>
        <v/>
      </c>
      <c r="D16" s="14" t="str">
        <f>IFERROR(VLOOKUP(B16,'Base de donnée EFIS'!$A:$F,6,FALSE),"")</f>
        <v/>
      </c>
      <c r="E16" s="13" t="str">
        <f>IFERROR(VLOOKUP(D16,'Base de donnée EFIS'!$F:$G,2,FALSE),"")</f>
        <v/>
      </c>
      <c r="F16" s="13" t="str">
        <f>IFERROR(VLOOKUP($B16,'Base de donnée EFIS'!$A:$D,4,FALSE),"")</f>
        <v/>
      </c>
      <c r="G16" s="8"/>
      <c r="H16" s="8"/>
      <c r="I16" s="29" t="str">
        <f>IFERROR(($G16-$H16)/VLOOKUP($B16,VALO!$B:$H,7,FALSE),"")</f>
        <v/>
      </c>
      <c r="J16" s="9"/>
      <c r="K16" s="8"/>
      <c r="L16" s="8"/>
      <c r="M16" s="10"/>
      <c r="O16" t="s">
        <v>3660</v>
      </c>
      <c r="P16" t="s">
        <v>3670</v>
      </c>
    </row>
    <row r="17" spans="1:16" ht="17.25" customHeight="1" thickBot="1" x14ac:dyDescent="0.25">
      <c r="A17" s="12" t="str">
        <f t="shared" si="0"/>
        <v/>
      </c>
      <c r="B17" s="11"/>
      <c r="C17" s="13" t="str">
        <f>IFERROR(VLOOKUP($B17,'Base de donnée EFIS'!$A:$C,3,FALSE),"")</f>
        <v/>
      </c>
      <c r="D17" s="14" t="str">
        <f>IFERROR(VLOOKUP(B17,'Base de donnée EFIS'!$A:$F,6,FALSE),"")</f>
        <v/>
      </c>
      <c r="E17" s="13" t="str">
        <f>IFERROR(VLOOKUP(D17,'Base de donnée EFIS'!$F:$G,2,FALSE),"")</f>
        <v/>
      </c>
      <c r="F17" s="13" t="str">
        <f>IFERROR(VLOOKUP($B17,'Base de donnée EFIS'!$A:$D,4,FALSE),"")</f>
        <v/>
      </c>
      <c r="G17" s="8"/>
      <c r="H17" s="8"/>
      <c r="I17" s="29" t="str">
        <f>IFERROR(($G17-$H17)/VLOOKUP($B17,VALO!$B:$H,7,FALSE),"")</f>
        <v/>
      </c>
      <c r="J17" s="9"/>
      <c r="K17" s="8"/>
      <c r="L17" s="8"/>
      <c r="M17" s="10"/>
      <c r="O17" t="s">
        <v>3661</v>
      </c>
      <c r="P17" t="s">
        <v>3671</v>
      </c>
    </row>
    <row r="18" spans="1:16" ht="17.25" customHeight="1" thickBot="1" x14ac:dyDescent="0.25">
      <c r="A18" s="12" t="str">
        <f t="shared" si="0"/>
        <v/>
      </c>
      <c r="B18" s="11"/>
      <c r="C18" s="13" t="str">
        <f>IFERROR(VLOOKUP($B18,'Base de donnée EFIS'!$A:$C,3,FALSE),"")</f>
        <v/>
      </c>
      <c r="D18" s="14" t="str">
        <f>IFERROR(VLOOKUP(B18,'Base de donnée EFIS'!$A:$F,6,FALSE),"")</f>
        <v/>
      </c>
      <c r="E18" s="13" t="str">
        <f>IFERROR(VLOOKUP(D18,'Base de donnée EFIS'!$F:$G,2,FALSE),"")</f>
        <v/>
      </c>
      <c r="F18" s="13" t="str">
        <f>IFERROR(VLOOKUP($B18,'Base de donnée EFIS'!$A:$D,4,FALSE),"")</f>
        <v/>
      </c>
      <c r="G18" s="8"/>
      <c r="H18" s="8"/>
      <c r="I18" s="29" t="str">
        <f>IFERROR(($G18-$H18)/VLOOKUP($B18,VALO!$B:$H,7,FALSE),"")</f>
        <v/>
      </c>
      <c r="J18" s="9"/>
      <c r="K18" s="8"/>
      <c r="L18" s="8"/>
      <c r="M18" s="10"/>
      <c r="O18" t="s">
        <v>3662</v>
      </c>
      <c r="P18" t="s">
        <v>3661</v>
      </c>
    </row>
    <row r="19" spans="1:16" ht="17.25" customHeight="1" thickBot="1" x14ac:dyDescent="0.25">
      <c r="A19" s="12" t="str">
        <f t="shared" si="0"/>
        <v/>
      </c>
      <c r="B19" s="11"/>
      <c r="C19" s="13" t="str">
        <f>IFERROR(VLOOKUP($B19,'Base de donnée EFIS'!$A:$C,3,FALSE),"")</f>
        <v/>
      </c>
      <c r="D19" s="14" t="str">
        <f>IFERROR(VLOOKUP(B19,'Base de donnée EFIS'!$A:$F,6,FALSE),"")</f>
        <v/>
      </c>
      <c r="E19" s="13" t="str">
        <f>IFERROR(VLOOKUP(D19,'Base de donnée EFIS'!$F:$G,2,FALSE),"")</f>
        <v/>
      </c>
      <c r="F19" s="13" t="str">
        <f>IFERROR(VLOOKUP($B19,'Base de donnée EFIS'!$A:$D,4,FALSE),"")</f>
        <v/>
      </c>
      <c r="G19" s="8"/>
      <c r="H19" s="8"/>
      <c r="I19" s="29" t="str">
        <f>IFERROR(($G19-$H19)/VLOOKUP($B19,VALO!$B:$H,7,FALSE),"")</f>
        <v/>
      </c>
      <c r="J19" s="9"/>
      <c r="K19" s="8"/>
      <c r="L19" s="8"/>
      <c r="M19" s="10"/>
      <c r="O19" t="s">
        <v>3663</v>
      </c>
      <c r="P19" t="s">
        <v>3673</v>
      </c>
    </row>
    <row r="20" spans="1:16" ht="17.25" customHeight="1" thickBot="1" x14ac:dyDescent="0.25">
      <c r="A20" s="12" t="str">
        <f t="shared" si="0"/>
        <v/>
      </c>
      <c r="B20" s="11"/>
      <c r="C20" s="13" t="str">
        <f>IFERROR(VLOOKUP($B20,'Base de donnée EFIS'!$A:$C,3,FALSE),"")</f>
        <v/>
      </c>
      <c r="D20" s="14" t="str">
        <f>IFERROR(VLOOKUP(B20,'Base de donnée EFIS'!$A:$F,6,FALSE),"")</f>
        <v/>
      </c>
      <c r="E20" s="13" t="str">
        <f>IFERROR(VLOOKUP(D20,'Base de donnée EFIS'!$F:$G,2,FALSE),"")</f>
        <v/>
      </c>
      <c r="F20" s="13" t="str">
        <f>IFERROR(VLOOKUP($B20,'Base de donnée EFIS'!$A:$D,4,FALSE),"")</f>
        <v/>
      </c>
      <c r="G20" s="8"/>
      <c r="H20" s="8"/>
      <c r="I20" s="29" t="str">
        <f>IFERROR(($G20-$H20)/VLOOKUP($B20,VALO!$B:$H,7,FALSE),"")</f>
        <v/>
      </c>
      <c r="J20" s="9"/>
      <c r="K20" s="8"/>
      <c r="L20" s="8"/>
      <c r="M20" s="10"/>
      <c r="O20" t="s">
        <v>3664</v>
      </c>
    </row>
    <row r="21" spans="1:16" ht="17.25" customHeight="1" thickBot="1" x14ac:dyDescent="0.25">
      <c r="A21" s="12" t="str">
        <f t="shared" si="0"/>
        <v/>
      </c>
      <c r="B21" s="11"/>
      <c r="C21" s="13" t="str">
        <f>IFERROR(VLOOKUP($B21,'Base de donnée EFIS'!$A:$C,3,FALSE),"")</f>
        <v/>
      </c>
      <c r="D21" s="14" t="str">
        <f>IFERROR(VLOOKUP(B21,'Base de donnée EFIS'!$A:$F,6,FALSE),"")</f>
        <v/>
      </c>
      <c r="E21" s="13" t="str">
        <f>IFERROR(VLOOKUP(D21,'Base de donnée EFIS'!$F:$G,2,FALSE),"")</f>
        <v/>
      </c>
      <c r="F21" s="13" t="str">
        <f>IFERROR(VLOOKUP($B21,'Base de donnée EFIS'!$A:$D,4,FALSE),"")</f>
        <v/>
      </c>
      <c r="G21" s="8"/>
      <c r="H21" s="8"/>
      <c r="I21" s="29" t="str">
        <f>IFERROR(($G21-$H21)/VLOOKUP($B21,VALO!$B:$H,7,FALSE),"")</f>
        <v/>
      </c>
      <c r="J21" s="9"/>
      <c r="K21" s="8"/>
      <c r="L21" s="8"/>
      <c r="M21" s="10"/>
      <c r="O21" t="s">
        <v>3665</v>
      </c>
    </row>
    <row r="22" spans="1:16" ht="17.25" customHeight="1" thickBot="1" x14ac:dyDescent="0.25">
      <c r="A22" s="12" t="str">
        <f t="shared" si="0"/>
        <v/>
      </c>
      <c r="B22" s="11"/>
      <c r="C22" s="13" t="str">
        <f>IFERROR(VLOOKUP($B22,'Base de donnée EFIS'!$A:$C,3,FALSE),"")</f>
        <v/>
      </c>
      <c r="D22" s="14" t="str">
        <f>IFERROR(VLOOKUP(B22,'Base de donnée EFIS'!$A:$F,6,FALSE),"")</f>
        <v/>
      </c>
      <c r="E22" s="13" t="str">
        <f>IFERROR(VLOOKUP(D22,'Base de donnée EFIS'!$F:$G,2,FALSE),"")</f>
        <v/>
      </c>
      <c r="F22" s="13" t="str">
        <f>IFERROR(VLOOKUP($B22,'Base de donnée EFIS'!$A:$D,4,FALSE),"")</f>
        <v/>
      </c>
      <c r="G22" s="8"/>
      <c r="H22" s="8"/>
      <c r="I22" s="29" t="str">
        <f>IFERROR(($G22-$H22)/VLOOKUP($B22,VALO!$B:$H,7,FALSE),"")</f>
        <v/>
      </c>
      <c r="J22" s="9"/>
      <c r="K22" s="8"/>
      <c r="L22" s="8"/>
      <c r="M22" s="10"/>
      <c r="O22" t="s">
        <v>3666</v>
      </c>
    </row>
    <row r="23" spans="1:16" ht="17.25" customHeight="1" thickBot="1" x14ac:dyDescent="0.25">
      <c r="A23" s="12" t="str">
        <f t="shared" si="0"/>
        <v/>
      </c>
      <c r="B23" s="11"/>
      <c r="C23" s="13" t="str">
        <f>IFERROR(VLOOKUP($B23,'Base de donnée EFIS'!$A:$C,3,FALSE),"")</f>
        <v/>
      </c>
      <c r="D23" s="14" t="str">
        <f>IFERROR(VLOOKUP(B23,'Base de donnée EFIS'!$A:$F,6,FALSE),"")</f>
        <v/>
      </c>
      <c r="E23" s="13" t="str">
        <f>IFERROR(VLOOKUP(D23,'Base de donnée EFIS'!$F:$G,2,FALSE),"")</f>
        <v/>
      </c>
      <c r="F23" s="13" t="str">
        <f>IFERROR(VLOOKUP($B23,'Base de donnée EFIS'!$A:$D,4,FALSE),"")</f>
        <v/>
      </c>
      <c r="G23" s="8"/>
      <c r="H23" s="8"/>
      <c r="I23" s="29" t="str">
        <f>IFERROR(($G23-$H23)/VLOOKUP($B23,VALO!$B:$H,7,FALSE),"")</f>
        <v/>
      </c>
      <c r="J23" s="9"/>
      <c r="K23" s="8"/>
      <c r="L23" s="8"/>
      <c r="M23" s="10"/>
      <c r="O23" t="s">
        <v>3673</v>
      </c>
    </row>
    <row r="24" spans="1:16" ht="17.25" customHeight="1" thickBot="1" x14ac:dyDescent="0.25">
      <c r="A24" s="12" t="str">
        <f t="shared" si="0"/>
        <v/>
      </c>
      <c r="B24" s="11"/>
      <c r="C24" s="13" t="str">
        <f>IFERROR(VLOOKUP($B24,'Base de donnée EFIS'!$A:$C,3,FALSE),"")</f>
        <v/>
      </c>
      <c r="D24" s="14" t="str">
        <f>IFERROR(VLOOKUP(B24,'Base de donnée EFIS'!$A:$F,6,FALSE),"")</f>
        <v/>
      </c>
      <c r="E24" s="13" t="str">
        <f>IFERROR(VLOOKUP(D24,'Base de donnée EFIS'!$F:$G,2,FALSE),"")</f>
        <v/>
      </c>
      <c r="F24" s="13" t="str">
        <f>IFERROR(VLOOKUP($B24,'Base de donnée EFIS'!$A:$D,4,FALSE),"")</f>
        <v/>
      </c>
      <c r="G24" s="8"/>
      <c r="H24" s="8"/>
      <c r="I24" s="29" t="str">
        <f>IFERROR(($G24-$H24)/VLOOKUP($B24,VALO!$B:$H,7,FALSE),"")</f>
        <v/>
      </c>
      <c r="J24" s="9"/>
      <c r="K24" s="8"/>
      <c r="L24" s="8"/>
      <c r="M24" s="10"/>
    </row>
    <row r="25" spans="1:16" ht="17.25" customHeight="1" thickBot="1" x14ac:dyDescent="0.25">
      <c r="A25" s="12" t="str">
        <f t="shared" si="0"/>
        <v/>
      </c>
      <c r="B25" s="11"/>
      <c r="C25" s="13" t="str">
        <f>IFERROR(VLOOKUP($B25,'Base de donnée EFIS'!$A:$C,3,FALSE),"")</f>
        <v/>
      </c>
      <c r="D25" s="14" t="str">
        <f>IFERROR(VLOOKUP(B25,'Base de donnée EFIS'!$A:$F,6,FALSE),"")</f>
        <v/>
      </c>
      <c r="E25" s="13" t="str">
        <f>IFERROR(VLOOKUP(D25,'Base de donnée EFIS'!$F:$G,2,FALSE),"")</f>
        <v/>
      </c>
      <c r="F25" s="13" t="str">
        <f>IFERROR(VLOOKUP($B25,'Base de donnée EFIS'!$A:$D,4,FALSE),"")</f>
        <v/>
      </c>
      <c r="G25" s="8"/>
      <c r="H25" s="8"/>
      <c r="I25" s="29" t="str">
        <f>IFERROR(($G25-$H25)/VLOOKUP($B25,VALO!$B:$H,7,FALSE),"")</f>
        <v/>
      </c>
      <c r="J25" s="9"/>
      <c r="K25" s="8"/>
      <c r="L25" s="8"/>
      <c r="M25" s="10"/>
    </row>
    <row r="26" spans="1:16" ht="17.25" customHeight="1" thickBot="1" x14ac:dyDescent="0.25">
      <c r="A26" s="12" t="str">
        <f t="shared" si="0"/>
        <v/>
      </c>
      <c r="B26" s="11"/>
      <c r="C26" s="13" t="str">
        <f>IFERROR(VLOOKUP($B26,'Base de donnée EFIS'!$A:$C,3,FALSE),"")</f>
        <v/>
      </c>
      <c r="D26" s="14" t="str">
        <f>IFERROR(VLOOKUP(B26,'Base de donnée EFIS'!$A:$F,6,FALSE),"")</f>
        <v/>
      </c>
      <c r="E26" s="13" t="str">
        <f>IFERROR(VLOOKUP(D26,'Base de donnée EFIS'!$F:$G,2,FALSE),"")</f>
        <v/>
      </c>
      <c r="F26" s="13" t="str">
        <f>IFERROR(VLOOKUP($B26,'Base de donnée EFIS'!$A:$D,4,FALSE),"")</f>
        <v/>
      </c>
      <c r="G26" s="8"/>
      <c r="H26" s="8"/>
      <c r="I26" s="29" t="str">
        <f>IFERROR(($G26-$H26)/VLOOKUP($B26,VALO!$B:$H,7,FALSE),"")</f>
        <v/>
      </c>
      <c r="J26" s="9"/>
      <c r="K26" s="8"/>
      <c r="L26" s="8"/>
      <c r="M26" s="10"/>
    </row>
  </sheetData>
  <mergeCells count="1">
    <mergeCell ref="B2:M4"/>
  </mergeCells>
  <dataValidations count="2">
    <dataValidation type="list" allowBlank="1" showInputMessage="1" showErrorMessage="1" sqref="K8:K26">
      <formula1>$O$10:$O$23</formula1>
    </dataValidation>
    <dataValidation type="list" allowBlank="1" showInputMessage="1" showErrorMessage="1" sqref="L8:L26">
      <formula1>$P$10:$P$19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Module5.ValidationLitige">
                <anchor moveWithCells="1" sizeWithCells="1">
                  <from>
                    <xdr:col>0</xdr:col>
                    <xdr:colOff>619125</xdr:colOff>
                    <xdr:row>27</xdr:row>
                    <xdr:rowOff>133350</xdr:rowOff>
                  </from>
                  <to>
                    <xdr:col>2</xdr:col>
                    <xdr:colOff>1238250</xdr:colOff>
                    <xdr:row>31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0.39997558519241921"/>
  </sheetPr>
  <dimension ref="A1:Z34"/>
  <sheetViews>
    <sheetView workbookViewId="0">
      <pane ySplit="1" topLeftCell="A2" activePane="bottomLeft" state="frozen"/>
      <selection pane="bottomLeft"/>
    </sheetView>
  </sheetViews>
  <sheetFormatPr baseColWidth="10" defaultRowHeight="12.75" x14ac:dyDescent="0.2"/>
  <cols>
    <col min="1" max="1" width="11" style="22" bestFit="1" customWidth="1"/>
    <col min="2" max="2" width="11.42578125" style="22"/>
    <col min="3" max="3" width="20.85546875" style="22" customWidth="1"/>
    <col min="4" max="4" width="11.42578125" style="22"/>
    <col min="5" max="5" width="25.7109375" style="22" customWidth="1"/>
    <col min="6" max="6" width="16.85546875" style="22" bestFit="1" customWidth="1"/>
    <col min="7" max="7" width="16.28515625" style="22" bestFit="1" customWidth="1"/>
    <col min="8" max="9" width="13.42578125" style="22" customWidth="1"/>
    <col min="10" max="10" width="11.42578125" style="22"/>
    <col min="11" max="11" width="25" style="22" bestFit="1" customWidth="1"/>
    <col min="12" max="12" width="25" style="22" customWidth="1"/>
    <col min="13" max="13" width="16" style="22" customWidth="1"/>
  </cols>
  <sheetData>
    <row r="1" spans="1:26" ht="39" thickBot="1" x14ac:dyDescent="0.25">
      <c r="A1" s="25" t="s">
        <v>3639</v>
      </c>
      <c r="B1" s="26" t="s">
        <v>3640</v>
      </c>
      <c r="C1" s="27" t="s">
        <v>3641</v>
      </c>
      <c r="D1" s="26" t="s">
        <v>3642</v>
      </c>
      <c r="E1" s="26" t="s">
        <v>3643</v>
      </c>
      <c r="F1" s="26" t="s">
        <v>3644</v>
      </c>
      <c r="G1" s="26" t="s">
        <v>3645</v>
      </c>
      <c r="H1" s="27" t="s">
        <v>3646</v>
      </c>
      <c r="I1" s="27" t="s">
        <v>3647</v>
      </c>
      <c r="J1" s="27" t="s">
        <v>3648</v>
      </c>
      <c r="K1" s="27" t="s">
        <v>3649</v>
      </c>
      <c r="L1" s="26" t="s">
        <v>3650</v>
      </c>
      <c r="M1" s="28" t="s">
        <v>3655</v>
      </c>
    </row>
    <row r="2" spans="1:26" ht="15" thickBot="1" x14ac:dyDescent="0.25">
      <c r="A2" s="12">
        <v>43455</v>
      </c>
      <c r="B2" s="11">
        <v>1303</v>
      </c>
      <c r="C2" s="13" t="s">
        <v>448</v>
      </c>
      <c r="D2" s="14">
        <v>4616</v>
      </c>
      <c r="E2" s="13" t="s">
        <v>449</v>
      </c>
      <c r="F2" s="13" t="s">
        <v>23</v>
      </c>
      <c r="G2" s="8">
        <v>84</v>
      </c>
      <c r="H2" s="8">
        <v>0</v>
      </c>
      <c r="I2" s="29">
        <v>2</v>
      </c>
      <c r="J2" s="9">
        <v>43454</v>
      </c>
      <c r="K2" s="8" t="s">
        <v>3651</v>
      </c>
      <c r="L2" s="8" t="s">
        <v>3675</v>
      </c>
      <c r="M2" s="10"/>
      <c r="N2" s="18"/>
      <c r="O2" s="16"/>
      <c r="P2" s="20"/>
      <c r="Q2" s="16"/>
      <c r="R2" s="20"/>
      <c r="S2" s="20"/>
      <c r="T2" s="17"/>
      <c r="U2" s="17"/>
      <c r="V2" s="17"/>
      <c r="W2" s="18"/>
      <c r="X2" s="17"/>
      <c r="Y2" s="17"/>
      <c r="Z2" s="19"/>
    </row>
    <row r="3" spans="1:26" ht="15" thickBot="1" x14ac:dyDescent="0.25">
      <c r="A3" s="12">
        <v>43455</v>
      </c>
      <c r="B3" s="11">
        <v>1307</v>
      </c>
      <c r="C3" s="13" t="s">
        <v>450</v>
      </c>
      <c r="D3" s="14">
        <v>4616</v>
      </c>
      <c r="E3" s="13" t="s">
        <v>449</v>
      </c>
      <c r="F3" s="13" t="s">
        <v>23</v>
      </c>
      <c r="G3" s="8">
        <v>190</v>
      </c>
      <c r="H3" s="8">
        <v>0</v>
      </c>
      <c r="I3" s="29">
        <v>2</v>
      </c>
      <c r="J3" s="9">
        <v>43454</v>
      </c>
      <c r="K3" s="8" t="s">
        <v>3651</v>
      </c>
      <c r="L3" s="8" t="s">
        <v>3675</v>
      </c>
      <c r="M3" s="10"/>
      <c r="N3" s="18"/>
      <c r="O3" s="16"/>
      <c r="P3" s="20"/>
      <c r="Q3" s="16"/>
      <c r="R3" s="20"/>
      <c r="S3" s="20"/>
      <c r="T3" s="17"/>
      <c r="U3" s="17"/>
      <c r="V3" s="17"/>
      <c r="W3" s="18"/>
      <c r="X3" s="17"/>
      <c r="Y3" s="17"/>
      <c r="Z3" s="19"/>
    </row>
    <row r="4" spans="1:26" ht="15" thickBot="1" x14ac:dyDescent="0.25">
      <c r="A4" s="12">
        <v>43455</v>
      </c>
      <c r="B4" s="11">
        <v>1308</v>
      </c>
      <c r="C4" s="13" t="s">
        <v>451</v>
      </c>
      <c r="D4" s="14">
        <v>4616</v>
      </c>
      <c r="E4" s="13" t="s">
        <v>449</v>
      </c>
      <c r="F4" s="13" t="s">
        <v>23</v>
      </c>
      <c r="G4" s="8">
        <v>84</v>
      </c>
      <c r="H4" s="8">
        <v>0</v>
      </c>
      <c r="I4" s="29">
        <v>2</v>
      </c>
      <c r="J4" s="9">
        <v>43454</v>
      </c>
      <c r="K4" s="8" t="s">
        <v>3651</v>
      </c>
      <c r="L4" s="8" t="s">
        <v>3675</v>
      </c>
      <c r="M4" s="10"/>
      <c r="N4" s="18"/>
      <c r="O4" s="16"/>
      <c r="P4" s="20"/>
      <c r="Q4" s="16"/>
      <c r="R4" s="20"/>
      <c r="S4" s="20"/>
      <c r="T4" s="17"/>
      <c r="U4" s="17"/>
      <c r="V4" s="17"/>
      <c r="W4" s="18"/>
      <c r="X4" s="17"/>
      <c r="Y4" s="17"/>
      <c r="Z4" s="19"/>
    </row>
    <row r="5" spans="1:26" ht="15" thickBot="1" x14ac:dyDescent="0.25">
      <c r="A5" s="12">
        <v>43455</v>
      </c>
      <c r="B5" s="11">
        <v>1309</v>
      </c>
      <c r="C5" s="13" t="s">
        <v>452</v>
      </c>
      <c r="D5" s="14">
        <v>4616</v>
      </c>
      <c r="E5" s="13" t="s">
        <v>449</v>
      </c>
      <c r="F5" s="13" t="s">
        <v>23</v>
      </c>
      <c r="G5" s="8">
        <v>140</v>
      </c>
      <c r="H5" s="8">
        <v>0</v>
      </c>
      <c r="I5" s="29">
        <v>2</v>
      </c>
      <c r="J5" s="9">
        <v>43454</v>
      </c>
      <c r="K5" s="8" t="s">
        <v>3651</v>
      </c>
      <c r="L5" s="8" t="s">
        <v>3675</v>
      </c>
      <c r="M5" s="10"/>
      <c r="N5" s="18"/>
      <c r="O5" s="16"/>
      <c r="P5" s="20"/>
      <c r="Q5" s="16"/>
      <c r="R5" s="20"/>
      <c r="S5" s="20"/>
      <c r="T5" s="17"/>
      <c r="U5" s="17"/>
      <c r="V5" s="17"/>
      <c r="W5" s="18"/>
      <c r="X5" s="17"/>
      <c r="Y5" s="17"/>
      <c r="Z5" s="19"/>
    </row>
    <row r="6" spans="1:26" ht="15" thickBot="1" x14ac:dyDescent="0.25">
      <c r="A6" s="12">
        <v>43455</v>
      </c>
      <c r="B6" s="11">
        <v>1312</v>
      </c>
      <c r="C6" s="13" t="s">
        <v>453</v>
      </c>
      <c r="D6" s="14">
        <v>4616</v>
      </c>
      <c r="E6" s="13" t="s">
        <v>449</v>
      </c>
      <c r="F6" s="13" t="s">
        <v>23</v>
      </c>
      <c r="G6" s="8">
        <v>42</v>
      </c>
      <c r="H6" s="8">
        <v>0</v>
      </c>
      <c r="I6" s="29">
        <v>1</v>
      </c>
      <c r="J6" s="9">
        <v>43454</v>
      </c>
      <c r="K6" s="8" t="s">
        <v>3651</v>
      </c>
      <c r="L6" s="8" t="s">
        <v>3675</v>
      </c>
      <c r="M6" s="10"/>
      <c r="N6" s="18"/>
      <c r="O6" s="16"/>
      <c r="P6" s="20"/>
      <c r="Q6" s="16"/>
      <c r="R6" s="20"/>
      <c r="S6" s="20"/>
      <c r="T6" s="17"/>
      <c r="U6" s="17"/>
      <c r="V6" s="17"/>
      <c r="W6" s="18"/>
      <c r="X6" s="17"/>
      <c r="Y6" s="17"/>
      <c r="Z6" s="19"/>
    </row>
    <row r="7" spans="1:26" ht="15" thickBot="1" x14ac:dyDescent="0.25">
      <c r="A7" s="12">
        <v>43455</v>
      </c>
      <c r="B7" s="11">
        <v>1313</v>
      </c>
      <c r="C7" s="13" t="s">
        <v>454</v>
      </c>
      <c r="D7" s="14">
        <v>4616</v>
      </c>
      <c r="E7" s="13" t="s">
        <v>449</v>
      </c>
      <c r="F7" s="13" t="s">
        <v>23</v>
      </c>
      <c r="G7" s="8">
        <v>84</v>
      </c>
      <c r="H7" s="8">
        <v>0</v>
      </c>
      <c r="I7" s="29">
        <v>1</v>
      </c>
      <c r="J7" s="9">
        <v>43454</v>
      </c>
      <c r="K7" s="8" t="s">
        <v>3651</v>
      </c>
      <c r="L7" s="8" t="s">
        <v>3675</v>
      </c>
      <c r="M7" s="10"/>
      <c r="N7" s="18"/>
      <c r="O7" s="16"/>
      <c r="P7" s="20"/>
      <c r="Q7" s="16"/>
      <c r="R7" s="20"/>
      <c r="S7" s="20"/>
      <c r="T7" s="17"/>
      <c r="U7" s="17"/>
      <c r="V7" s="17"/>
      <c r="W7" s="18"/>
      <c r="X7" s="17"/>
      <c r="Y7" s="17"/>
      <c r="Z7" s="19"/>
    </row>
    <row r="8" spans="1:26" ht="15" thickBot="1" x14ac:dyDescent="0.25">
      <c r="A8" s="12">
        <v>43455</v>
      </c>
      <c r="B8" s="11">
        <v>37270</v>
      </c>
      <c r="C8" s="13" t="s">
        <v>1492</v>
      </c>
      <c r="D8" s="14">
        <v>4616</v>
      </c>
      <c r="E8" s="13" t="s">
        <v>449</v>
      </c>
      <c r="F8" s="13" t="s">
        <v>23</v>
      </c>
      <c r="G8" s="8">
        <v>216</v>
      </c>
      <c r="H8" s="8">
        <v>0</v>
      </c>
      <c r="I8" s="29">
        <v>6</v>
      </c>
      <c r="J8" s="9">
        <v>43454</v>
      </c>
      <c r="K8" s="8" t="s">
        <v>3651</v>
      </c>
      <c r="L8" s="8" t="s">
        <v>3675</v>
      </c>
      <c r="M8" s="10"/>
      <c r="N8" s="18"/>
      <c r="O8" s="16"/>
      <c r="P8" s="20"/>
      <c r="Q8" s="16"/>
      <c r="R8" s="20"/>
      <c r="S8" s="20"/>
      <c r="T8" s="17"/>
      <c r="U8" s="17"/>
      <c r="V8" s="17"/>
      <c r="W8" s="18"/>
      <c r="X8" s="17"/>
      <c r="Y8" s="17"/>
      <c r="Z8" s="19"/>
    </row>
    <row r="9" spans="1:26" ht="15" thickBot="1" x14ac:dyDescent="0.25">
      <c r="A9" s="12">
        <v>43455</v>
      </c>
      <c r="B9" s="11">
        <v>90018</v>
      </c>
      <c r="C9" s="13" t="s">
        <v>1919</v>
      </c>
      <c r="D9" s="14">
        <v>4616</v>
      </c>
      <c r="E9" s="13" t="s">
        <v>449</v>
      </c>
      <c r="F9" s="13" t="s">
        <v>23</v>
      </c>
      <c r="G9" s="8">
        <v>432</v>
      </c>
      <c r="H9" s="8">
        <v>0</v>
      </c>
      <c r="I9" s="29">
        <v>6</v>
      </c>
      <c r="J9" s="9">
        <v>43454</v>
      </c>
      <c r="K9" s="8" t="s">
        <v>3651</v>
      </c>
      <c r="L9" s="8" t="s">
        <v>3675</v>
      </c>
      <c r="M9" s="10"/>
      <c r="N9" s="18"/>
      <c r="O9" s="16"/>
      <c r="P9" s="20"/>
      <c r="Q9" s="16"/>
      <c r="R9" s="20"/>
      <c r="S9" s="20"/>
      <c r="T9" s="17"/>
      <c r="U9" s="17"/>
      <c r="V9" s="17"/>
      <c r="W9" s="18"/>
      <c r="X9" s="17"/>
      <c r="Y9" s="17"/>
      <c r="Z9" s="19"/>
    </row>
    <row r="10" spans="1:26" ht="15" thickBot="1" x14ac:dyDescent="0.25">
      <c r="A10" s="12">
        <v>43455</v>
      </c>
      <c r="B10" s="11">
        <v>127393</v>
      </c>
      <c r="C10" s="13" t="s">
        <v>2254</v>
      </c>
      <c r="D10" s="14">
        <v>4616</v>
      </c>
      <c r="E10" s="13" t="s">
        <v>449</v>
      </c>
      <c r="F10" s="13" t="s">
        <v>23</v>
      </c>
      <c r="G10" s="8">
        <v>95</v>
      </c>
      <c r="H10" s="8">
        <v>0</v>
      </c>
      <c r="I10" s="29">
        <v>1</v>
      </c>
      <c r="J10" s="9">
        <v>43454</v>
      </c>
      <c r="K10" s="8" t="s">
        <v>3651</v>
      </c>
      <c r="L10" s="8" t="s">
        <v>3675</v>
      </c>
      <c r="M10" s="10"/>
      <c r="N10" s="18"/>
      <c r="O10" s="16"/>
      <c r="P10" s="20"/>
      <c r="Q10" s="16"/>
      <c r="R10" s="20"/>
      <c r="S10" s="20"/>
      <c r="T10" s="17"/>
      <c r="U10" s="17"/>
      <c r="V10" s="17"/>
      <c r="W10" s="18"/>
      <c r="X10" s="17"/>
      <c r="Y10" s="17"/>
      <c r="Z10" s="19"/>
    </row>
    <row r="11" spans="1:26" ht="15" thickBot="1" x14ac:dyDescent="0.25">
      <c r="A11" s="12">
        <v>43455</v>
      </c>
      <c r="B11" s="11">
        <v>140189</v>
      </c>
      <c r="C11" s="13" t="s">
        <v>2508</v>
      </c>
      <c r="D11" s="14">
        <v>4616</v>
      </c>
      <c r="E11" s="13" t="s">
        <v>449</v>
      </c>
      <c r="F11" s="13" t="s">
        <v>23</v>
      </c>
      <c r="G11" s="8">
        <v>900</v>
      </c>
      <c r="H11" s="8">
        <v>0</v>
      </c>
      <c r="I11" s="29">
        <v>10</v>
      </c>
      <c r="J11" s="9">
        <v>43454</v>
      </c>
      <c r="K11" s="8" t="s">
        <v>3651</v>
      </c>
      <c r="L11" s="8" t="s">
        <v>3675</v>
      </c>
      <c r="M11" s="10"/>
      <c r="N11" s="18"/>
      <c r="O11" s="16"/>
      <c r="P11" s="20"/>
      <c r="Q11" s="16"/>
      <c r="R11" s="20"/>
      <c r="S11" s="20"/>
      <c r="T11" s="17"/>
      <c r="U11" s="17"/>
      <c r="V11" s="17"/>
      <c r="W11" s="18"/>
      <c r="X11" s="17"/>
      <c r="Y11" s="17"/>
      <c r="Z11" s="19"/>
    </row>
    <row r="12" spans="1:26" ht="15" thickBot="1" x14ac:dyDescent="0.25">
      <c r="A12" s="12" t="s">
        <v>11460</v>
      </c>
      <c r="B12" s="11"/>
      <c r="C12" s="13" t="s">
        <v>11460</v>
      </c>
      <c r="D12" s="14" t="s">
        <v>11460</v>
      </c>
      <c r="E12" s="13" t="s">
        <v>11460</v>
      </c>
      <c r="F12" s="13" t="s">
        <v>11460</v>
      </c>
      <c r="G12" s="8"/>
      <c r="H12" s="8"/>
      <c r="I12" s="29" t="s">
        <v>11460</v>
      </c>
      <c r="J12" s="9"/>
      <c r="K12" s="8"/>
      <c r="L12" s="8"/>
      <c r="M12" s="10"/>
      <c r="N12" s="18"/>
      <c r="O12" s="16"/>
      <c r="P12" s="20"/>
      <c r="Q12" s="16"/>
      <c r="R12" s="20"/>
      <c r="S12" s="20"/>
      <c r="T12" s="17"/>
      <c r="U12" s="17"/>
      <c r="V12" s="17"/>
      <c r="W12" s="18"/>
      <c r="X12" s="17"/>
      <c r="Y12" s="17"/>
      <c r="Z12" s="19"/>
    </row>
    <row r="13" spans="1:26" ht="15" thickBot="1" x14ac:dyDescent="0.25">
      <c r="A13" s="12" t="s">
        <v>11460</v>
      </c>
      <c r="B13" s="11"/>
      <c r="C13" s="13" t="s">
        <v>11460</v>
      </c>
      <c r="D13" s="14" t="s">
        <v>11460</v>
      </c>
      <c r="E13" s="13" t="s">
        <v>11460</v>
      </c>
      <c r="F13" s="13" t="s">
        <v>11460</v>
      </c>
      <c r="G13" s="8"/>
      <c r="H13" s="8"/>
      <c r="I13" s="29" t="s">
        <v>11460</v>
      </c>
      <c r="J13" s="9"/>
      <c r="K13" s="8"/>
      <c r="L13" s="8"/>
      <c r="M13" s="10"/>
      <c r="N13" s="18"/>
      <c r="O13" s="16"/>
      <c r="P13" s="20"/>
      <c r="Q13" s="16"/>
      <c r="R13" s="20"/>
      <c r="S13" s="20"/>
      <c r="T13" s="17"/>
      <c r="U13" s="17"/>
      <c r="V13" s="17"/>
      <c r="W13" s="18"/>
      <c r="X13" s="17"/>
      <c r="Y13" s="17"/>
      <c r="Z13" s="19"/>
    </row>
    <row r="14" spans="1:26" ht="15" thickBot="1" x14ac:dyDescent="0.25">
      <c r="A14" s="12" t="s">
        <v>11460</v>
      </c>
      <c r="B14" s="11"/>
      <c r="C14" s="13" t="s">
        <v>11460</v>
      </c>
      <c r="D14" s="14" t="s">
        <v>11460</v>
      </c>
      <c r="E14" s="13" t="s">
        <v>11460</v>
      </c>
      <c r="F14" s="13" t="s">
        <v>11460</v>
      </c>
      <c r="G14" s="8"/>
      <c r="H14" s="8"/>
      <c r="I14" s="29" t="s">
        <v>11460</v>
      </c>
      <c r="J14" s="9"/>
      <c r="K14" s="8"/>
      <c r="L14" s="8"/>
      <c r="M14" s="10"/>
      <c r="N14" s="18"/>
      <c r="O14" s="16"/>
      <c r="P14" s="20"/>
      <c r="Q14" s="16"/>
      <c r="R14" s="20"/>
      <c r="S14" s="20"/>
      <c r="T14" s="17"/>
      <c r="U14" s="17"/>
      <c r="V14" s="17"/>
      <c r="W14" s="18"/>
      <c r="X14" s="17"/>
      <c r="Y14" s="17"/>
      <c r="Z14" s="19"/>
    </row>
    <row r="15" spans="1:26" ht="15" thickBot="1" x14ac:dyDescent="0.25">
      <c r="A15" s="12" t="s">
        <v>11460</v>
      </c>
      <c r="B15" s="11"/>
      <c r="C15" s="13" t="s">
        <v>11460</v>
      </c>
      <c r="D15" s="14" t="s">
        <v>11460</v>
      </c>
      <c r="E15" s="13" t="s">
        <v>11460</v>
      </c>
      <c r="F15" s="13" t="s">
        <v>11460</v>
      </c>
      <c r="G15" s="8"/>
      <c r="H15" s="8"/>
      <c r="I15" s="29" t="s">
        <v>11460</v>
      </c>
      <c r="J15" s="9"/>
      <c r="K15" s="8"/>
      <c r="L15" s="8"/>
      <c r="M15" s="10"/>
      <c r="N15" s="18"/>
      <c r="O15" s="16"/>
      <c r="P15" s="20"/>
      <c r="Q15" s="16"/>
      <c r="R15" s="20"/>
      <c r="S15" s="20"/>
      <c r="T15" s="17"/>
      <c r="U15" s="17"/>
      <c r="V15" s="17"/>
      <c r="W15" s="18"/>
      <c r="X15" s="17"/>
      <c r="Y15" s="17"/>
      <c r="Z15" s="19"/>
    </row>
    <row r="16" spans="1:26" ht="15" thickBot="1" x14ac:dyDescent="0.25">
      <c r="A16" s="12" t="s">
        <v>11460</v>
      </c>
      <c r="B16" s="11"/>
      <c r="C16" s="13" t="s">
        <v>11460</v>
      </c>
      <c r="D16" s="14" t="s">
        <v>11460</v>
      </c>
      <c r="E16" s="13" t="s">
        <v>11460</v>
      </c>
      <c r="F16" s="13" t="s">
        <v>11460</v>
      </c>
      <c r="G16" s="8"/>
      <c r="H16" s="8"/>
      <c r="I16" s="29" t="s">
        <v>11460</v>
      </c>
      <c r="J16" s="9"/>
      <c r="K16" s="8"/>
      <c r="L16" s="8"/>
      <c r="M16" s="10"/>
      <c r="N16" s="18"/>
      <c r="O16" s="16"/>
      <c r="P16" s="20"/>
      <c r="Q16" s="16"/>
      <c r="R16" s="20"/>
      <c r="S16" s="20"/>
      <c r="T16" s="17"/>
      <c r="U16" s="17"/>
      <c r="V16" s="17"/>
      <c r="W16" s="18"/>
      <c r="X16" s="17"/>
      <c r="Y16" s="17"/>
      <c r="Z16" s="19"/>
    </row>
    <row r="17" spans="1:26" ht="15" thickBot="1" x14ac:dyDescent="0.25">
      <c r="A17" s="12" t="s">
        <v>11460</v>
      </c>
      <c r="B17" s="11"/>
      <c r="C17" s="13" t="s">
        <v>11460</v>
      </c>
      <c r="D17" s="14" t="s">
        <v>11460</v>
      </c>
      <c r="E17" s="13" t="s">
        <v>11460</v>
      </c>
      <c r="F17" s="13" t="s">
        <v>11460</v>
      </c>
      <c r="G17" s="8"/>
      <c r="H17" s="8"/>
      <c r="I17" s="29" t="s">
        <v>11460</v>
      </c>
      <c r="J17" s="9"/>
      <c r="K17" s="8"/>
      <c r="L17" s="8"/>
      <c r="M17" s="10"/>
      <c r="N17" s="18"/>
      <c r="O17" s="16"/>
      <c r="P17" s="20"/>
      <c r="Q17" s="16"/>
      <c r="R17" s="20"/>
      <c r="S17" s="20"/>
      <c r="T17" s="17"/>
      <c r="U17" s="17"/>
      <c r="V17" s="17"/>
      <c r="W17" s="18"/>
      <c r="X17" s="17"/>
      <c r="Y17" s="17"/>
      <c r="Z17" s="19"/>
    </row>
    <row r="18" spans="1:26" ht="15" thickBot="1" x14ac:dyDescent="0.25">
      <c r="A18" s="12" t="s">
        <v>11460</v>
      </c>
      <c r="B18" s="11"/>
      <c r="C18" s="13" t="s">
        <v>11460</v>
      </c>
      <c r="D18" s="14" t="s">
        <v>11460</v>
      </c>
      <c r="E18" s="13" t="s">
        <v>11460</v>
      </c>
      <c r="F18" s="13" t="s">
        <v>11460</v>
      </c>
      <c r="G18" s="8"/>
      <c r="H18" s="8"/>
      <c r="I18" s="29" t="s">
        <v>11460</v>
      </c>
      <c r="J18" s="9"/>
      <c r="K18" s="8"/>
      <c r="L18" s="8"/>
      <c r="M18" s="10"/>
      <c r="N18" s="18"/>
      <c r="O18" s="16"/>
      <c r="P18" s="20"/>
      <c r="Q18" s="16"/>
      <c r="R18" s="20"/>
      <c r="S18" s="20"/>
      <c r="T18" s="17"/>
      <c r="U18" s="17"/>
      <c r="V18" s="17"/>
      <c r="W18" s="18"/>
      <c r="X18" s="17"/>
      <c r="Y18" s="17"/>
      <c r="Z18" s="19"/>
    </row>
    <row r="19" spans="1:26" ht="15" thickBot="1" x14ac:dyDescent="0.25">
      <c r="A19" s="12" t="s">
        <v>11460</v>
      </c>
      <c r="B19" s="11"/>
      <c r="C19" s="13" t="s">
        <v>11460</v>
      </c>
      <c r="D19" s="14" t="s">
        <v>11460</v>
      </c>
      <c r="E19" s="13" t="s">
        <v>11460</v>
      </c>
      <c r="F19" s="13" t="s">
        <v>11460</v>
      </c>
      <c r="G19" s="8"/>
      <c r="H19" s="8"/>
      <c r="I19" s="29" t="s">
        <v>11460</v>
      </c>
      <c r="J19" s="9"/>
      <c r="K19" s="8"/>
      <c r="L19" s="8"/>
      <c r="M19" s="10"/>
      <c r="N19" s="18"/>
      <c r="O19" s="16"/>
      <c r="P19" s="20"/>
      <c r="Q19" s="16"/>
      <c r="R19" s="20"/>
      <c r="S19" s="20"/>
      <c r="T19" s="17"/>
      <c r="U19" s="17"/>
      <c r="V19" s="17"/>
      <c r="W19" s="18"/>
      <c r="X19" s="17"/>
      <c r="Y19" s="17"/>
      <c r="Z19" s="19"/>
    </row>
    <row r="20" spans="1:26" ht="15" thickBot="1" x14ac:dyDescent="0.25">
      <c r="A20" s="12" t="s">
        <v>11460</v>
      </c>
      <c r="B20" s="11"/>
      <c r="C20" s="13" t="s">
        <v>11460</v>
      </c>
      <c r="D20" s="14" t="s">
        <v>11460</v>
      </c>
      <c r="E20" s="13" t="s">
        <v>11460</v>
      </c>
      <c r="F20" s="13" t="s">
        <v>11460</v>
      </c>
      <c r="G20" s="8"/>
      <c r="H20" s="8"/>
      <c r="I20" s="29" t="s">
        <v>11460</v>
      </c>
      <c r="J20" s="9"/>
      <c r="K20" s="8"/>
      <c r="L20" s="8"/>
      <c r="M20" s="10"/>
      <c r="N20" s="16"/>
      <c r="O20" s="16"/>
      <c r="P20" s="21"/>
      <c r="Q20" s="16"/>
      <c r="R20" s="16"/>
      <c r="S20" s="16"/>
      <c r="T20" s="16"/>
      <c r="U20" s="21"/>
      <c r="V20" s="21"/>
      <c r="W20" s="21"/>
      <c r="X20" s="21"/>
      <c r="Y20" s="16"/>
      <c r="Z20" s="21"/>
    </row>
    <row r="21" spans="1:26" ht="14.25" x14ac:dyDescent="0.2">
      <c r="A21" s="18"/>
      <c r="B21" s="16"/>
      <c r="C21" s="20"/>
      <c r="D21" s="16"/>
      <c r="E21" s="20"/>
      <c r="F21" s="20"/>
      <c r="G21" s="17"/>
      <c r="H21" s="17"/>
      <c r="I21" s="17"/>
      <c r="J21" s="18"/>
      <c r="K21" s="17"/>
      <c r="L21" s="17"/>
      <c r="M21" s="19"/>
    </row>
    <row r="22" spans="1:26" ht="14.25" x14ac:dyDescent="0.2">
      <c r="A22" s="18"/>
      <c r="B22" s="16"/>
      <c r="C22" s="20"/>
      <c r="D22" s="16"/>
      <c r="E22" s="20"/>
      <c r="F22" s="20"/>
      <c r="G22" s="17"/>
      <c r="H22" s="17"/>
      <c r="I22" s="17"/>
      <c r="J22" s="18"/>
      <c r="K22" s="17"/>
      <c r="L22" s="17"/>
      <c r="M22" s="19"/>
    </row>
    <row r="23" spans="1:26" ht="14.25" x14ac:dyDescent="0.2">
      <c r="A23" s="18"/>
      <c r="B23" s="16"/>
      <c r="C23" s="20"/>
      <c r="D23" s="16"/>
      <c r="E23" s="20"/>
      <c r="F23" s="20"/>
      <c r="G23" s="17"/>
      <c r="H23" s="17"/>
      <c r="I23" s="17"/>
      <c r="J23" s="18"/>
      <c r="K23" s="17"/>
      <c r="L23" s="17"/>
      <c r="M23" s="19"/>
    </row>
    <row r="24" spans="1:26" ht="14.25" x14ac:dyDescent="0.2">
      <c r="A24" s="18"/>
      <c r="B24" s="16"/>
      <c r="C24" s="20"/>
      <c r="D24" s="16"/>
      <c r="E24" s="20"/>
      <c r="F24" s="20"/>
      <c r="G24" s="17"/>
      <c r="H24" s="17"/>
      <c r="I24" s="17"/>
      <c r="J24" s="18"/>
      <c r="K24" s="17"/>
      <c r="L24" s="17"/>
      <c r="M24" s="19"/>
    </row>
    <row r="25" spans="1:26" ht="14.25" x14ac:dyDescent="0.2">
      <c r="A25" s="18"/>
      <c r="B25" s="16"/>
      <c r="C25" s="20"/>
      <c r="D25" s="16"/>
      <c r="E25" s="20"/>
      <c r="F25" s="20"/>
      <c r="G25" s="17"/>
      <c r="H25" s="17"/>
      <c r="I25" s="17"/>
      <c r="J25" s="18"/>
      <c r="K25" s="17"/>
      <c r="L25" s="17"/>
      <c r="M25" s="19"/>
    </row>
    <row r="26" spans="1:26" x14ac:dyDescent="0.2">
      <c r="A26" s="16"/>
      <c r="B26" s="16"/>
      <c r="C26" s="21"/>
      <c r="D26" s="16"/>
      <c r="E26" s="16"/>
      <c r="F26" s="16"/>
      <c r="G26" s="16"/>
      <c r="H26" s="21"/>
      <c r="I26" s="21"/>
      <c r="J26" s="21"/>
      <c r="K26" s="21"/>
      <c r="L26" s="16"/>
    </row>
    <row r="27" spans="1:26" x14ac:dyDescent="0.2">
      <c r="A27" s="16"/>
      <c r="B27" s="16"/>
      <c r="C27" s="21"/>
      <c r="D27" s="16"/>
      <c r="E27" s="16"/>
      <c r="F27" s="16"/>
      <c r="G27" s="16"/>
      <c r="H27" s="21"/>
      <c r="I27" s="21"/>
      <c r="J27" s="21"/>
      <c r="K27" s="21"/>
      <c r="L27" s="16"/>
    </row>
    <row r="28" spans="1:26" x14ac:dyDescent="0.2">
      <c r="A28" s="16"/>
      <c r="B28" s="16"/>
      <c r="C28" s="21"/>
      <c r="D28" s="21"/>
      <c r="E28" s="21"/>
      <c r="F28" s="21"/>
      <c r="G28" s="16"/>
      <c r="H28" s="21"/>
      <c r="I28" s="21"/>
      <c r="J28" s="21"/>
      <c r="K28" s="21"/>
      <c r="L28" s="16"/>
    </row>
    <row r="29" spans="1:26" x14ac:dyDescent="0.2">
      <c r="A29" s="16"/>
      <c r="B29" s="16"/>
      <c r="C29" s="21"/>
      <c r="D29" s="16"/>
      <c r="E29" s="16"/>
      <c r="F29" s="16"/>
      <c r="G29" s="16"/>
      <c r="H29" s="21"/>
      <c r="I29" s="21"/>
      <c r="J29" s="21"/>
      <c r="K29" s="21"/>
      <c r="L29" s="16"/>
    </row>
    <row r="30" spans="1:26" x14ac:dyDescent="0.2">
      <c r="A30" s="16"/>
      <c r="B30" s="16"/>
      <c r="C30" s="21"/>
      <c r="D30" s="16"/>
      <c r="E30" s="16"/>
      <c r="F30" s="16"/>
      <c r="G30" s="16"/>
      <c r="H30" s="21"/>
      <c r="I30" s="21"/>
      <c r="J30" s="21"/>
      <c r="K30" s="21"/>
      <c r="L30" s="16"/>
    </row>
    <row r="31" spans="1:26" x14ac:dyDescent="0.2">
      <c r="A31" s="19"/>
      <c r="B31" s="16"/>
      <c r="C31" s="21"/>
      <c r="D31" s="16"/>
      <c r="E31" s="16"/>
      <c r="F31" s="16"/>
      <c r="G31" s="16"/>
      <c r="H31" s="21"/>
      <c r="I31" s="21"/>
      <c r="J31" s="21"/>
      <c r="K31" s="21"/>
      <c r="L31" s="16"/>
    </row>
    <row r="32" spans="1:26" x14ac:dyDescent="0.2">
      <c r="A32" s="19"/>
      <c r="B32" s="16"/>
      <c r="C32" s="21"/>
      <c r="D32" s="16"/>
      <c r="E32" s="16"/>
      <c r="F32" s="16"/>
      <c r="G32" s="16"/>
      <c r="H32" s="21"/>
      <c r="I32" s="21"/>
      <c r="J32" s="21"/>
      <c r="K32" s="21"/>
      <c r="L32" s="16"/>
    </row>
    <row r="33" spans="1:12" ht="14.25" x14ac:dyDescent="0.2">
      <c r="A33" s="18"/>
      <c r="B33" s="20"/>
      <c r="C33" s="20"/>
      <c r="D33" s="20"/>
      <c r="E33" s="20"/>
      <c r="F33" s="20"/>
      <c r="G33" s="23"/>
      <c r="H33" s="23"/>
      <c r="I33" s="23"/>
      <c r="J33" s="18"/>
      <c r="K33" s="23"/>
      <c r="L33" s="23"/>
    </row>
    <row r="34" spans="1:12" x14ac:dyDescent="0.2">
      <c r="A34" s="24"/>
    </row>
  </sheetData>
  <dataValidations count="52">
    <dataValidation type="list" allowBlank="1" showInputMessage="1" showErrorMessage="1" sqref="L33">
      <formula1>#REF!</formula1>
    </dataValidation>
    <dataValidation type="list" allowBlank="1" showInputMessage="1" showErrorMessage="1" sqref="K33">
      <formula1>$H$1:$H$1</formula1>
    </dataValidation>
    <dataValidation type="list" allowBlank="1" showInputMessage="1" showErrorMessage="1" sqref="L27">
      <formula1>$P$34:$P$37</formula1>
    </dataValidation>
    <dataValidation type="list" allowBlank="1" showInputMessage="1" showErrorMessage="1" sqref="K27">
      <formula1>$O$34:$O$38</formula1>
    </dataValidation>
    <dataValidation type="list" allowBlank="1" showInputMessage="1" showErrorMessage="1" sqref="L26">
      <formula1>$P$33:$P$36</formula1>
    </dataValidation>
    <dataValidation type="list" allowBlank="1" showInputMessage="1" showErrorMessage="1" sqref="K26">
      <formula1>$O$33:$O$37</formula1>
    </dataValidation>
    <dataValidation type="list" allowBlank="1" showInputMessage="1" showErrorMessage="1" sqref="L25">
      <formula1>$P$31:$P$37</formula1>
    </dataValidation>
    <dataValidation type="list" allowBlank="1" showInputMessage="1" showErrorMessage="1" sqref="K25">
      <formula1>$O$31:$O$42</formula1>
    </dataValidation>
    <dataValidation type="list" allowBlank="1" showInputMessage="1" showErrorMessage="1" sqref="L24">
      <formula1>$P$30:$P$36</formula1>
    </dataValidation>
    <dataValidation type="list" allowBlank="1" showInputMessage="1" showErrorMessage="1" sqref="K24">
      <formula1>$O$30:$O$41</formula1>
    </dataValidation>
    <dataValidation type="list" allowBlank="1" showInputMessage="1" showErrorMessage="1" sqref="L21 L23">
      <formula1>$P$29:$P$35</formula1>
    </dataValidation>
    <dataValidation type="list" allowBlank="1" showInputMessage="1" showErrorMessage="1" sqref="K21 K23">
      <formula1>$O$29:$O$40</formula1>
    </dataValidation>
    <dataValidation type="list" allowBlank="1" showInputMessage="1" showErrorMessage="1" sqref="L22">
      <formula1>$P$28:$P$34</formula1>
    </dataValidation>
    <dataValidation type="list" allowBlank="1" showInputMessage="1" showErrorMessage="1" sqref="K22">
      <formula1>$O$28:$O$39</formula1>
    </dataValidation>
    <dataValidation type="list" allowBlank="1" showInputMessage="1" showErrorMessage="1" sqref="Y19">
      <formula1>$P$26:$P$32</formula1>
    </dataValidation>
    <dataValidation type="list" allowBlank="1" showInputMessage="1" showErrorMessage="1" sqref="X19">
      <formula1>$O$26:$O$37</formula1>
    </dataValidation>
    <dataValidation type="list" allowBlank="1" showInputMessage="1" showErrorMessage="1" sqref="Y18">
      <formula1>$P$25:$P$31</formula1>
    </dataValidation>
    <dataValidation type="list" allowBlank="1" showInputMessage="1" showErrorMessage="1" sqref="X18">
      <formula1>$O$25:$O$36</formula1>
    </dataValidation>
    <dataValidation type="list" allowBlank="1" showInputMessage="1" showErrorMessage="1" sqref="Y17">
      <formula1>$P$24:$P$30</formula1>
    </dataValidation>
    <dataValidation type="list" allowBlank="1" showInputMessage="1" showErrorMessage="1" sqref="X17">
      <formula1>$O$24:$O$35</formula1>
    </dataValidation>
    <dataValidation type="list" allowBlank="1" showInputMessage="1" showErrorMessage="1" sqref="Y16">
      <formula1>$P$23:$P$29</formula1>
    </dataValidation>
    <dataValidation type="list" allowBlank="1" showInputMessage="1" showErrorMessage="1" sqref="X16">
      <formula1>$O$23:$O$34</formula1>
    </dataValidation>
    <dataValidation type="list" allowBlank="1" showInputMessage="1" showErrorMessage="1" sqref="Y15">
      <formula1>$P$22:$P$28</formula1>
    </dataValidation>
    <dataValidation type="list" allowBlank="1" showInputMessage="1" showErrorMessage="1" sqref="X15">
      <formula1>$O$22:$O$33</formula1>
    </dataValidation>
    <dataValidation type="list" allowBlank="1" showInputMessage="1" showErrorMessage="1" sqref="Y14">
      <formula1>$P$21:$P$27</formula1>
    </dataValidation>
    <dataValidation type="list" allowBlank="1" showInputMessage="1" showErrorMessage="1" sqref="X14">
      <formula1>$O$21:$O$32</formula1>
    </dataValidation>
    <dataValidation type="list" allowBlank="1" showInputMessage="1" showErrorMessage="1" sqref="Y13">
      <formula1>$P$20:$P$26</formula1>
    </dataValidation>
    <dataValidation type="list" allowBlank="1" showInputMessage="1" showErrorMessage="1" sqref="X13">
      <formula1>$O$20:$O$31</formula1>
    </dataValidation>
    <dataValidation type="list" allowBlank="1" showInputMessage="1" showErrorMessage="1" sqref="Y12">
      <formula1>$P$19:$P$25</formula1>
    </dataValidation>
    <dataValidation type="list" allowBlank="1" showInputMessage="1" showErrorMessage="1" sqref="X12">
      <formula1>$O$19:$O$30</formula1>
    </dataValidation>
    <dataValidation type="list" allowBlank="1" showInputMessage="1" showErrorMessage="1" sqref="Y11">
      <formula1>$P$18:$P$24</formula1>
    </dataValidation>
    <dataValidation type="list" allowBlank="1" showInputMessage="1" showErrorMessage="1" sqref="X11">
      <formula1>$O$18:$O$29</formula1>
    </dataValidation>
    <dataValidation type="list" allowBlank="1" showInputMessage="1" showErrorMessage="1" sqref="Y10">
      <formula1>$P$17:$P$23</formula1>
    </dataValidation>
    <dataValidation type="list" allowBlank="1" showInputMessage="1" showErrorMessage="1" sqref="X10">
      <formula1>$O$17:$O$28</formula1>
    </dataValidation>
    <dataValidation type="list" allowBlank="1" showInputMessage="1" showErrorMessage="1" sqref="Y9">
      <formula1>$P$16:$P$22</formula1>
    </dataValidation>
    <dataValidation type="list" allowBlank="1" showInputMessage="1" showErrorMessage="1" sqref="X9">
      <formula1>$O$16:$O$27</formula1>
    </dataValidation>
    <dataValidation type="list" allowBlank="1" showInputMessage="1" showErrorMessage="1" sqref="Y8">
      <formula1>$P$15:$P$21</formula1>
    </dataValidation>
    <dataValidation type="list" allowBlank="1" showInputMessage="1" showErrorMessage="1" sqref="X8">
      <formula1>$O$15:$O$26</formula1>
    </dataValidation>
    <dataValidation type="list" allowBlank="1" showInputMessage="1" showErrorMessage="1" sqref="Y7">
      <formula1>$AC$14:$AC$20</formula1>
    </dataValidation>
    <dataValidation type="list" allowBlank="1" showInputMessage="1" showErrorMessage="1" sqref="X7">
      <formula1>$O$14:$O$25</formula1>
    </dataValidation>
    <dataValidation type="list" allowBlank="1" showInputMessage="1" showErrorMessage="1" sqref="Y6">
      <formula1>$AC$13:$AC$19</formula1>
    </dataValidation>
    <dataValidation type="list" allowBlank="1" showInputMessage="1" showErrorMessage="1" sqref="X6">
      <formula1>$O$13:$O$24</formula1>
    </dataValidation>
    <dataValidation type="list" allowBlank="1" showInputMessage="1" showErrorMessage="1" sqref="Y5">
      <formula1>$AC$12:$AC$18</formula1>
    </dataValidation>
    <dataValidation type="list" allowBlank="1" showInputMessage="1" showErrorMessage="1" sqref="X5">
      <formula1>$O$12:$O$23</formula1>
    </dataValidation>
    <dataValidation type="list" allowBlank="1" showInputMessage="1" showErrorMessage="1" sqref="Y4">
      <formula1>$AC$11:$AC$17</formula1>
    </dataValidation>
    <dataValidation type="list" allowBlank="1" showInputMessage="1" showErrorMessage="1" sqref="X4">
      <formula1>$O$11:$O$22</formula1>
    </dataValidation>
    <dataValidation type="list" allowBlank="1" showInputMessage="1" showErrorMessage="1" sqref="Y3">
      <formula1>$AC$10:$AC$16</formula1>
    </dataValidation>
    <dataValidation type="list" allowBlank="1" showInputMessage="1" showErrorMessage="1" sqref="X3">
      <formula1>$O$10:$O$21</formula1>
    </dataValidation>
    <dataValidation type="list" allowBlank="1" showInputMessage="1" showErrorMessage="1" sqref="Y2">
      <formula1>$AC$9:$AC$15</formula1>
    </dataValidation>
    <dataValidation type="list" allowBlank="1" showInputMessage="1" showErrorMessage="1" sqref="X2">
      <formula1>$AB$9:$AB$20</formula1>
    </dataValidation>
    <dataValidation type="list" allowBlank="1" showInputMessage="1" showErrorMessage="1" sqref="L2:L20">
      <formula1>$P$10:$P$19</formula1>
    </dataValidation>
    <dataValidation type="list" allowBlank="1" showInputMessage="1" showErrorMessage="1" sqref="K2:K20">
      <formula1>$O$10:$O$23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2D050"/>
  </sheetPr>
  <dimension ref="A1:N3182"/>
  <sheetViews>
    <sheetView tabSelected="1" topLeftCell="P1" workbookViewId="0">
      <selection activeCell="Z30" sqref="Z30"/>
    </sheetView>
  </sheetViews>
  <sheetFormatPr baseColWidth="10" defaultRowHeight="12.75" x14ac:dyDescent="0.2"/>
  <cols>
    <col min="1" max="2" width="0" hidden="1" customWidth="1"/>
    <col min="3" max="3" width="14.7109375" hidden="1" customWidth="1"/>
    <col min="4" max="15" width="0" hidden="1" customWidth="1"/>
  </cols>
  <sheetData>
    <row r="1" spans="1:14" x14ac:dyDescent="0.2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</row>
    <row r="2" spans="1:14" x14ac:dyDescent="0.2"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t="s">
        <v>20</v>
      </c>
      <c r="J2" t="s">
        <v>19</v>
      </c>
      <c r="K2" t="s">
        <v>20</v>
      </c>
      <c r="L2" t="s">
        <v>16</v>
      </c>
      <c r="M2" t="s">
        <v>16</v>
      </c>
      <c r="N2" t="s">
        <v>21</v>
      </c>
    </row>
    <row r="3" spans="1:14" x14ac:dyDescent="0.2">
      <c r="A3" s="3">
        <f>(B3-RIGHT(B3,4))/10000</f>
        <v>1</v>
      </c>
      <c r="B3" t="str">
        <f>"00000010006"</f>
        <v>00000010006</v>
      </c>
      <c r="C3" t="s">
        <v>22</v>
      </c>
      <c r="D3" t="s">
        <v>23</v>
      </c>
      <c r="E3">
        <v>62</v>
      </c>
      <c r="F3">
        <v>3796</v>
      </c>
      <c r="G3" t="s">
        <v>24</v>
      </c>
      <c r="H3">
        <v>6</v>
      </c>
      <c r="I3" t="s">
        <v>25</v>
      </c>
      <c r="J3">
        <v>4</v>
      </c>
      <c r="K3" t="s">
        <v>25</v>
      </c>
      <c r="L3">
        <v>8</v>
      </c>
      <c r="M3">
        <v>95150</v>
      </c>
      <c r="N3">
        <v>2</v>
      </c>
    </row>
    <row r="4" spans="1:14" x14ac:dyDescent="0.2">
      <c r="A4" s="3">
        <f t="shared" ref="A4:A67" si="0">(B4-RIGHT(B4,4))/10000</f>
        <v>2</v>
      </c>
      <c r="B4" t="str">
        <f>"00000020006"</f>
        <v>00000020006</v>
      </c>
      <c r="C4" t="s">
        <v>26</v>
      </c>
      <c r="D4" t="s">
        <v>23</v>
      </c>
      <c r="E4">
        <v>62</v>
      </c>
      <c r="F4">
        <v>3796</v>
      </c>
      <c r="G4" t="s">
        <v>24</v>
      </c>
      <c r="H4">
        <v>18</v>
      </c>
      <c r="I4" t="s">
        <v>25</v>
      </c>
      <c r="J4">
        <v>14</v>
      </c>
      <c r="K4" t="s">
        <v>25</v>
      </c>
      <c r="L4">
        <v>8</v>
      </c>
      <c r="M4">
        <v>95030</v>
      </c>
      <c r="N4">
        <v>4</v>
      </c>
    </row>
    <row r="5" spans="1:14" x14ac:dyDescent="0.2">
      <c r="A5" s="3">
        <f t="shared" si="0"/>
        <v>3</v>
      </c>
      <c r="B5" t="str">
        <f>"00000030006"</f>
        <v>00000030006</v>
      </c>
      <c r="C5" t="s">
        <v>27</v>
      </c>
      <c r="D5" t="s">
        <v>23</v>
      </c>
      <c r="E5">
        <v>62</v>
      </c>
      <c r="F5">
        <v>3796</v>
      </c>
      <c r="G5" t="s">
        <v>24</v>
      </c>
      <c r="H5">
        <v>18</v>
      </c>
      <c r="I5" t="s">
        <v>25</v>
      </c>
      <c r="J5">
        <v>14</v>
      </c>
      <c r="K5" t="s">
        <v>25</v>
      </c>
      <c r="L5">
        <v>8</v>
      </c>
      <c r="M5">
        <v>95005</v>
      </c>
      <c r="N5">
        <v>4</v>
      </c>
    </row>
    <row r="6" spans="1:14" x14ac:dyDescent="0.2">
      <c r="A6" s="3">
        <f t="shared" si="0"/>
        <v>47</v>
      </c>
      <c r="B6" t="str">
        <f>"00000470006"</f>
        <v>00000470006</v>
      </c>
      <c r="C6" t="s">
        <v>28</v>
      </c>
      <c r="D6" t="s">
        <v>23</v>
      </c>
      <c r="E6">
        <v>62</v>
      </c>
      <c r="F6">
        <v>3796</v>
      </c>
      <c r="G6" t="s">
        <v>24</v>
      </c>
      <c r="H6">
        <v>9</v>
      </c>
      <c r="I6" t="s">
        <v>25</v>
      </c>
      <c r="J6">
        <v>7</v>
      </c>
      <c r="K6" t="s">
        <v>25</v>
      </c>
      <c r="L6">
        <v>8</v>
      </c>
      <c r="M6">
        <v>95203</v>
      </c>
      <c r="N6">
        <v>32</v>
      </c>
    </row>
    <row r="7" spans="1:14" x14ac:dyDescent="0.2">
      <c r="A7" s="3">
        <f t="shared" si="0"/>
        <v>70</v>
      </c>
      <c r="B7" t="str">
        <f>"00000700006"</f>
        <v>00000700006</v>
      </c>
      <c r="C7" t="s">
        <v>29</v>
      </c>
      <c r="D7" t="s">
        <v>23</v>
      </c>
      <c r="E7">
        <v>62</v>
      </c>
      <c r="F7">
        <v>3796</v>
      </c>
      <c r="G7" t="s">
        <v>24</v>
      </c>
      <c r="H7">
        <v>9</v>
      </c>
      <c r="I7" t="s">
        <v>25</v>
      </c>
      <c r="J7">
        <v>7</v>
      </c>
      <c r="K7" t="s">
        <v>25</v>
      </c>
      <c r="L7">
        <v>8</v>
      </c>
      <c r="M7">
        <v>95146</v>
      </c>
      <c r="N7">
        <v>2</v>
      </c>
    </row>
    <row r="8" spans="1:14" x14ac:dyDescent="0.2">
      <c r="A8" s="3">
        <f t="shared" si="0"/>
        <v>71</v>
      </c>
      <c r="B8" t="str">
        <f>"00000710006"</f>
        <v>00000710006</v>
      </c>
      <c r="C8" t="s">
        <v>30</v>
      </c>
      <c r="D8" t="s">
        <v>23</v>
      </c>
      <c r="E8">
        <v>62</v>
      </c>
      <c r="F8">
        <v>3796</v>
      </c>
      <c r="G8" t="s">
        <v>24</v>
      </c>
      <c r="H8">
        <v>9</v>
      </c>
      <c r="I8" t="s">
        <v>25</v>
      </c>
      <c r="J8">
        <v>7</v>
      </c>
      <c r="K8" t="s">
        <v>25</v>
      </c>
      <c r="L8">
        <v>8</v>
      </c>
      <c r="M8">
        <v>71147</v>
      </c>
      <c r="N8">
        <v>2</v>
      </c>
    </row>
    <row r="9" spans="1:14" x14ac:dyDescent="0.2">
      <c r="A9" s="3">
        <f t="shared" si="0"/>
        <v>228</v>
      </c>
      <c r="B9" t="str">
        <f>"00002280014"</f>
        <v>00002280014</v>
      </c>
      <c r="C9" t="s">
        <v>31</v>
      </c>
      <c r="D9" t="s">
        <v>32</v>
      </c>
      <c r="E9">
        <v>30</v>
      </c>
      <c r="F9">
        <v>2182</v>
      </c>
      <c r="G9" t="s">
        <v>33</v>
      </c>
      <c r="H9">
        <v>23</v>
      </c>
      <c r="I9" t="s">
        <v>34</v>
      </c>
      <c r="J9">
        <v>17</v>
      </c>
      <c r="K9" t="s">
        <v>34</v>
      </c>
      <c r="L9">
        <v>8</v>
      </c>
      <c r="M9">
        <v>82245</v>
      </c>
      <c r="N9">
        <v>6</v>
      </c>
    </row>
    <row r="10" spans="1:14" x14ac:dyDescent="0.2">
      <c r="A10" s="3">
        <f t="shared" si="0"/>
        <v>236</v>
      </c>
      <c r="B10" t="str">
        <f>"00002360048"</f>
        <v>00002360048</v>
      </c>
      <c r="C10" t="s">
        <v>35</v>
      </c>
      <c r="D10" t="s">
        <v>36</v>
      </c>
      <c r="E10">
        <v>81</v>
      </c>
      <c r="F10">
        <v>389</v>
      </c>
      <c r="G10" t="s">
        <v>37</v>
      </c>
      <c r="H10">
        <v>6</v>
      </c>
      <c r="I10" t="s">
        <v>25</v>
      </c>
      <c r="J10">
        <v>4</v>
      </c>
      <c r="K10" t="s">
        <v>25</v>
      </c>
      <c r="L10">
        <v>8</v>
      </c>
      <c r="M10">
        <v>69126</v>
      </c>
      <c r="N10">
        <v>2</v>
      </c>
    </row>
    <row r="11" spans="1:14" x14ac:dyDescent="0.2">
      <c r="A11" s="3">
        <f t="shared" si="0"/>
        <v>240</v>
      </c>
      <c r="B11" t="str">
        <f>"00002400040"</f>
        <v>00002400040</v>
      </c>
      <c r="C11" t="s">
        <v>38</v>
      </c>
      <c r="D11" t="s">
        <v>36</v>
      </c>
      <c r="E11">
        <v>81</v>
      </c>
      <c r="F11">
        <v>389</v>
      </c>
      <c r="G11" t="s">
        <v>37</v>
      </c>
      <c r="H11">
        <v>9</v>
      </c>
      <c r="I11" t="s">
        <v>25</v>
      </c>
      <c r="J11">
        <v>7</v>
      </c>
      <c r="K11" t="s">
        <v>25</v>
      </c>
      <c r="L11">
        <v>9</v>
      </c>
      <c r="M11">
        <v>69085</v>
      </c>
      <c r="N11">
        <v>2</v>
      </c>
    </row>
    <row r="12" spans="1:14" x14ac:dyDescent="0.2">
      <c r="A12" s="3">
        <f t="shared" si="0"/>
        <v>242</v>
      </c>
      <c r="B12" t="str">
        <f>"00002420008"</f>
        <v>00002420008</v>
      </c>
      <c r="C12" t="s">
        <v>39</v>
      </c>
      <c r="D12" t="s">
        <v>32</v>
      </c>
      <c r="E12">
        <v>33</v>
      </c>
      <c r="F12">
        <v>3108</v>
      </c>
      <c r="G12" t="s">
        <v>40</v>
      </c>
      <c r="H12">
        <v>23</v>
      </c>
      <c r="I12" t="s">
        <v>34</v>
      </c>
      <c r="J12">
        <v>17</v>
      </c>
      <c r="K12" t="s">
        <v>34</v>
      </c>
      <c r="L12">
        <v>8</v>
      </c>
      <c r="M12">
        <v>84069</v>
      </c>
      <c r="N12">
        <v>6</v>
      </c>
    </row>
    <row r="13" spans="1:14" x14ac:dyDescent="0.2">
      <c r="A13" s="3">
        <f t="shared" si="0"/>
        <v>259</v>
      </c>
      <c r="B13" t="str">
        <f>"00002590032"</f>
        <v>00002590032</v>
      </c>
      <c r="C13" t="s">
        <v>41</v>
      </c>
      <c r="D13" t="s">
        <v>42</v>
      </c>
      <c r="E13">
        <v>71</v>
      </c>
      <c r="F13">
        <v>8049</v>
      </c>
      <c r="G13" t="s">
        <v>43</v>
      </c>
      <c r="H13" t="s">
        <v>44</v>
      </c>
      <c r="I13" t="s">
        <v>45</v>
      </c>
      <c r="J13" t="s">
        <v>44</v>
      </c>
      <c r="K13" t="s">
        <v>45</v>
      </c>
      <c r="L13">
        <v>8</v>
      </c>
      <c r="M13">
        <v>73008</v>
      </c>
      <c r="N13" t="s">
        <v>46</v>
      </c>
    </row>
    <row r="14" spans="1:14" x14ac:dyDescent="0.2">
      <c r="A14" s="3">
        <f t="shared" si="0"/>
        <v>270</v>
      </c>
      <c r="B14" t="str">
        <f>"00002700008"</f>
        <v>00002700008</v>
      </c>
      <c r="C14" t="s">
        <v>47</v>
      </c>
      <c r="D14" t="s">
        <v>48</v>
      </c>
      <c r="E14">
        <v>33</v>
      </c>
      <c r="F14">
        <v>4359</v>
      </c>
      <c r="G14" t="s">
        <v>49</v>
      </c>
      <c r="H14">
        <v>20</v>
      </c>
      <c r="I14" t="s">
        <v>34</v>
      </c>
      <c r="J14">
        <v>14</v>
      </c>
      <c r="K14" t="s">
        <v>34</v>
      </c>
      <c r="L14">
        <v>8</v>
      </c>
      <c r="M14">
        <v>84162</v>
      </c>
      <c r="N14">
        <v>6</v>
      </c>
    </row>
    <row r="15" spans="1:14" x14ac:dyDescent="0.2">
      <c r="A15" s="3">
        <f t="shared" si="0"/>
        <v>271</v>
      </c>
      <c r="B15" t="str">
        <f>"00002710008"</f>
        <v>00002710008</v>
      </c>
      <c r="C15" t="s">
        <v>50</v>
      </c>
      <c r="D15" t="s">
        <v>48</v>
      </c>
      <c r="E15">
        <v>33</v>
      </c>
      <c r="F15">
        <v>4359</v>
      </c>
      <c r="G15" t="s">
        <v>49</v>
      </c>
      <c r="H15">
        <v>21</v>
      </c>
      <c r="I15" t="s">
        <v>34</v>
      </c>
      <c r="J15">
        <v>15</v>
      </c>
      <c r="K15" t="s">
        <v>34</v>
      </c>
      <c r="L15">
        <v>8</v>
      </c>
      <c r="M15">
        <v>84193</v>
      </c>
      <c r="N15">
        <v>6</v>
      </c>
    </row>
    <row r="16" spans="1:14" x14ac:dyDescent="0.2">
      <c r="A16" s="3">
        <f t="shared" si="0"/>
        <v>282</v>
      </c>
      <c r="B16" t="str">
        <f>"00002820228"</f>
        <v>00002820228</v>
      </c>
      <c r="C16" t="s">
        <v>51</v>
      </c>
      <c r="D16" t="s">
        <v>52</v>
      </c>
      <c r="E16">
        <v>70</v>
      </c>
      <c r="F16">
        <v>534</v>
      </c>
      <c r="G16" t="s">
        <v>53</v>
      </c>
      <c r="H16">
        <v>75</v>
      </c>
      <c r="I16" t="s">
        <v>34</v>
      </c>
      <c r="J16">
        <v>59</v>
      </c>
      <c r="K16" t="s">
        <v>34</v>
      </c>
      <c r="L16">
        <v>6</v>
      </c>
      <c r="M16">
        <v>52640</v>
      </c>
      <c r="N16">
        <v>16</v>
      </c>
    </row>
    <row r="17" spans="1:14" x14ac:dyDescent="0.2">
      <c r="A17" s="3">
        <f t="shared" si="0"/>
        <v>284</v>
      </c>
      <c r="B17" t="str">
        <f>"00002840003"</f>
        <v>00002840003</v>
      </c>
      <c r="C17" t="s">
        <v>54</v>
      </c>
      <c r="D17" t="s">
        <v>42</v>
      </c>
      <c r="E17">
        <v>84</v>
      </c>
      <c r="F17">
        <v>4678</v>
      </c>
      <c r="G17" t="s">
        <v>55</v>
      </c>
      <c r="H17" t="s">
        <v>44</v>
      </c>
      <c r="I17" t="s">
        <v>45</v>
      </c>
      <c r="J17" t="s">
        <v>44</v>
      </c>
      <c r="K17" t="s">
        <v>45</v>
      </c>
      <c r="L17">
        <v>8</v>
      </c>
      <c r="M17">
        <v>70034</v>
      </c>
      <c r="N17" t="s">
        <v>46</v>
      </c>
    </row>
    <row r="18" spans="1:14" x14ac:dyDescent="0.2">
      <c r="A18" s="3">
        <f t="shared" si="0"/>
        <v>285</v>
      </c>
      <c r="B18" t="str">
        <f>"00002850003"</f>
        <v>00002850003</v>
      </c>
      <c r="C18" t="s">
        <v>56</v>
      </c>
      <c r="D18" t="s">
        <v>42</v>
      </c>
      <c r="E18">
        <v>84</v>
      </c>
      <c r="F18">
        <v>4678</v>
      </c>
      <c r="G18" t="s">
        <v>55</v>
      </c>
      <c r="H18" t="s">
        <v>44</v>
      </c>
      <c r="I18" t="s">
        <v>45</v>
      </c>
      <c r="J18" t="s">
        <v>44</v>
      </c>
      <c r="K18" t="s">
        <v>45</v>
      </c>
      <c r="L18">
        <v>8</v>
      </c>
      <c r="M18">
        <v>70038</v>
      </c>
      <c r="N18" t="s">
        <v>46</v>
      </c>
    </row>
    <row r="19" spans="1:14" x14ac:dyDescent="0.2">
      <c r="A19" s="3">
        <f t="shared" si="0"/>
        <v>286</v>
      </c>
      <c r="B19" t="str">
        <f>"00002860003"</f>
        <v>00002860003</v>
      </c>
      <c r="C19" t="s">
        <v>57</v>
      </c>
      <c r="D19" t="s">
        <v>42</v>
      </c>
      <c r="E19">
        <v>84</v>
      </c>
      <c r="F19">
        <v>4678</v>
      </c>
      <c r="G19" t="s">
        <v>55</v>
      </c>
      <c r="H19" t="s">
        <v>44</v>
      </c>
      <c r="I19" t="s">
        <v>45</v>
      </c>
      <c r="J19" t="s">
        <v>44</v>
      </c>
      <c r="K19" t="s">
        <v>45</v>
      </c>
      <c r="L19">
        <v>8</v>
      </c>
      <c r="M19">
        <v>70027</v>
      </c>
      <c r="N19" t="s">
        <v>46</v>
      </c>
    </row>
    <row r="20" spans="1:14" x14ac:dyDescent="0.2">
      <c r="A20" s="3">
        <f t="shared" si="0"/>
        <v>287</v>
      </c>
      <c r="B20" t="str">
        <f>"00002870003"</f>
        <v>00002870003</v>
      </c>
      <c r="C20" t="s">
        <v>58</v>
      </c>
      <c r="D20" t="s">
        <v>42</v>
      </c>
      <c r="E20">
        <v>84</v>
      </c>
      <c r="F20">
        <v>4678</v>
      </c>
      <c r="G20" t="s">
        <v>55</v>
      </c>
      <c r="H20" t="s">
        <v>44</v>
      </c>
      <c r="I20" t="s">
        <v>45</v>
      </c>
      <c r="J20" t="s">
        <v>44</v>
      </c>
      <c r="K20" t="s">
        <v>45</v>
      </c>
      <c r="L20">
        <v>8</v>
      </c>
      <c r="M20">
        <v>70030</v>
      </c>
      <c r="N20" t="s">
        <v>46</v>
      </c>
    </row>
    <row r="21" spans="1:14" x14ac:dyDescent="0.2">
      <c r="A21" s="3">
        <f t="shared" si="0"/>
        <v>291</v>
      </c>
      <c r="B21" t="str">
        <f>"00002910009"</f>
        <v>00002910009</v>
      </c>
      <c r="C21" t="s">
        <v>59</v>
      </c>
      <c r="D21" t="s">
        <v>42</v>
      </c>
      <c r="E21">
        <v>44</v>
      </c>
      <c r="F21">
        <v>6916</v>
      </c>
      <c r="G21" t="s">
        <v>60</v>
      </c>
      <c r="H21">
        <v>12</v>
      </c>
      <c r="I21" t="s">
        <v>25</v>
      </c>
      <c r="J21">
        <v>9</v>
      </c>
      <c r="K21" t="s">
        <v>25</v>
      </c>
      <c r="L21">
        <v>8</v>
      </c>
      <c r="M21">
        <v>66052</v>
      </c>
      <c r="N21">
        <v>3</v>
      </c>
    </row>
    <row r="22" spans="1:14" x14ac:dyDescent="0.2">
      <c r="A22" s="3">
        <f t="shared" si="0"/>
        <v>292</v>
      </c>
      <c r="B22" t="str">
        <f>"00002920009"</f>
        <v>00002920009</v>
      </c>
      <c r="C22" t="s">
        <v>61</v>
      </c>
      <c r="D22" t="s">
        <v>42</v>
      </c>
      <c r="E22">
        <v>44</v>
      </c>
      <c r="F22">
        <v>6916</v>
      </c>
      <c r="G22" t="s">
        <v>60</v>
      </c>
      <c r="H22">
        <v>9</v>
      </c>
      <c r="I22" t="s">
        <v>25</v>
      </c>
      <c r="J22">
        <v>7</v>
      </c>
      <c r="K22" t="s">
        <v>25</v>
      </c>
      <c r="L22">
        <v>8</v>
      </c>
      <c r="M22">
        <v>66047</v>
      </c>
      <c r="N22">
        <v>2</v>
      </c>
    </row>
    <row r="23" spans="1:14" x14ac:dyDescent="0.2">
      <c r="A23" s="3">
        <f t="shared" si="0"/>
        <v>296</v>
      </c>
      <c r="B23" t="str">
        <f>"00002960001"</f>
        <v>00002960001</v>
      </c>
      <c r="C23" t="s">
        <v>62</v>
      </c>
      <c r="D23" t="s">
        <v>63</v>
      </c>
      <c r="E23">
        <v>10</v>
      </c>
      <c r="F23">
        <v>5003</v>
      </c>
      <c r="G23" t="s">
        <v>64</v>
      </c>
      <c r="H23" t="s">
        <v>44</v>
      </c>
      <c r="I23" t="s">
        <v>45</v>
      </c>
      <c r="J23" t="s">
        <v>44</v>
      </c>
      <c r="K23" t="s">
        <v>45</v>
      </c>
      <c r="L23">
        <v>7</v>
      </c>
      <c r="M23" t="s">
        <v>65</v>
      </c>
      <c r="N23" t="s">
        <v>46</v>
      </c>
    </row>
    <row r="24" spans="1:14" x14ac:dyDescent="0.2">
      <c r="A24" s="3">
        <f t="shared" si="0"/>
        <v>304</v>
      </c>
      <c r="B24" t="str">
        <f>"00003040006"</f>
        <v>00003040006</v>
      </c>
      <c r="C24" t="s">
        <v>66</v>
      </c>
      <c r="D24" t="s">
        <v>67</v>
      </c>
      <c r="E24">
        <v>36</v>
      </c>
      <c r="F24">
        <v>4937</v>
      </c>
      <c r="G24" t="s">
        <v>68</v>
      </c>
      <c r="H24">
        <v>22</v>
      </c>
      <c r="I24" t="s">
        <v>34</v>
      </c>
      <c r="J24">
        <v>16</v>
      </c>
      <c r="K24" t="s">
        <v>34</v>
      </c>
      <c r="L24">
        <v>8</v>
      </c>
      <c r="M24">
        <v>81076</v>
      </c>
      <c r="N24">
        <v>6</v>
      </c>
    </row>
    <row r="25" spans="1:14" x14ac:dyDescent="0.2">
      <c r="A25" s="3">
        <f t="shared" si="0"/>
        <v>305</v>
      </c>
      <c r="B25" t="str">
        <f>"00003050012"</f>
        <v>00003050012</v>
      </c>
      <c r="C25" t="s">
        <v>69</v>
      </c>
      <c r="D25" t="s">
        <v>70</v>
      </c>
      <c r="E25">
        <v>31</v>
      </c>
      <c r="F25">
        <v>512</v>
      </c>
      <c r="G25" t="s">
        <v>71</v>
      </c>
      <c r="H25">
        <v>25</v>
      </c>
      <c r="I25" t="s">
        <v>34</v>
      </c>
      <c r="J25">
        <v>18</v>
      </c>
      <c r="K25" t="s">
        <v>34</v>
      </c>
      <c r="L25">
        <v>8</v>
      </c>
      <c r="M25">
        <v>80179</v>
      </c>
      <c r="N25">
        <v>7</v>
      </c>
    </row>
    <row r="26" spans="1:14" x14ac:dyDescent="0.2">
      <c r="A26" s="3">
        <f t="shared" si="0"/>
        <v>306</v>
      </c>
      <c r="B26" t="str">
        <f>"00003060005"</f>
        <v>00003060005</v>
      </c>
      <c r="C26" t="s">
        <v>72</v>
      </c>
      <c r="D26" t="s">
        <v>70</v>
      </c>
      <c r="E26">
        <v>36</v>
      </c>
      <c r="F26">
        <v>111</v>
      </c>
      <c r="G26" t="s">
        <v>73</v>
      </c>
      <c r="H26">
        <v>23</v>
      </c>
      <c r="I26" t="s">
        <v>34</v>
      </c>
      <c r="J26">
        <v>17</v>
      </c>
      <c r="K26" t="s">
        <v>34</v>
      </c>
      <c r="L26">
        <v>8</v>
      </c>
      <c r="M26">
        <v>81032</v>
      </c>
      <c r="N26">
        <v>5</v>
      </c>
    </row>
    <row r="27" spans="1:14" x14ac:dyDescent="0.2">
      <c r="A27" s="3">
        <f t="shared" si="0"/>
        <v>309</v>
      </c>
      <c r="B27" t="str">
        <f>"00003090006"</f>
        <v>00003090006</v>
      </c>
      <c r="C27" t="s">
        <v>74</v>
      </c>
      <c r="D27" t="s">
        <v>70</v>
      </c>
      <c r="E27">
        <v>31</v>
      </c>
      <c r="F27">
        <v>3840</v>
      </c>
      <c r="G27" t="s">
        <v>75</v>
      </c>
      <c r="H27">
        <v>24</v>
      </c>
      <c r="I27" t="s">
        <v>34</v>
      </c>
      <c r="J27">
        <v>18</v>
      </c>
      <c r="K27" t="s">
        <v>34</v>
      </c>
      <c r="L27">
        <v>8</v>
      </c>
      <c r="M27">
        <v>80087</v>
      </c>
      <c r="N27">
        <v>6</v>
      </c>
    </row>
    <row r="28" spans="1:14" x14ac:dyDescent="0.2">
      <c r="A28" s="3">
        <f t="shared" si="0"/>
        <v>318</v>
      </c>
      <c r="B28" t="str">
        <f>"00003180040"</f>
        <v>00003180040</v>
      </c>
      <c r="C28" t="s">
        <v>76</v>
      </c>
      <c r="D28" t="s">
        <v>77</v>
      </c>
      <c r="E28">
        <v>35</v>
      </c>
      <c r="F28">
        <v>1444</v>
      </c>
      <c r="G28" t="s">
        <v>78</v>
      </c>
      <c r="H28">
        <v>45</v>
      </c>
      <c r="I28" t="s">
        <v>34</v>
      </c>
      <c r="J28">
        <v>34</v>
      </c>
      <c r="K28" t="s">
        <v>34</v>
      </c>
      <c r="L28">
        <v>8</v>
      </c>
      <c r="M28">
        <v>81105</v>
      </c>
      <c r="N28">
        <v>11</v>
      </c>
    </row>
    <row r="29" spans="1:14" x14ac:dyDescent="0.2">
      <c r="A29" s="3">
        <f t="shared" si="0"/>
        <v>320</v>
      </c>
      <c r="B29" t="str">
        <f>"00003200020"</f>
        <v>00003200020</v>
      </c>
      <c r="C29" t="s">
        <v>79</v>
      </c>
      <c r="D29" t="s">
        <v>77</v>
      </c>
      <c r="E29">
        <v>45</v>
      </c>
      <c r="F29">
        <v>2226</v>
      </c>
      <c r="G29" t="s">
        <v>80</v>
      </c>
      <c r="H29">
        <v>70</v>
      </c>
      <c r="I29" t="s">
        <v>34</v>
      </c>
      <c r="J29">
        <v>56</v>
      </c>
      <c r="K29" t="s">
        <v>34</v>
      </c>
      <c r="L29">
        <v>8</v>
      </c>
      <c r="M29">
        <v>81109</v>
      </c>
      <c r="N29">
        <v>14</v>
      </c>
    </row>
    <row r="30" spans="1:14" x14ac:dyDescent="0.2">
      <c r="A30" s="3">
        <f t="shared" si="0"/>
        <v>325</v>
      </c>
      <c r="B30" t="str">
        <f>"00003250006"</f>
        <v>00003250006</v>
      </c>
      <c r="C30" t="s">
        <v>81</v>
      </c>
      <c r="D30" t="s">
        <v>70</v>
      </c>
      <c r="E30">
        <v>36</v>
      </c>
      <c r="F30">
        <v>1326</v>
      </c>
      <c r="G30" t="s">
        <v>82</v>
      </c>
      <c r="H30">
        <v>19</v>
      </c>
      <c r="I30" t="s">
        <v>34</v>
      </c>
      <c r="J30">
        <v>14</v>
      </c>
      <c r="K30" t="s">
        <v>34</v>
      </c>
      <c r="L30">
        <v>8</v>
      </c>
      <c r="M30">
        <v>81043</v>
      </c>
      <c r="N30">
        <v>5</v>
      </c>
    </row>
    <row r="31" spans="1:14" x14ac:dyDescent="0.2">
      <c r="A31" s="3">
        <f t="shared" si="0"/>
        <v>326</v>
      </c>
      <c r="B31" t="str">
        <f>"00003260004"</f>
        <v>00003260004</v>
      </c>
      <c r="C31" t="s">
        <v>83</v>
      </c>
      <c r="D31" t="s">
        <v>67</v>
      </c>
      <c r="E31">
        <v>31</v>
      </c>
      <c r="F31">
        <v>4937</v>
      </c>
      <c r="G31" t="s">
        <v>68</v>
      </c>
      <c r="H31">
        <v>18</v>
      </c>
      <c r="I31" t="s">
        <v>34</v>
      </c>
      <c r="J31">
        <v>13</v>
      </c>
      <c r="K31" t="s">
        <v>34</v>
      </c>
      <c r="L31">
        <v>8</v>
      </c>
      <c r="M31">
        <v>81008</v>
      </c>
      <c r="N31">
        <v>5</v>
      </c>
    </row>
    <row r="32" spans="1:14" x14ac:dyDescent="0.2">
      <c r="A32" s="3">
        <f t="shared" si="0"/>
        <v>327</v>
      </c>
      <c r="B32" t="str">
        <f>"00003270004"</f>
        <v>00003270004</v>
      </c>
      <c r="C32" t="s">
        <v>84</v>
      </c>
      <c r="D32" t="s">
        <v>48</v>
      </c>
      <c r="E32">
        <v>31</v>
      </c>
      <c r="F32">
        <v>2174</v>
      </c>
      <c r="G32" t="s">
        <v>85</v>
      </c>
      <c r="H32">
        <v>18</v>
      </c>
      <c r="I32" t="s">
        <v>34</v>
      </c>
      <c r="J32">
        <v>13</v>
      </c>
      <c r="K32" t="s">
        <v>34</v>
      </c>
      <c r="L32">
        <v>8</v>
      </c>
      <c r="M32">
        <v>80230</v>
      </c>
      <c r="N32">
        <v>5</v>
      </c>
    </row>
    <row r="33" spans="1:14" x14ac:dyDescent="0.2">
      <c r="A33" s="3">
        <f t="shared" si="0"/>
        <v>328</v>
      </c>
      <c r="B33" t="str">
        <f>"00003280005"</f>
        <v>00003280005</v>
      </c>
      <c r="C33" t="s">
        <v>86</v>
      </c>
      <c r="D33" t="s">
        <v>70</v>
      </c>
      <c r="E33">
        <v>36</v>
      </c>
      <c r="F33">
        <v>111</v>
      </c>
      <c r="G33" t="s">
        <v>73</v>
      </c>
      <c r="H33">
        <v>23</v>
      </c>
      <c r="I33" t="s">
        <v>34</v>
      </c>
      <c r="J33">
        <v>17</v>
      </c>
      <c r="K33" t="s">
        <v>34</v>
      </c>
      <c r="L33">
        <v>8</v>
      </c>
      <c r="M33">
        <v>81039</v>
      </c>
      <c r="N33">
        <v>5</v>
      </c>
    </row>
    <row r="34" spans="1:14" x14ac:dyDescent="0.2">
      <c r="A34" s="3">
        <f t="shared" si="0"/>
        <v>336</v>
      </c>
      <c r="B34" t="str">
        <f>"00003360012"</f>
        <v>00003360012</v>
      </c>
      <c r="C34" t="s">
        <v>87</v>
      </c>
      <c r="D34" t="s">
        <v>70</v>
      </c>
      <c r="E34">
        <v>31</v>
      </c>
      <c r="F34">
        <v>2070</v>
      </c>
      <c r="G34" t="s">
        <v>88</v>
      </c>
      <c r="H34">
        <v>25</v>
      </c>
      <c r="I34" t="s">
        <v>34</v>
      </c>
      <c r="J34">
        <v>18</v>
      </c>
      <c r="K34" t="s">
        <v>34</v>
      </c>
      <c r="L34">
        <v>8</v>
      </c>
      <c r="M34">
        <v>80144</v>
      </c>
      <c r="N34">
        <v>7</v>
      </c>
    </row>
    <row r="35" spans="1:14" x14ac:dyDescent="0.2">
      <c r="A35" s="3">
        <f t="shared" si="0"/>
        <v>342</v>
      </c>
      <c r="B35" t="str">
        <f>"00003420008"</f>
        <v>00003420008</v>
      </c>
      <c r="C35" t="s">
        <v>89</v>
      </c>
      <c r="D35" t="s">
        <v>70</v>
      </c>
      <c r="E35">
        <v>36</v>
      </c>
      <c r="F35">
        <v>111</v>
      </c>
      <c r="G35" t="s">
        <v>73</v>
      </c>
      <c r="H35">
        <v>18</v>
      </c>
      <c r="I35" t="s">
        <v>34</v>
      </c>
      <c r="J35">
        <v>13</v>
      </c>
      <c r="K35" t="s">
        <v>34</v>
      </c>
      <c r="L35">
        <v>8</v>
      </c>
      <c r="M35">
        <v>81038</v>
      </c>
      <c r="N35">
        <v>5</v>
      </c>
    </row>
    <row r="36" spans="1:14" x14ac:dyDescent="0.2">
      <c r="A36" s="3">
        <f t="shared" si="0"/>
        <v>362</v>
      </c>
      <c r="B36" t="str">
        <f>"00003620004"</f>
        <v>00003620004</v>
      </c>
      <c r="C36" t="s">
        <v>90</v>
      </c>
      <c r="D36" t="s">
        <v>67</v>
      </c>
      <c r="E36">
        <v>31</v>
      </c>
      <c r="F36">
        <v>3453</v>
      </c>
      <c r="G36" t="s">
        <v>91</v>
      </c>
      <c r="H36">
        <v>19</v>
      </c>
      <c r="I36" t="s">
        <v>34</v>
      </c>
      <c r="J36">
        <v>14</v>
      </c>
      <c r="K36" t="s">
        <v>34</v>
      </c>
      <c r="L36">
        <v>8</v>
      </c>
      <c r="M36">
        <v>80226</v>
      </c>
      <c r="N36">
        <v>5</v>
      </c>
    </row>
    <row r="37" spans="1:14" x14ac:dyDescent="0.2">
      <c r="A37" s="3">
        <f t="shared" si="0"/>
        <v>367</v>
      </c>
      <c r="B37" t="str">
        <f>"00003670004"</f>
        <v>00003670004</v>
      </c>
      <c r="C37" t="s">
        <v>92</v>
      </c>
      <c r="D37" t="s">
        <v>67</v>
      </c>
      <c r="E37">
        <v>31</v>
      </c>
      <c r="F37">
        <v>3453</v>
      </c>
      <c r="G37" t="s">
        <v>91</v>
      </c>
      <c r="H37">
        <v>19</v>
      </c>
      <c r="I37" t="s">
        <v>34</v>
      </c>
      <c r="J37">
        <v>14</v>
      </c>
      <c r="K37" t="s">
        <v>34</v>
      </c>
      <c r="L37">
        <v>8</v>
      </c>
      <c r="M37">
        <v>80234</v>
      </c>
      <c r="N37">
        <v>5</v>
      </c>
    </row>
    <row r="38" spans="1:14" x14ac:dyDescent="0.2">
      <c r="A38" s="3">
        <f t="shared" si="0"/>
        <v>370</v>
      </c>
      <c r="B38" t="str">
        <f>"00003700030"</f>
        <v>00003700030</v>
      </c>
      <c r="C38" t="s">
        <v>93</v>
      </c>
      <c r="D38" t="s">
        <v>77</v>
      </c>
      <c r="E38">
        <v>35</v>
      </c>
      <c r="F38">
        <v>3309</v>
      </c>
      <c r="G38" t="s">
        <v>94</v>
      </c>
      <c r="H38">
        <v>45</v>
      </c>
      <c r="I38" t="s">
        <v>34</v>
      </c>
      <c r="J38">
        <v>34</v>
      </c>
      <c r="K38" t="s">
        <v>34</v>
      </c>
      <c r="L38">
        <v>8</v>
      </c>
      <c r="M38">
        <v>82085</v>
      </c>
      <c r="N38">
        <v>11</v>
      </c>
    </row>
    <row r="39" spans="1:14" x14ac:dyDescent="0.2">
      <c r="A39" s="3">
        <f t="shared" si="0"/>
        <v>372</v>
      </c>
      <c r="B39" t="str">
        <f>"00003720006"</f>
        <v>00003720006</v>
      </c>
      <c r="C39" t="s">
        <v>95</v>
      </c>
      <c r="D39" t="s">
        <v>32</v>
      </c>
      <c r="E39">
        <v>31</v>
      </c>
      <c r="F39">
        <v>4248</v>
      </c>
      <c r="G39" t="s">
        <v>96</v>
      </c>
      <c r="H39">
        <v>20</v>
      </c>
      <c r="I39" t="s">
        <v>34</v>
      </c>
      <c r="J39">
        <v>14</v>
      </c>
      <c r="K39" t="s">
        <v>34</v>
      </c>
      <c r="L39">
        <v>8</v>
      </c>
      <c r="M39">
        <v>80102</v>
      </c>
      <c r="N39">
        <v>6</v>
      </c>
    </row>
    <row r="40" spans="1:14" x14ac:dyDescent="0.2">
      <c r="A40" s="3">
        <f t="shared" si="0"/>
        <v>379</v>
      </c>
      <c r="B40" t="str">
        <f>"00003790020"</f>
        <v>00003790020</v>
      </c>
      <c r="C40" t="s">
        <v>97</v>
      </c>
      <c r="D40" t="s">
        <v>77</v>
      </c>
      <c r="E40">
        <v>35</v>
      </c>
      <c r="F40">
        <v>6800</v>
      </c>
      <c r="G40" t="s">
        <v>98</v>
      </c>
      <c r="H40">
        <v>45</v>
      </c>
      <c r="I40" t="s">
        <v>34</v>
      </c>
      <c r="J40">
        <v>34</v>
      </c>
      <c r="K40" t="s">
        <v>34</v>
      </c>
      <c r="L40">
        <v>8</v>
      </c>
      <c r="M40">
        <v>81094</v>
      </c>
      <c r="N40">
        <v>11</v>
      </c>
    </row>
    <row r="41" spans="1:14" x14ac:dyDescent="0.2">
      <c r="A41" s="3">
        <f t="shared" si="0"/>
        <v>383</v>
      </c>
      <c r="B41" t="str">
        <f>"00003830040"</f>
        <v>00003830040</v>
      </c>
      <c r="C41" t="s">
        <v>99</v>
      </c>
      <c r="D41" t="s">
        <v>77</v>
      </c>
      <c r="E41">
        <v>35</v>
      </c>
      <c r="F41">
        <v>3309</v>
      </c>
      <c r="G41" t="s">
        <v>94</v>
      </c>
      <c r="H41">
        <v>45</v>
      </c>
      <c r="I41" t="s">
        <v>34</v>
      </c>
      <c r="J41">
        <v>34</v>
      </c>
      <c r="K41" t="s">
        <v>34</v>
      </c>
      <c r="L41">
        <v>8</v>
      </c>
      <c r="M41">
        <v>81102</v>
      </c>
      <c r="N41">
        <v>11</v>
      </c>
    </row>
    <row r="42" spans="1:14" x14ac:dyDescent="0.2">
      <c r="A42" s="3">
        <f t="shared" si="0"/>
        <v>401</v>
      </c>
      <c r="B42" t="str">
        <f>"00004010018"</f>
        <v>00004010018</v>
      </c>
      <c r="C42" t="s">
        <v>100</v>
      </c>
      <c r="D42" t="s">
        <v>101</v>
      </c>
      <c r="E42">
        <v>32</v>
      </c>
      <c r="F42">
        <v>3336</v>
      </c>
      <c r="G42" t="s">
        <v>102</v>
      </c>
      <c r="H42">
        <v>32</v>
      </c>
      <c r="I42" t="s">
        <v>34</v>
      </c>
      <c r="J42">
        <v>25</v>
      </c>
      <c r="K42" t="s">
        <v>34</v>
      </c>
      <c r="L42">
        <v>8</v>
      </c>
      <c r="M42">
        <v>81206</v>
      </c>
      <c r="N42">
        <v>7</v>
      </c>
    </row>
    <row r="43" spans="1:14" x14ac:dyDescent="0.2">
      <c r="A43" s="3">
        <f t="shared" si="0"/>
        <v>401</v>
      </c>
      <c r="B43" t="str">
        <f>"00004010018"</f>
        <v>00004010018</v>
      </c>
      <c r="C43" t="s">
        <v>100</v>
      </c>
      <c r="D43" t="s">
        <v>101</v>
      </c>
      <c r="E43">
        <v>32</v>
      </c>
      <c r="F43">
        <v>1015</v>
      </c>
      <c r="G43" t="s">
        <v>103</v>
      </c>
      <c r="H43">
        <v>26</v>
      </c>
      <c r="I43" t="s">
        <v>34</v>
      </c>
      <c r="J43">
        <v>19</v>
      </c>
      <c r="K43" t="s">
        <v>34</v>
      </c>
      <c r="L43">
        <v>8</v>
      </c>
      <c r="M43">
        <v>81206</v>
      </c>
      <c r="N43">
        <v>7</v>
      </c>
    </row>
    <row r="44" spans="1:14" x14ac:dyDescent="0.2">
      <c r="A44" s="3">
        <f t="shared" si="0"/>
        <v>402</v>
      </c>
      <c r="B44" t="str">
        <f>"00004020015"</f>
        <v>00004020015</v>
      </c>
      <c r="C44" t="s">
        <v>104</v>
      </c>
      <c r="D44" t="s">
        <v>67</v>
      </c>
      <c r="E44">
        <v>32</v>
      </c>
      <c r="F44">
        <v>920</v>
      </c>
      <c r="G44" t="s">
        <v>105</v>
      </c>
      <c r="H44">
        <v>32</v>
      </c>
      <c r="I44" t="s">
        <v>34</v>
      </c>
      <c r="J44">
        <v>25</v>
      </c>
      <c r="K44" t="s">
        <v>34</v>
      </c>
      <c r="L44">
        <v>8</v>
      </c>
      <c r="M44">
        <v>81230</v>
      </c>
      <c r="N44">
        <v>7</v>
      </c>
    </row>
    <row r="45" spans="1:14" x14ac:dyDescent="0.2">
      <c r="A45" s="3">
        <f t="shared" si="0"/>
        <v>404</v>
      </c>
      <c r="B45" t="str">
        <f>"00004040012"</f>
        <v>00004040012</v>
      </c>
      <c r="C45" t="s">
        <v>106</v>
      </c>
      <c r="D45" t="s">
        <v>48</v>
      </c>
      <c r="E45">
        <v>32</v>
      </c>
      <c r="F45">
        <v>680</v>
      </c>
      <c r="G45" t="s">
        <v>107</v>
      </c>
      <c r="H45">
        <v>28</v>
      </c>
      <c r="I45" t="s">
        <v>34</v>
      </c>
      <c r="J45">
        <v>20</v>
      </c>
      <c r="K45" t="s">
        <v>34</v>
      </c>
      <c r="L45">
        <v>8</v>
      </c>
      <c r="M45">
        <v>84094</v>
      </c>
      <c r="N45">
        <v>8</v>
      </c>
    </row>
    <row r="46" spans="1:14" x14ac:dyDescent="0.2">
      <c r="A46" s="3">
        <f t="shared" si="0"/>
        <v>412</v>
      </c>
      <c r="B46" t="str">
        <f>"00004120015"</f>
        <v>00004120015</v>
      </c>
      <c r="C46" t="s">
        <v>108</v>
      </c>
      <c r="D46" t="s">
        <v>67</v>
      </c>
      <c r="E46">
        <v>32</v>
      </c>
      <c r="F46">
        <v>920</v>
      </c>
      <c r="G46" t="s">
        <v>105</v>
      </c>
      <c r="H46">
        <v>30</v>
      </c>
      <c r="I46" t="s">
        <v>34</v>
      </c>
      <c r="J46">
        <v>20</v>
      </c>
      <c r="K46" t="s">
        <v>34</v>
      </c>
      <c r="L46">
        <v>8</v>
      </c>
      <c r="M46">
        <v>82017</v>
      </c>
      <c r="N46">
        <v>10</v>
      </c>
    </row>
    <row r="47" spans="1:14" x14ac:dyDescent="0.2">
      <c r="A47" s="3">
        <f t="shared" si="0"/>
        <v>416</v>
      </c>
      <c r="B47" t="str">
        <f>"00004160016"</f>
        <v>00004160016</v>
      </c>
      <c r="C47" t="s">
        <v>109</v>
      </c>
      <c r="D47" t="s">
        <v>67</v>
      </c>
      <c r="E47">
        <v>32</v>
      </c>
      <c r="F47">
        <v>1015</v>
      </c>
      <c r="G47" t="s">
        <v>103</v>
      </c>
      <c r="H47">
        <v>32</v>
      </c>
      <c r="I47" t="s">
        <v>34</v>
      </c>
      <c r="J47">
        <v>25</v>
      </c>
      <c r="K47" t="s">
        <v>34</v>
      </c>
      <c r="L47">
        <v>8</v>
      </c>
      <c r="M47">
        <v>81237</v>
      </c>
      <c r="N47">
        <v>7</v>
      </c>
    </row>
    <row r="48" spans="1:14" x14ac:dyDescent="0.2">
      <c r="A48" s="3">
        <f t="shared" si="0"/>
        <v>417</v>
      </c>
      <c r="B48" t="str">
        <f>"00004170010"</f>
        <v>00004170010</v>
      </c>
      <c r="C48" t="s">
        <v>110</v>
      </c>
      <c r="D48" t="s">
        <v>101</v>
      </c>
      <c r="E48">
        <v>32</v>
      </c>
      <c r="F48">
        <v>599</v>
      </c>
      <c r="G48" t="s">
        <v>111</v>
      </c>
      <c r="H48">
        <v>28</v>
      </c>
      <c r="I48" t="s">
        <v>34</v>
      </c>
      <c r="J48">
        <v>20</v>
      </c>
      <c r="K48" t="s">
        <v>34</v>
      </c>
      <c r="L48">
        <v>8</v>
      </c>
      <c r="M48">
        <v>82065</v>
      </c>
      <c r="N48">
        <v>8</v>
      </c>
    </row>
    <row r="49" spans="1:14" x14ac:dyDescent="0.2">
      <c r="A49" s="3">
        <f t="shared" si="0"/>
        <v>419</v>
      </c>
      <c r="B49" t="str">
        <f>"00004190010"</f>
        <v>00004190010</v>
      </c>
      <c r="C49" t="s">
        <v>112</v>
      </c>
      <c r="D49" t="s">
        <v>101</v>
      </c>
      <c r="E49">
        <v>32</v>
      </c>
      <c r="F49">
        <v>109</v>
      </c>
      <c r="G49" t="s">
        <v>113</v>
      </c>
      <c r="H49">
        <v>60</v>
      </c>
      <c r="I49" t="s">
        <v>34</v>
      </c>
      <c r="J49">
        <v>44</v>
      </c>
      <c r="K49" t="s">
        <v>34</v>
      </c>
      <c r="L49">
        <v>8</v>
      </c>
      <c r="M49">
        <v>82120</v>
      </c>
      <c r="N49">
        <v>16</v>
      </c>
    </row>
    <row r="50" spans="1:14" x14ac:dyDescent="0.2">
      <c r="A50" s="3">
        <f t="shared" si="0"/>
        <v>423</v>
      </c>
      <c r="B50" t="str">
        <f>"00004230006"</f>
        <v>00004230006</v>
      </c>
      <c r="C50" t="s">
        <v>114</v>
      </c>
      <c r="D50" t="s">
        <v>115</v>
      </c>
      <c r="E50">
        <v>54</v>
      </c>
      <c r="F50">
        <v>2270</v>
      </c>
      <c r="G50" t="s">
        <v>116</v>
      </c>
      <c r="H50">
        <v>90</v>
      </c>
      <c r="I50" t="s">
        <v>34</v>
      </c>
      <c r="J50">
        <v>69</v>
      </c>
      <c r="K50" t="s">
        <v>34</v>
      </c>
      <c r="L50">
        <v>8</v>
      </c>
      <c r="M50">
        <v>69245</v>
      </c>
      <c r="N50">
        <v>21</v>
      </c>
    </row>
    <row r="51" spans="1:14" x14ac:dyDescent="0.2">
      <c r="A51" s="3">
        <f t="shared" si="0"/>
        <v>426</v>
      </c>
      <c r="B51" t="str">
        <f>"00004260022"</f>
        <v>00004260022</v>
      </c>
      <c r="C51" t="s">
        <v>117</v>
      </c>
      <c r="D51" t="s">
        <v>52</v>
      </c>
      <c r="E51">
        <v>33</v>
      </c>
      <c r="F51">
        <v>544</v>
      </c>
      <c r="G51" t="s">
        <v>118</v>
      </c>
      <c r="H51">
        <v>21</v>
      </c>
      <c r="I51" t="s">
        <v>34</v>
      </c>
      <c r="J51">
        <v>15</v>
      </c>
      <c r="K51" t="s">
        <v>34</v>
      </c>
      <c r="L51">
        <v>8</v>
      </c>
      <c r="M51">
        <v>83129</v>
      </c>
      <c r="N51">
        <v>6</v>
      </c>
    </row>
    <row r="52" spans="1:14" x14ac:dyDescent="0.2">
      <c r="A52" s="3">
        <f t="shared" si="0"/>
        <v>427</v>
      </c>
      <c r="B52" t="str">
        <f>"00004270022"</f>
        <v>00004270022</v>
      </c>
      <c r="C52" t="s">
        <v>119</v>
      </c>
      <c r="D52" t="s">
        <v>52</v>
      </c>
      <c r="E52">
        <v>33</v>
      </c>
      <c r="F52">
        <v>544</v>
      </c>
      <c r="G52" t="s">
        <v>118</v>
      </c>
      <c r="H52">
        <v>21</v>
      </c>
      <c r="I52" t="s">
        <v>34</v>
      </c>
      <c r="J52">
        <v>15</v>
      </c>
      <c r="K52" t="s">
        <v>34</v>
      </c>
      <c r="L52">
        <v>8</v>
      </c>
      <c r="M52">
        <v>83140</v>
      </c>
      <c r="N52">
        <v>6</v>
      </c>
    </row>
    <row r="53" spans="1:14" x14ac:dyDescent="0.2">
      <c r="A53" s="3">
        <f t="shared" si="0"/>
        <v>430</v>
      </c>
      <c r="B53" t="str">
        <f>"00004300020"</f>
        <v>00004300020</v>
      </c>
      <c r="C53" t="s">
        <v>120</v>
      </c>
      <c r="D53" t="s">
        <v>67</v>
      </c>
      <c r="E53">
        <v>32</v>
      </c>
      <c r="F53">
        <v>1015</v>
      </c>
      <c r="G53" t="s">
        <v>103</v>
      </c>
      <c r="H53">
        <v>28</v>
      </c>
      <c r="I53" t="s">
        <v>34</v>
      </c>
      <c r="J53">
        <v>20</v>
      </c>
      <c r="K53" t="s">
        <v>34</v>
      </c>
      <c r="L53">
        <v>8</v>
      </c>
      <c r="M53">
        <v>81142</v>
      </c>
      <c r="N53">
        <v>8</v>
      </c>
    </row>
    <row r="54" spans="1:14" x14ac:dyDescent="0.2">
      <c r="A54" s="3">
        <f t="shared" si="0"/>
        <v>431</v>
      </c>
      <c r="B54" t="str">
        <f>"00004310014"</f>
        <v>00004310014</v>
      </c>
      <c r="C54" t="s">
        <v>121</v>
      </c>
      <c r="D54" t="s">
        <v>101</v>
      </c>
      <c r="E54">
        <v>32</v>
      </c>
      <c r="F54">
        <v>2094</v>
      </c>
      <c r="G54" t="s">
        <v>122</v>
      </c>
      <c r="H54">
        <v>35</v>
      </c>
      <c r="I54" t="s">
        <v>34</v>
      </c>
      <c r="J54">
        <v>27</v>
      </c>
      <c r="K54" t="s">
        <v>34</v>
      </c>
      <c r="L54">
        <v>8</v>
      </c>
      <c r="M54">
        <v>81239</v>
      </c>
      <c r="N54">
        <v>8</v>
      </c>
    </row>
    <row r="55" spans="1:14" x14ac:dyDescent="0.2">
      <c r="A55" s="3">
        <f t="shared" si="0"/>
        <v>432</v>
      </c>
      <c r="B55" t="str">
        <f>"00004320008"</f>
        <v>00004320008</v>
      </c>
      <c r="C55" t="s">
        <v>123</v>
      </c>
      <c r="D55" t="s">
        <v>48</v>
      </c>
      <c r="E55">
        <v>32</v>
      </c>
      <c r="F55">
        <v>8220</v>
      </c>
      <c r="G55" t="s">
        <v>124</v>
      </c>
      <c r="H55">
        <v>18</v>
      </c>
      <c r="I55" t="s">
        <v>34</v>
      </c>
      <c r="J55">
        <v>13</v>
      </c>
      <c r="K55" t="s">
        <v>34</v>
      </c>
      <c r="L55">
        <v>8</v>
      </c>
      <c r="M55">
        <v>82153</v>
      </c>
      <c r="N55">
        <v>5</v>
      </c>
    </row>
    <row r="56" spans="1:14" x14ac:dyDescent="0.2">
      <c r="A56" s="3">
        <f t="shared" si="0"/>
        <v>438</v>
      </c>
      <c r="B56" t="str">
        <f>"00004380008"</f>
        <v>00004380008</v>
      </c>
      <c r="C56" t="s">
        <v>125</v>
      </c>
      <c r="D56" t="s">
        <v>67</v>
      </c>
      <c r="E56">
        <v>32</v>
      </c>
      <c r="F56">
        <v>193</v>
      </c>
      <c r="G56" t="s">
        <v>126</v>
      </c>
      <c r="H56">
        <v>25</v>
      </c>
      <c r="I56" t="s">
        <v>34</v>
      </c>
      <c r="J56">
        <v>18</v>
      </c>
      <c r="K56" t="s">
        <v>34</v>
      </c>
      <c r="L56">
        <v>8</v>
      </c>
      <c r="M56">
        <v>82157</v>
      </c>
      <c r="N56">
        <v>7</v>
      </c>
    </row>
    <row r="57" spans="1:14" x14ac:dyDescent="0.2">
      <c r="A57" s="3">
        <f t="shared" si="0"/>
        <v>440</v>
      </c>
      <c r="B57" t="str">
        <f>"00004400024"</f>
        <v>00004400024</v>
      </c>
      <c r="C57" t="s">
        <v>127</v>
      </c>
      <c r="D57" t="s">
        <v>67</v>
      </c>
      <c r="E57">
        <v>32</v>
      </c>
      <c r="F57">
        <v>1605</v>
      </c>
      <c r="G57" t="s">
        <v>128</v>
      </c>
      <c r="H57">
        <v>45</v>
      </c>
      <c r="I57" t="s">
        <v>34</v>
      </c>
      <c r="J57">
        <v>34</v>
      </c>
      <c r="K57" t="s">
        <v>34</v>
      </c>
      <c r="L57">
        <v>8</v>
      </c>
      <c r="M57">
        <v>82034</v>
      </c>
      <c r="N57">
        <v>11</v>
      </c>
    </row>
    <row r="58" spans="1:14" x14ac:dyDescent="0.2">
      <c r="A58" s="3">
        <f t="shared" si="0"/>
        <v>442</v>
      </c>
      <c r="B58" t="str">
        <f>"00004420006"</f>
        <v>00004420006</v>
      </c>
      <c r="C58" t="s">
        <v>129</v>
      </c>
      <c r="D58" t="s">
        <v>115</v>
      </c>
      <c r="E58">
        <v>54</v>
      </c>
      <c r="F58">
        <v>2270</v>
      </c>
      <c r="G58" t="s">
        <v>116</v>
      </c>
      <c r="H58">
        <v>90</v>
      </c>
      <c r="I58" t="s">
        <v>34</v>
      </c>
      <c r="J58">
        <v>69</v>
      </c>
      <c r="K58" t="s">
        <v>34</v>
      </c>
      <c r="L58">
        <v>8</v>
      </c>
      <c r="M58">
        <v>69270</v>
      </c>
      <c r="N58">
        <v>21</v>
      </c>
    </row>
    <row r="59" spans="1:14" x14ac:dyDescent="0.2">
      <c r="A59" s="3">
        <f t="shared" si="0"/>
        <v>448</v>
      </c>
      <c r="B59" t="str">
        <f>"00004480006"</f>
        <v>00004480006</v>
      </c>
      <c r="C59" t="s">
        <v>130</v>
      </c>
      <c r="D59" t="s">
        <v>115</v>
      </c>
      <c r="E59">
        <v>54</v>
      </c>
      <c r="F59">
        <v>2270</v>
      </c>
      <c r="G59" t="s">
        <v>116</v>
      </c>
      <c r="H59">
        <v>90</v>
      </c>
      <c r="I59" t="s">
        <v>34</v>
      </c>
      <c r="J59">
        <v>69</v>
      </c>
      <c r="K59" t="s">
        <v>34</v>
      </c>
      <c r="L59">
        <v>8</v>
      </c>
      <c r="M59">
        <v>69256</v>
      </c>
      <c r="N59">
        <v>21</v>
      </c>
    </row>
    <row r="60" spans="1:14" x14ac:dyDescent="0.2">
      <c r="A60" s="3">
        <f t="shared" si="0"/>
        <v>449</v>
      </c>
      <c r="B60" t="str">
        <f>"00004490018"</f>
        <v>00004490018</v>
      </c>
      <c r="C60" t="s">
        <v>131</v>
      </c>
      <c r="D60" t="s">
        <v>70</v>
      </c>
      <c r="E60">
        <v>32</v>
      </c>
      <c r="F60">
        <v>1343</v>
      </c>
      <c r="G60" t="s">
        <v>132</v>
      </c>
      <c r="H60">
        <v>45</v>
      </c>
      <c r="I60" t="s">
        <v>34</v>
      </c>
      <c r="J60">
        <v>34</v>
      </c>
      <c r="K60" t="s">
        <v>34</v>
      </c>
      <c r="L60">
        <v>8</v>
      </c>
      <c r="M60">
        <v>82071</v>
      </c>
      <c r="N60">
        <v>11</v>
      </c>
    </row>
    <row r="61" spans="1:14" x14ac:dyDescent="0.2">
      <c r="A61" s="3">
        <f t="shared" si="0"/>
        <v>450</v>
      </c>
      <c r="B61" t="str">
        <f>"00004500012"</f>
        <v>00004500012</v>
      </c>
      <c r="C61" t="s">
        <v>133</v>
      </c>
      <c r="D61" t="s">
        <v>32</v>
      </c>
      <c r="E61">
        <v>32</v>
      </c>
      <c r="F61">
        <v>2094</v>
      </c>
      <c r="G61" t="s">
        <v>122</v>
      </c>
      <c r="H61">
        <v>50</v>
      </c>
      <c r="I61" t="s">
        <v>34</v>
      </c>
      <c r="J61">
        <v>37</v>
      </c>
      <c r="K61" t="s">
        <v>34</v>
      </c>
      <c r="L61">
        <v>8</v>
      </c>
      <c r="M61">
        <v>81182</v>
      </c>
      <c r="N61">
        <v>13</v>
      </c>
    </row>
    <row r="62" spans="1:14" x14ac:dyDescent="0.2">
      <c r="A62" s="3">
        <f t="shared" si="0"/>
        <v>451</v>
      </c>
      <c r="B62" t="str">
        <f>"00004510012"</f>
        <v>00004510012</v>
      </c>
      <c r="C62" t="s">
        <v>134</v>
      </c>
      <c r="D62" t="s">
        <v>52</v>
      </c>
      <c r="E62">
        <v>32</v>
      </c>
      <c r="F62">
        <v>1605</v>
      </c>
      <c r="G62" t="s">
        <v>128</v>
      </c>
      <c r="H62">
        <v>46</v>
      </c>
      <c r="I62" t="s">
        <v>34</v>
      </c>
      <c r="J62">
        <v>34</v>
      </c>
      <c r="K62" t="s">
        <v>34</v>
      </c>
      <c r="L62">
        <v>6</v>
      </c>
      <c r="M62">
        <v>3520</v>
      </c>
      <c r="N62">
        <v>12</v>
      </c>
    </row>
    <row r="63" spans="1:14" x14ac:dyDescent="0.2">
      <c r="A63" s="3">
        <f t="shared" si="0"/>
        <v>452</v>
      </c>
      <c r="B63" t="str">
        <f>"00004520012"</f>
        <v>00004520012</v>
      </c>
      <c r="C63" t="s">
        <v>135</v>
      </c>
      <c r="D63" t="s">
        <v>67</v>
      </c>
      <c r="E63">
        <v>32</v>
      </c>
      <c r="F63">
        <v>1605</v>
      </c>
      <c r="G63" t="s">
        <v>128</v>
      </c>
      <c r="H63">
        <v>23</v>
      </c>
      <c r="I63" t="s">
        <v>34</v>
      </c>
      <c r="J63">
        <v>17</v>
      </c>
      <c r="K63" t="s">
        <v>34</v>
      </c>
      <c r="L63">
        <v>8</v>
      </c>
      <c r="M63">
        <v>81208</v>
      </c>
      <c r="N63">
        <v>6</v>
      </c>
    </row>
    <row r="64" spans="1:14" x14ac:dyDescent="0.2">
      <c r="A64" s="3">
        <f t="shared" si="0"/>
        <v>455</v>
      </c>
      <c r="B64" t="str">
        <f>"00004550008"</f>
        <v>00004550008</v>
      </c>
      <c r="C64" t="s">
        <v>136</v>
      </c>
      <c r="D64" t="s">
        <v>32</v>
      </c>
      <c r="E64">
        <v>32</v>
      </c>
      <c r="F64">
        <v>1605</v>
      </c>
      <c r="G64" t="s">
        <v>128</v>
      </c>
      <c r="H64">
        <v>28</v>
      </c>
      <c r="I64" t="s">
        <v>34</v>
      </c>
      <c r="J64">
        <v>20</v>
      </c>
      <c r="K64" t="s">
        <v>34</v>
      </c>
      <c r="L64">
        <v>8</v>
      </c>
      <c r="M64">
        <v>81193</v>
      </c>
      <c r="N64">
        <v>8</v>
      </c>
    </row>
    <row r="65" spans="1:14" x14ac:dyDescent="0.2">
      <c r="A65" s="3">
        <f t="shared" si="0"/>
        <v>456</v>
      </c>
      <c r="B65" t="str">
        <f>"00004560012"</f>
        <v>00004560012</v>
      </c>
      <c r="C65" t="s">
        <v>137</v>
      </c>
      <c r="D65" t="s">
        <v>32</v>
      </c>
      <c r="E65">
        <v>32</v>
      </c>
      <c r="F65">
        <v>1605</v>
      </c>
      <c r="G65" t="s">
        <v>128</v>
      </c>
      <c r="H65">
        <v>30</v>
      </c>
      <c r="I65" t="s">
        <v>34</v>
      </c>
      <c r="J65">
        <v>20</v>
      </c>
      <c r="K65" t="s">
        <v>34</v>
      </c>
      <c r="L65">
        <v>8</v>
      </c>
      <c r="M65">
        <v>82005</v>
      </c>
      <c r="N65">
        <v>10</v>
      </c>
    </row>
    <row r="66" spans="1:14" x14ac:dyDescent="0.2">
      <c r="A66" s="3">
        <f t="shared" si="0"/>
        <v>465</v>
      </c>
      <c r="B66" t="str">
        <f>"00004650012"</f>
        <v>00004650012</v>
      </c>
      <c r="C66" t="s">
        <v>138</v>
      </c>
      <c r="D66" t="s">
        <v>70</v>
      </c>
      <c r="E66">
        <v>32</v>
      </c>
      <c r="F66">
        <v>1136</v>
      </c>
      <c r="G66" t="s">
        <v>139</v>
      </c>
      <c r="H66">
        <v>40</v>
      </c>
      <c r="I66" t="s">
        <v>34</v>
      </c>
      <c r="J66">
        <v>30</v>
      </c>
      <c r="K66" t="s">
        <v>34</v>
      </c>
      <c r="L66">
        <v>8</v>
      </c>
      <c r="M66">
        <v>82050</v>
      </c>
      <c r="N66">
        <v>10</v>
      </c>
    </row>
    <row r="67" spans="1:14" x14ac:dyDescent="0.2">
      <c r="A67" s="3">
        <f t="shared" si="0"/>
        <v>468</v>
      </c>
      <c r="B67" t="str">
        <f>"00004680012"</f>
        <v>00004680012</v>
      </c>
      <c r="C67" t="s">
        <v>140</v>
      </c>
      <c r="D67" t="s">
        <v>101</v>
      </c>
      <c r="E67">
        <v>32</v>
      </c>
      <c r="F67">
        <v>2094</v>
      </c>
      <c r="G67" t="s">
        <v>122</v>
      </c>
      <c r="H67">
        <v>38</v>
      </c>
      <c r="I67" t="s">
        <v>34</v>
      </c>
      <c r="J67">
        <v>28</v>
      </c>
      <c r="K67" t="s">
        <v>34</v>
      </c>
      <c r="L67">
        <v>8</v>
      </c>
      <c r="M67">
        <v>82006</v>
      </c>
      <c r="N67">
        <v>10</v>
      </c>
    </row>
    <row r="68" spans="1:14" x14ac:dyDescent="0.2">
      <c r="A68" s="3">
        <f t="shared" ref="A68:A131" si="1">(B68-RIGHT(B68,4))/10000</f>
        <v>469</v>
      </c>
      <c r="B68" t="str">
        <f>"00004690040"</f>
        <v>00004690040</v>
      </c>
      <c r="C68" t="s">
        <v>141</v>
      </c>
      <c r="D68" t="s">
        <v>67</v>
      </c>
      <c r="E68">
        <v>32</v>
      </c>
      <c r="F68">
        <v>1605</v>
      </c>
      <c r="G68" t="s">
        <v>128</v>
      </c>
      <c r="H68">
        <v>45</v>
      </c>
      <c r="I68" t="s">
        <v>34</v>
      </c>
      <c r="J68">
        <v>34</v>
      </c>
      <c r="K68" t="s">
        <v>34</v>
      </c>
      <c r="L68">
        <v>8</v>
      </c>
      <c r="M68">
        <v>81125</v>
      </c>
      <c r="N68">
        <v>11</v>
      </c>
    </row>
    <row r="69" spans="1:14" x14ac:dyDescent="0.2">
      <c r="A69" s="3">
        <f t="shared" si="1"/>
        <v>482</v>
      </c>
      <c r="B69" t="str">
        <f>"00004820012"</f>
        <v>00004820012</v>
      </c>
      <c r="C69" t="s">
        <v>142</v>
      </c>
      <c r="D69" t="s">
        <v>48</v>
      </c>
      <c r="E69">
        <v>32</v>
      </c>
      <c r="F69">
        <v>690</v>
      </c>
      <c r="G69" t="s">
        <v>143</v>
      </c>
      <c r="H69">
        <v>30</v>
      </c>
      <c r="I69" t="s">
        <v>34</v>
      </c>
      <c r="J69">
        <v>20</v>
      </c>
      <c r="K69" t="s">
        <v>34</v>
      </c>
      <c r="L69">
        <v>8</v>
      </c>
      <c r="M69">
        <v>82107</v>
      </c>
      <c r="N69">
        <v>10</v>
      </c>
    </row>
    <row r="70" spans="1:14" x14ac:dyDescent="0.2">
      <c r="A70" s="3">
        <f t="shared" si="1"/>
        <v>484</v>
      </c>
      <c r="B70" t="str">
        <f>"00004840012"</f>
        <v>00004840012</v>
      </c>
      <c r="C70" t="s">
        <v>144</v>
      </c>
      <c r="D70" t="s">
        <v>67</v>
      </c>
      <c r="E70">
        <v>32</v>
      </c>
      <c r="F70">
        <v>1015</v>
      </c>
      <c r="G70" t="s">
        <v>103</v>
      </c>
      <c r="H70">
        <v>32</v>
      </c>
      <c r="I70" t="s">
        <v>34</v>
      </c>
      <c r="J70">
        <v>25</v>
      </c>
      <c r="K70" t="s">
        <v>34</v>
      </c>
      <c r="L70">
        <v>8</v>
      </c>
      <c r="M70">
        <v>81215</v>
      </c>
      <c r="N70">
        <v>7</v>
      </c>
    </row>
    <row r="71" spans="1:14" x14ac:dyDescent="0.2">
      <c r="A71" s="3">
        <f t="shared" si="1"/>
        <v>485</v>
      </c>
      <c r="B71" t="str">
        <f>"00004850012"</f>
        <v>00004850012</v>
      </c>
      <c r="C71" t="s">
        <v>145</v>
      </c>
      <c r="D71" t="s">
        <v>32</v>
      </c>
      <c r="E71">
        <v>32</v>
      </c>
      <c r="F71">
        <v>1605</v>
      </c>
      <c r="G71" t="s">
        <v>128</v>
      </c>
      <c r="H71">
        <v>32</v>
      </c>
      <c r="I71" t="s">
        <v>34</v>
      </c>
      <c r="J71">
        <v>25</v>
      </c>
      <c r="K71" t="s">
        <v>34</v>
      </c>
      <c r="L71">
        <v>8</v>
      </c>
      <c r="M71">
        <v>81248</v>
      </c>
      <c r="N71">
        <v>7</v>
      </c>
    </row>
    <row r="72" spans="1:14" x14ac:dyDescent="0.2">
      <c r="A72" s="3">
        <f t="shared" si="1"/>
        <v>486</v>
      </c>
      <c r="B72" t="str">
        <f>"00004860008"</f>
        <v>00004860008</v>
      </c>
      <c r="C72" t="s">
        <v>146</v>
      </c>
      <c r="D72" t="s">
        <v>101</v>
      </c>
      <c r="E72">
        <v>32</v>
      </c>
      <c r="F72">
        <v>1015</v>
      </c>
      <c r="G72" t="s">
        <v>103</v>
      </c>
      <c r="H72">
        <v>28</v>
      </c>
      <c r="I72" t="s">
        <v>34</v>
      </c>
      <c r="J72">
        <v>20</v>
      </c>
      <c r="K72" t="s">
        <v>34</v>
      </c>
      <c r="L72">
        <v>8</v>
      </c>
      <c r="M72">
        <v>81245</v>
      </c>
      <c r="N72">
        <v>8</v>
      </c>
    </row>
    <row r="73" spans="1:14" x14ac:dyDescent="0.2">
      <c r="A73" s="3">
        <f t="shared" si="1"/>
        <v>490</v>
      </c>
      <c r="B73" t="str">
        <f>"00004900012"</f>
        <v>00004900012</v>
      </c>
      <c r="C73" t="s">
        <v>147</v>
      </c>
      <c r="D73" t="s">
        <v>101</v>
      </c>
      <c r="E73">
        <v>32</v>
      </c>
      <c r="F73">
        <v>109</v>
      </c>
      <c r="G73" t="s">
        <v>113</v>
      </c>
      <c r="H73">
        <v>55</v>
      </c>
      <c r="I73" t="s">
        <v>34</v>
      </c>
      <c r="J73">
        <v>40</v>
      </c>
      <c r="K73" t="s">
        <v>34</v>
      </c>
      <c r="L73">
        <v>8</v>
      </c>
      <c r="M73">
        <v>82010</v>
      </c>
      <c r="N73">
        <v>15</v>
      </c>
    </row>
    <row r="74" spans="1:14" x14ac:dyDescent="0.2">
      <c r="A74" s="3">
        <f t="shared" si="1"/>
        <v>502</v>
      </c>
      <c r="B74" t="str">
        <f>"00005020016"</f>
        <v>00005020016</v>
      </c>
      <c r="C74" t="s">
        <v>148</v>
      </c>
      <c r="D74" t="s">
        <v>70</v>
      </c>
      <c r="E74">
        <v>30</v>
      </c>
      <c r="F74">
        <v>861</v>
      </c>
      <c r="G74" t="s">
        <v>149</v>
      </c>
      <c r="H74">
        <v>45</v>
      </c>
      <c r="I74" t="s">
        <v>34</v>
      </c>
      <c r="J74">
        <v>34</v>
      </c>
      <c r="K74" t="s">
        <v>34</v>
      </c>
      <c r="L74">
        <v>8</v>
      </c>
      <c r="M74">
        <v>83043</v>
      </c>
      <c r="N74">
        <v>11</v>
      </c>
    </row>
    <row r="75" spans="1:14" x14ac:dyDescent="0.2">
      <c r="A75" s="3">
        <f t="shared" si="1"/>
        <v>503</v>
      </c>
      <c r="B75" t="str">
        <f>"00005030012"</f>
        <v>00005030012</v>
      </c>
      <c r="C75" t="s">
        <v>150</v>
      </c>
      <c r="D75" t="s">
        <v>52</v>
      </c>
      <c r="E75">
        <v>33</v>
      </c>
      <c r="F75">
        <v>2243</v>
      </c>
      <c r="G75" t="s">
        <v>151</v>
      </c>
      <c r="H75">
        <v>21</v>
      </c>
      <c r="I75" t="s">
        <v>34</v>
      </c>
      <c r="J75">
        <v>15</v>
      </c>
      <c r="K75" t="s">
        <v>34</v>
      </c>
      <c r="L75">
        <v>6</v>
      </c>
      <c r="M75">
        <v>3536</v>
      </c>
      <c r="N75">
        <v>6</v>
      </c>
    </row>
    <row r="76" spans="1:14" x14ac:dyDescent="0.2">
      <c r="A76" s="3">
        <f t="shared" si="1"/>
        <v>506</v>
      </c>
      <c r="B76" t="str">
        <f>"00005060008"</f>
        <v>00005060008</v>
      </c>
      <c r="C76" t="s">
        <v>152</v>
      </c>
      <c r="D76" t="s">
        <v>32</v>
      </c>
      <c r="E76">
        <v>30</v>
      </c>
      <c r="F76">
        <v>2182</v>
      </c>
      <c r="G76" t="s">
        <v>33</v>
      </c>
      <c r="H76">
        <v>21</v>
      </c>
      <c r="I76" t="s">
        <v>34</v>
      </c>
      <c r="J76">
        <v>15</v>
      </c>
      <c r="K76" t="s">
        <v>34</v>
      </c>
      <c r="L76">
        <v>8</v>
      </c>
      <c r="M76">
        <v>83052</v>
      </c>
      <c r="N76">
        <v>6</v>
      </c>
    </row>
    <row r="77" spans="1:14" x14ac:dyDescent="0.2">
      <c r="A77" s="3">
        <f t="shared" si="1"/>
        <v>511</v>
      </c>
      <c r="B77" t="str">
        <f>"00005110026"</f>
        <v>00005110026</v>
      </c>
      <c r="C77" t="s">
        <v>153</v>
      </c>
      <c r="D77" t="s">
        <v>70</v>
      </c>
      <c r="E77">
        <v>30</v>
      </c>
      <c r="F77">
        <v>4980</v>
      </c>
      <c r="G77" t="s">
        <v>154</v>
      </c>
      <c r="H77">
        <v>24</v>
      </c>
      <c r="I77" t="s">
        <v>34</v>
      </c>
      <c r="J77">
        <v>18</v>
      </c>
      <c r="K77" t="s">
        <v>34</v>
      </c>
      <c r="L77">
        <v>8</v>
      </c>
      <c r="M77">
        <v>82241</v>
      </c>
      <c r="N77">
        <v>6</v>
      </c>
    </row>
    <row r="78" spans="1:14" x14ac:dyDescent="0.2">
      <c r="A78" s="3">
        <f t="shared" si="1"/>
        <v>514</v>
      </c>
      <c r="B78" t="str">
        <f>"00005140006"</f>
        <v>00005140006</v>
      </c>
      <c r="C78" t="s">
        <v>155</v>
      </c>
      <c r="D78" t="s">
        <v>115</v>
      </c>
      <c r="E78">
        <v>54</v>
      </c>
      <c r="F78">
        <v>2270</v>
      </c>
      <c r="G78" t="s">
        <v>116</v>
      </c>
      <c r="H78">
        <v>90</v>
      </c>
      <c r="I78" t="s">
        <v>34</v>
      </c>
      <c r="J78">
        <v>69</v>
      </c>
      <c r="K78" t="s">
        <v>34</v>
      </c>
      <c r="L78">
        <v>8</v>
      </c>
      <c r="M78">
        <v>69259</v>
      </c>
      <c r="N78">
        <v>21</v>
      </c>
    </row>
    <row r="79" spans="1:14" x14ac:dyDescent="0.2">
      <c r="A79" s="3">
        <f t="shared" si="1"/>
        <v>515</v>
      </c>
      <c r="B79" t="str">
        <f>"00005150010"</f>
        <v>00005150010</v>
      </c>
      <c r="C79" t="s">
        <v>156</v>
      </c>
      <c r="D79" t="s">
        <v>48</v>
      </c>
      <c r="E79">
        <v>33</v>
      </c>
      <c r="F79">
        <v>4335</v>
      </c>
      <c r="G79" t="s">
        <v>157</v>
      </c>
      <c r="H79">
        <v>24</v>
      </c>
      <c r="I79" t="s">
        <v>34</v>
      </c>
      <c r="J79">
        <v>18</v>
      </c>
      <c r="K79" t="s">
        <v>34</v>
      </c>
      <c r="L79">
        <v>8</v>
      </c>
      <c r="M79">
        <v>85261</v>
      </c>
      <c r="N79">
        <v>6</v>
      </c>
    </row>
    <row r="80" spans="1:14" x14ac:dyDescent="0.2">
      <c r="A80" s="3">
        <f t="shared" si="1"/>
        <v>524</v>
      </c>
      <c r="B80" t="str">
        <f>"00005240008"</f>
        <v>00005240008</v>
      </c>
      <c r="C80" t="s">
        <v>158</v>
      </c>
      <c r="D80" t="s">
        <v>48</v>
      </c>
      <c r="E80">
        <v>33</v>
      </c>
      <c r="F80">
        <v>2243</v>
      </c>
      <c r="G80" t="s">
        <v>151</v>
      </c>
      <c r="H80">
        <v>21</v>
      </c>
      <c r="I80" t="s">
        <v>34</v>
      </c>
      <c r="J80">
        <v>15</v>
      </c>
      <c r="K80" t="s">
        <v>34</v>
      </c>
      <c r="L80">
        <v>8</v>
      </c>
      <c r="M80">
        <v>84032</v>
      </c>
      <c r="N80">
        <v>5</v>
      </c>
    </row>
    <row r="81" spans="1:14" x14ac:dyDescent="0.2">
      <c r="A81" s="3">
        <f t="shared" si="1"/>
        <v>526</v>
      </c>
      <c r="B81" t="str">
        <f>"00005260008"</f>
        <v>00005260008</v>
      </c>
      <c r="C81" t="s">
        <v>159</v>
      </c>
      <c r="D81" t="s">
        <v>32</v>
      </c>
      <c r="E81">
        <v>30</v>
      </c>
      <c r="F81">
        <v>4806</v>
      </c>
      <c r="G81" t="s">
        <v>160</v>
      </c>
      <c r="H81">
        <v>18</v>
      </c>
      <c r="I81" t="s">
        <v>34</v>
      </c>
      <c r="J81">
        <v>13</v>
      </c>
      <c r="K81" t="s">
        <v>34</v>
      </c>
      <c r="L81">
        <v>8</v>
      </c>
      <c r="M81">
        <v>82201</v>
      </c>
      <c r="N81">
        <v>5</v>
      </c>
    </row>
    <row r="82" spans="1:14" x14ac:dyDescent="0.2">
      <c r="A82" s="3">
        <f t="shared" si="1"/>
        <v>528</v>
      </c>
      <c r="B82" t="str">
        <f>"00005280015"</f>
        <v>00005280015</v>
      </c>
      <c r="C82" t="s">
        <v>161</v>
      </c>
      <c r="D82" t="s">
        <v>70</v>
      </c>
      <c r="E82">
        <v>30</v>
      </c>
      <c r="F82">
        <v>8006</v>
      </c>
      <c r="G82" t="s">
        <v>162</v>
      </c>
      <c r="H82">
        <v>23</v>
      </c>
      <c r="I82" t="s">
        <v>34</v>
      </c>
      <c r="J82">
        <v>17</v>
      </c>
      <c r="K82" t="s">
        <v>34</v>
      </c>
      <c r="L82">
        <v>8</v>
      </c>
      <c r="M82">
        <v>82093</v>
      </c>
      <c r="N82">
        <v>6</v>
      </c>
    </row>
    <row r="83" spans="1:14" x14ac:dyDescent="0.2">
      <c r="A83" s="3">
        <f t="shared" si="1"/>
        <v>534</v>
      </c>
      <c r="B83" t="str">
        <f>"00005340012"</f>
        <v>00005340012</v>
      </c>
      <c r="C83" t="s">
        <v>163</v>
      </c>
      <c r="D83" t="s">
        <v>101</v>
      </c>
      <c r="E83">
        <v>30</v>
      </c>
      <c r="F83">
        <v>8003</v>
      </c>
      <c r="G83" t="s">
        <v>164</v>
      </c>
      <c r="H83">
        <v>60</v>
      </c>
      <c r="I83" t="s">
        <v>34</v>
      </c>
      <c r="J83">
        <v>44</v>
      </c>
      <c r="K83" t="s">
        <v>34</v>
      </c>
      <c r="L83">
        <v>8</v>
      </c>
      <c r="M83">
        <v>83001</v>
      </c>
      <c r="N83">
        <v>16</v>
      </c>
    </row>
    <row r="84" spans="1:14" x14ac:dyDescent="0.2">
      <c r="A84" s="3">
        <f t="shared" si="1"/>
        <v>535</v>
      </c>
      <c r="B84" t="str">
        <f>"00005350006"</f>
        <v>00005350006</v>
      </c>
      <c r="C84" t="s">
        <v>165</v>
      </c>
      <c r="D84" t="s">
        <v>67</v>
      </c>
      <c r="E84">
        <v>33</v>
      </c>
      <c r="F84">
        <v>1864</v>
      </c>
      <c r="G84" t="s">
        <v>166</v>
      </c>
      <c r="H84">
        <v>23</v>
      </c>
      <c r="I84" t="s">
        <v>34</v>
      </c>
      <c r="J84">
        <v>17</v>
      </c>
      <c r="K84" t="s">
        <v>34</v>
      </c>
      <c r="L84">
        <v>8</v>
      </c>
      <c r="M84">
        <v>83155</v>
      </c>
      <c r="N84">
        <v>5</v>
      </c>
    </row>
    <row r="85" spans="1:14" x14ac:dyDescent="0.2">
      <c r="A85" s="3">
        <f t="shared" si="1"/>
        <v>538</v>
      </c>
      <c r="B85" t="str">
        <f>"00005380016"</f>
        <v>00005380016</v>
      </c>
      <c r="C85" t="s">
        <v>167</v>
      </c>
      <c r="D85" t="s">
        <v>70</v>
      </c>
      <c r="E85">
        <v>30</v>
      </c>
      <c r="F85">
        <v>391</v>
      </c>
      <c r="G85" t="s">
        <v>168</v>
      </c>
      <c r="H85">
        <v>60</v>
      </c>
      <c r="I85" t="s">
        <v>34</v>
      </c>
      <c r="J85">
        <v>44</v>
      </c>
      <c r="K85" t="s">
        <v>34</v>
      </c>
      <c r="L85">
        <v>8</v>
      </c>
      <c r="M85">
        <v>83038</v>
      </c>
      <c r="N85">
        <v>16</v>
      </c>
    </row>
    <row r="86" spans="1:14" x14ac:dyDescent="0.2">
      <c r="A86" s="3">
        <f t="shared" si="1"/>
        <v>543</v>
      </c>
      <c r="B86" t="str">
        <f>"00005430012"</f>
        <v>00005430012</v>
      </c>
      <c r="C86" t="s">
        <v>169</v>
      </c>
      <c r="D86" t="s">
        <v>70</v>
      </c>
      <c r="E86">
        <v>30</v>
      </c>
      <c r="F86">
        <v>2755</v>
      </c>
      <c r="G86" t="s">
        <v>170</v>
      </c>
      <c r="H86">
        <v>24</v>
      </c>
      <c r="I86" t="s">
        <v>34</v>
      </c>
      <c r="J86">
        <v>18</v>
      </c>
      <c r="K86" t="s">
        <v>34</v>
      </c>
      <c r="L86">
        <v>8</v>
      </c>
      <c r="M86">
        <v>83030</v>
      </c>
      <c r="N86">
        <v>6</v>
      </c>
    </row>
    <row r="87" spans="1:14" x14ac:dyDescent="0.2">
      <c r="A87" s="3">
        <f t="shared" si="1"/>
        <v>544</v>
      </c>
      <c r="B87" t="str">
        <f>"00005440004"</f>
        <v>00005440004</v>
      </c>
      <c r="C87" t="s">
        <v>171</v>
      </c>
      <c r="D87" t="s">
        <v>172</v>
      </c>
      <c r="E87">
        <v>33</v>
      </c>
      <c r="F87">
        <v>3484</v>
      </c>
      <c r="G87" t="s">
        <v>173</v>
      </c>
      <c r="H87">
        <v>9</v>
      </c>
      <c r="I87" t="s">
        <v>34</v>
      </c>
      <c r="J87">
        <v>6</v>
      </c>
      <c r="K87" t="s">
        <v>34</v>
      </c>
      <c r="L87">
        <v>8</v>
      </c>
      <c r="M87">
        <v>84226</v>
      </c>
      <c r="N87">
        <v>3</v>
      </c>
    </row>
    <row r="88" spans="1:14" x14ac:dyDescent="0.2">
      <c r="A88" s="3">
        <f t="shared" si="1"/>
        <v>551</v>
      </c>
      <c r="B88" t="str">
        <f>"00005510006"</f>
        <v>00005510006</v>
      </c>
      <c r="C88" t="s">
        <v>174</v>
      </c>
      <c r="D88" t="s">
        <v>48</v>
      </c>
      <c r="E88">
        <v>33</v>
      </c>
      <c r="F88">
        <v>2243</v>
      </c>
      <c r="G88" t="s">
        <v>151</v>
      </c>
      <c r="H88">
        <v>21</v>
      </c>
      <c r="I88" t="s">
        <v>34</v>
      </c>
      <c r="J88">
        <v>15</v>
      </c>
      <c r="K88" t="s">
        <v>34</v>
      </c>
      <c r="L88">
        <v>8</v>
      </c>
      <c r="M88">
        <v>84091</v>
      </c>
      <c r="N88">
        <v>6</v>
      </c>
    </row>
    <row r="89" spans="1:14" x14ac:dyDescent="0.2">
      <c r="A89" s="3">
        <f t="shared" si="1"/>
        <v>554</v>
      </c>
      <c r="B89" t="str">
        <f>"00005540006"</f>
        <v>00005540006</v>
      </c>
      <c r="C89" t="s">
        <v>175</v>
      </c>
      <c r="D89" t="s">
        <v>172</v>
      </c>
      <c r="E89">
        <v>30</v>
      </c>
      <c r="F89">
        <v>2785</v>
      </c>
      <c r="G89" t="s">
        <v>176</v>
      </c>
      <c r="H89">
        <v>12</v>
      </c>
      <c r="I89" t="s">
        <v>34</v>
      </c>
      <c r="J89">
        <v>8</v>
      </c>
      <c r="K89" t="s">
        <v>34</v>
      </c>
      <c r="L89">
        <v>8</v>
      </c>
      <c r="M89">
        <v>84010</v>
      </c>
      <c r="N89">
        <v>4</v>
      </c>
    </row>
    <row r="90" spans="1:14" x14ac:dyDescent="0.2">
      <c r="A90" s="3">
        <f t="shared" si="1"/>
        <v>556</v>
      </c>
      <c r="B90" t="str">
        <f>"00005560006"</f>
        <v>00005560006</v>
      </c>
      <c r="C90" t="s">
        <v>177</v>
      </c>
      <c r="D90" t="s">
        <v>172</v>
      </c>
      <c r="E90">
        <v>30</v>
      </c>
      <c r="F90">
        <v>2785</v>
      </c>
      <c r="G90" t="s">
        <v>176</v>
      </c>
      <c r="H90">
        <v>12</v>
      </c>
      <c r="I90" t="s">
        <v>34</v>
      </c>
      <c r="J90">
        <v>8</v>
      </c>
      <c r="K90" t="s">
        <v>34</v>
      </c>
      <c r="L90">
        <v>8</v>
      </c>
      <c r="M90">
        <v>84023</v>
      </c>
      <c r="N90">
        <v>4</v>
      </c>
    </row>
    <row r="91" spans="1:14" x14ac:dyDescent="0.2">
      <c r="A91" s="3">
        <f t="shared" si="1"/>
        <v>558</v>
      </c>
      <c r="B91" t="str">
        <f>"00005580020"</f>
        <v>00005580020</v>
      </c>
      <c r="C91" t="s">
        <v>178</v>
      </c>
      <c r="D91" t="s">
        <v>70</v>
      </c>
      <c r="E91">
        <v>30</v>
      </c>
      <c r="F91">
        <v>4980</v>
      </c>
      <c r="G91" t="s">
        <v>154</v>
      </c>
      <c r="H91">
        <v>21</v>
      </c>
      <c r="I91" t="s">
        <v>34</v>
      </c>
      <c r="J91">
        <v>15</v>
      </c>
      <c r="K91" t="s">
        <v>34</v>
      </c>
      <c r="L91">
        <v>8</v>
      </c>
      <c r="M91">
        <v>82219</v>
      </c>
      <c r="N91">
        <v>6</v>
      </c>
    </row>
    <row r="92" spans="1:14" x14ac:dyDescent="0.2">
      <c r="A92" s="3">
        <f t="shared" si="1"/>
        <v>559</v>
      </c>
      <c r="B92" t="str">
        <f>"00005590008"</f>
        <v>00005590008</v>
      </c>
      <c r="C92" t="s">
        <v>179</v>
      </c>
      <c r="D92" t="s">
        <v>48</v>
      </c>
      <c r="E92">
        <v>33</v>
      </c>
      <c r="F92">
        <v>2243</v>
      </c>
      <c r="G92" t="s">
        <v>151</v>
      </c>
      <c r="H92">
        <v>21</v>
      </c>
      <c r="I92" t="s">
        <v>34</v>
      </c>
      <c r="J92">
        <v>15</v>
      </c>
      <c r="K92" t="s">
        <v>34</v>
      </c>
      <c r="L92">
        <v>8</v>
      </c>
      <c r="M92">
        <v>84065</v>
      </c>
      <c r="N92">
        <v>6</v>
      </c>
    </row>
    <row r="93" spans="1:14" x14ac:dyDescent="0.2">
      <c r="A93" s="3">
        <f t="shared" si="1"/>
        <v>564</v>
      </c>
      <c r="B93" t="str">
        <f>"00005640012"</f>
        <v>00005640012</v>
      </c>
      <c r="C93" t="s">
        <v>180</v>
      </c>
      <c r="D93" t="s">
        <v>172</v>
      </c>
      <c r="E93">
        <v>33</v>
      </c>
      <c r="F93">
        <v>4335</v>
      </c>
      <c r="G93" t="s">
        <v>157</v>
      </c>
      <c r="H93">
        <v>24</v>
      </c>
      <c r="I93" t="s">
        <v>34</v>
      </c>
      <c r="J93">
        <v>18</v>
      </c>
      <c r="K93" t="s">
        <v>34</v>
      </c>
      <c r="L93">
        <v>8</v>
      </c>
      <c r="M93">
        <v>83159</v>
      </c>
      <c r="N93">
        <v>6</v>
      </c>
    </row>
    <row r="94" spans="1:14" x14ac:dyDescent="0.2">
      <c r="A94" s="3">
        <f t="shared" si="1"/>
        <v>566</v>
      </c>
      <c r="B94" t="str">
        <f>"00005660010"</f>
        <v>00005660010</v>
      </c>
      <c r="C94" t="s">
        <v>181</v>
      </c>
      <c r="D94" t="s">
        <v>70</v>
      </c>
      <c r="E94">
        <v>33</v>
      </c>
      <c r="F94">
        <v>1281</v>
      </c>
      <c r="G94" t="s">
        <v>182</v>
      </c>
      <c r="H94">
        <v>13</v>
      </c>
      <c r="I94" t="s">
        <v>34</v>
      </c>
      <c r="J94">
        <v>9</v>
      </c>
      <c r="K94" t="s">
        <v>34</v>
      </c>
      <c r="L94">
        <v>8</v>
      </c>
      <c r="M94">
        <v>91113</v>
      </c>
      <c r="N94">
        <v>4</v>
      </c>
    </row>
    <row r="95" spans="1:14" x14ac:dyDescent="0.2">
      <c r="A95" s="3">
        <f t="shared" si="1"/>
        <v>569</v>
      </c>
      <c r="B95" t="str">
        <f>"00005690016"</f>
        <v>00005690016</v>
      </c>
      <c r="C95" t="s">
        <v>183</v>
      </c>
      <c r="D95" t="s">
        <v>32</v>
      </c>
      <c r="E95">
        <v>30</v>
      </c>
      <c r="F95">
        <v>3124</v>
      </c>
      <c r="G95" t="s">
        <v>184</v>
      </c>
      <c r="H95">
        <v>37</v>
      </c>
      <c r="I95" t="s">
        <v>34</v>
      </c>
      <c r="J95">
        <v>28</v>
      </c>
      <c r="K95" t="s">
        <v>34</v>
      </c>
      <c r="L95">
        <v>8</v>
      </c>
      <c r="M95">
        <v>82182</v>
      </c>
      <c r="N95">
        <v>6</v>
      </c>
    </row>
    <row r="96" spans="1:14" x14ac:dyDescent="0.2">
      <c r="A96" s="3">
        <f t="shared" si="1"/>
        <v>572</v>
      </c>
      <c r="B96" t="str">
        <f>"00005720010"</f>
        <v>00005720010</v>
      </c>
      <c r="C96" t="s">
        <v>185</v>
      </c>
      <c r="D96" t="s">
        <v>48</v>
      </c>
      <c r="E96">
        <v>33</v>
      </c>
      <c r="F96">
        <v>1949</v>
      </c>
      <c r="G96" t="s">
        <v>186</v>
      </c>
      <c r="H96">
        <v>35</v>
      </c>
      <c r="I96" t="s">
        <v>34</v>
      </c>
      <c r="J96">
        <v>27</v>
      </c>
      <c r="K96" t="s">
        <v>34</v>
      </c>
      <c r="L96">
        <v>8</v>
      </c>
      <c r="M96">
        <v>85252</v>
      </c>
      <c r="N96">
        <v>8</v>
      </c>
    </row>
    <row r="97" spans="1:14" x14ac:dyDescent="0.2">
      <c r="A97" s="3">
        <f t="shared" si="1"/>
        <v>573</v>
      </c>
      <c r="B97" t="str">
        <f>"00005730012"</f>
        <v>00005730012</v>
      </c>
      <c r="C97" t="s">
        <v>187</v>
      </c>
      <c r="D97" t="s">
        <v>48</v>
      </c>
      <c r="E97">
        <v>33</v>
      </c>
      <c r="F97">
        <v>3275</v>
      </c>
      <c r="G97" t="s">
        <v>188</v>
      </c>
      <c r="H97">
        <v>17</v>
      </c>
      <c r="I97" t="s">
        <v>34</v>
      </c>
      <c r="J97">
        <v>11</v>
      </c>
      <c r="K97" t="s">
        <v>34</v>
      </c>
      <c r="L97">
        <v>8</v>
      </c>
      <c r="M97">
        <v>85259</v>
      </c>
      <c r="N97">
        <v>6</v>
      </c>
    </row>
    <row r="98" spans="1:14" x14ac:dyDescent="0.2">
      <c r="A98" s="3">
        <f t="shared" si="1"/>
        <v>575</v>
      </c>
      <c r="B98" t="str">
        <f>"00005750010"</f>
        <v>00005750010</v>
      </c>
      <c r="C98" t="s">
        <v>189</v>
      </c>
      <c r="D98" t="s">
        <v>32</v>
      </c>
      <c r="E98">
        <v>30</v>
      </c>
      <c r="F98">
        <v>3124</v>
      </c>
      <c r="G98" t="s">
        <v>184</v>
      </c>
      <c r="H98">
        <v>30</v>
      </c>
      <c r="I98" t="s">
        <v>34</v>
      </c>
      <c r="J98">
        <v>20</v>
      </c>
      <c r="K98" t="s">
        <v>34</v>
      </c>
      <c r="L98">
        <v>8</v>
      </c>
      <c r="M98">
        <v>83025</v>
      </c>
      <c r="N98">
        <v>10</v>
      </c>
    </row>
    <row r="99" spans="1:14" x14ac:dyDescent="0.2">
      <c r="A99" s="3">
        <f t="shared" si="1"/>
        <v>577</v>
      </c>
      <c r="B99" t="str">
        <f>"00005770018"</f>
        <v>00005770018</v>
      </c>
      <c r="C99" t="s">
        <v>190</v>
      </c>
      <c r="D99" t="s">
        <v>101</v>
      </c>
      <c r="E99">
        <v>30</v>
      </c>
      <c r="F99">
        <v>8003</v>
      </c>
      <c r="G99" t="s">
        <v>164</v>
      </c>
      <c r="H99">
        <v>60</v>
      </c>
      <c r="I99" t="s">
        <v>34</v>
      </c>
      <c r="J99">
        <v>44</v>
      </c>
      <c r="K99" t="s">
        <v>34</v>
      </c>
      <c r="L99">
        <v>8</v>
      </c>
      <c r="M99">
        <v>83006</v>
      </c>
      <c r="N99">
        <v>16</v>
      </c>
    </row>
    <row r="100" spans="1:14" x14ac:dyDescent="0.2">
      <c r="A100" s="3">
        <f t="shared" si="1"/>
        <v>578</v>
      </c>
      <c r="B100" t="str">
        <f>"00005780012"</f>
        <v>00005780012</v>
      </c>
      <c r="C100" t="s">
        <v>191</v>
      </c>
      <c r="D100" t="s">
        <v>32</v>
      </c>
      <c r="E100">
        <v>33</v>
      </c>
      <c r="F100">
        <v>1064</v>
      </c>
      <c r="G100" t="s">
        <v>192</v>
      </c>
      <c r="H100">
        <v>120</v>
      </c>
      <c r="I100" t="s">
        <v>34</v>
      </c>
      <c r="J100">
        <v>88</v>
      </c>
      <c r="K100" t="s">
        <v>34</v>
      </c>
      <c r="L100">
        <v>9</v>
      </c>
      <c r="M100">
        <v>85184</v>
      </c>
      <c r="N100">
        <v>32</v>
      </c>
    </row>
    <row r="101" spans="1:14" x14ac:dyDescent="0.2">
      <c r="A101" s="3">
        <f t="shared" si="1"/>
        <v>581</v>
      </c>
      <c r="B101" t="str">
        <f>"00005810012"</f>
        <v>00005810012</v>
      </c>
      <c r="C101" t="s">
        <v>193</v>
      </c>
      <c r="D101" t="s">
        <v>32</v>
      </c>
      <c r="E101">
        <v>33</v>
      </c>
      <c r="F101">
        <v>1064</v>
      </c>
      <c r="G101" t="s">
        <v>192</v>
      </c>
      <c r="H101">
        <v>120</v>
      </c>
      <c r="I101" t="s">
        <v>34</v>
      </c>
      <c r="J101">
        <v>88</v>
      </c>
      <c r="K101" t="s">
        <v>34</v>
      </c>
      <c r="L101">
        <v>8</v>
      </c>
      <c r="M101">
        <v>85258</v>
      </c>
      <c r="N101">
        <v>32</v>
      </c>
    </row>
    <row r="102" spans="1:14" x14ac:dyDescent="0.2">
      <c r="A102" s="3">
        <f t="shared" si="1"/>
        <v>583</v>
      </c>
      <c r="B102" t="str">
        <f>"00005830016"</f>
        <v>00005830016</v>
      </c>
      <c r="C102" t="s">
        <v>194</v>
      </c>
      <c r="D102" t="s">
        <v>70</v>
      </c>
      <c r="E102">
        <v>30</v>
      </c>
      <c r="F102">
        <v>2734</v>
      </c>
      <c r="G102" t="s">
        <v>195</v>
      </c>
      <c r="H102">
        <v>50</v>
      </c>
      <c r="I102" t="s">
        <v>34</v>
      </c>
      <c r="J102">
        <v>37</v>
      </c>
      <c r="K102" t="s">
        <v>34</v>
      </c>
      <c r="L102">
        <v>8</v>
      </c>
      <c r="M102">
        <v>83047</v>
      </c>
      <c r="N102">
        <v>13</v>
      </c>
    </row>
    <row r="103" spans="1:14" x14ac:dyDescent="0.2">
      <c r="A103" s="3">
        <f t="shared" si="1"/>
        <v>584</v>
      </c>
      <c r="B103" t="str">
        <f>"00005840018"</f>
        <v>00005840018</v>
      </c>
      <c r="C103" t="s">
        <v>196</v>
      </c>
      <c r="D103" t="s">
        <v>70</v>
      </c>
      <c r="E103">
        <v>30</v>
      </c>
      <c r="F103">
        <v>3760</v>
      </c>
      <c r="G103" t="s">
        <v>197</v>
      </c>
      <c r="H103">
        <v>65</v>
      </c>
      <c r="I103" t="s">
        <v>34</v>
      </c>
      <c r="J103">
        <v>52</v>
      </c>
      <c r="K103" t="s">
        <v>34</v>
      </c>
      <c r="L103">
        <v>8</v>
      </c>
      <c r="M103">
        <v>83021</v>
      </c>
      <c r="N103">
        <v>13</v>
      </c>
    </row>
    <row r="104" spans="1:14" x14ac:dyDescent="0.2">
      <c r="A104" s="3">
        <f t="shared" si="1"/>
        <v>587</v>
      </c>
      <c r="B104" t="str">
        <f>"00005870300"</f>
        <v>00005870300</v>
      </c>
      <c r="C104" t="s">
        <v>198</v>
      </c>
      <c r="D104" t="s">
        <v>70</v>
      </c>
      <c r="E104">
        <v>30</v>
      </c>
      <c r="F104">
        <v>4980</v>
      </c>
      <c r="G104" t="s">
        <v>154</v>
      </c>
      <c r="H104">
        <v>21</v>
      </c>
      <c r="I104" t="s">
        <v>34</v>
      </c>
      <c r="J104">
        <v>15</v>
      </c>
      <c r="K104" t="s">
        <v>34</v>
      </c>
      <c r="L104">
        <v>8</v>
      </c>
      <c r="M104">
        <v>83032</v>
      </c>
      <c r="N104">
        <v>6</v>
      </c>
    </row>
    <row r="105" spans="1:14" x14ac:dyDescent="0.2">
      <c r="A105" s="3">
        <f t="shared" si="1"/>
        <v>589</v>
      </c>
      <c r="B105" t="str">
        <f>"00005890006"</f>
        <v>00005890006</v>
      </c>
      <c r="C105" t="s">
        <v>199</v>
      </c>
      <c r="D105" t="s">
        <v>48</v>
      </c>
      <c r="E105">
        <v>33</v>
      </c>
      <c r="F105">
        <v>8006</v>
      </c>
      <c r="G105" t="s">
        <v>162</v>
      </c>
      <c r="H105">
        <v>15</v>
      </c>
      <c r="I105" t="s">
        <v>34</v>
      </c>
      <c r="J105">
        <v>10</v>
      </c>
      <c r="K105" t="s">
        <v>34</v>
      </c>
      <c r="L105">
        <v>8</v>
      </c>
      <c r="M105">
        <v>82098</v>
      </c>
      <c r="N105">
        <v>5</v>
      </c>
    </row>
    <row r="106" spans="1:14" x14ac:dyDescent="0.2">
      <c r="A106" s="3">
        <f t="shared" si="1"/>
        <v>590</v>
      </c>
      <c r="B106" t="str">
        <f>"00005900008"</f>
        <v>00005900008</v>
      </c>
      <c r="C106" t="s">
        <v>200</v>
      </c>
      <c r="D106" t="s">
        <v>48</v>
      </c>
      <c r="E106">
        <v>33</v>
      </c>
      <c r="F106">
        <v>2243</v>
      </c>
      <c r="G106" t="s">
        <v>151</v>
      </c>
      <c r="H106">
        <v>14</v>
      </c>
      <c r="I106" t="s">
        <v>34</v>
      </c>
      <c r="J106">
        <v>9</v>
      </c>
      <c r="K106" t="s">
        <v>34</v>
      </c>
      <c r="L106">
        <v>8</v>
      </c>
      <c r="M106">
        <v>85263</v>
      </c>
      <c r="N106">
        <v>5</v>
      </c>
    </row>
    <row r="107" spans="1:14" x14ac:dyDescent="0.2">
      <c r="A107" s="3">
        <f t="shared" si="1"/>
        <v>591</v>
      </c>
      <c r="B107" t="str">
        <f>"00005910012"</f>
        <v>00005910012</v>
      </c>
      <c r="C107" t="s">
        <v>201</v>
      </c>
      <c r="D107" t="s">
        <v>70</v>
      </c>
      <c r="E107">
        <v>30</v>
      </c>
      <c r="F107">
        <v>1140</v>
      </c>
      <c r="G107" t="s">
        <v>202</v>
      </c>
      <c r="H107">
        <v>24</v>
      </c>
      <c r="I107" t="s">
        <v>34</v>
      </c>
      <c r="J107">
        <v>18</v>
      </c>
      <c r="K107" t="s">
        <v>34</v>
      </c>
      <c r="L107">
        <v>8</v>
      </c>
      <c r="M107">
        <v>83045</v>
      </c>
      <c r="N107">
        <v>6</v>
      </c>
    </row>
    <row r="108" spans="1:14" x14ac:dyDescent="0.2">
      <c r="A108" s="3">
        <f t="shared" si="1"/>
        <v>594</v>
      </c>
      <c r="B108" t="str">
        <f>"00005940010"</f>
        <v>00005940010</v>
      </c>
      <c r="C108" t="s">
        <v>203</v>
      </c>
      <c r="D108" t="s">
        <v>172</v>
      </c>
      <c r="E108">
        <v>33</v>
      </c>
      <c r="F108">
        <v>4335</v>
      </c>
      <c r="G108" t="s">
        <v>157</v>
      </c>
      <c r="H108">
        <v>10</v>
      </c>
      <c r="I108" t="s">
        <v>34</v>
      </c>
      <c r="J108">
        <v>7</v>
      </c>
      <c r="K108" t="s">
        <v>34</v>
      </c>
      <c r="L108">
        <v>8</v>
      </c>
      <c r="M108">
        <v>85061</v>
      </c>
      <c r="N108">
        <v>3</v>
      </c>
    </row>
    <row r="109" spans="1:14" x14ac:dyDescent="0.2">
      <c r="A109" s="3">
        <f t="shared" si="1"/>
        <v>595</v>
      </c>
      <c r="B109" t="str">
        <f>"00005950010"</f>
        <v>00005950010</v>
      </c>
      <c r="C109" t="s">
        <v>204</v>
      </c>
      <c r="D109" t="s">
        <v>172</v>
      </c>
      <c r="E109">
        <v>33</v>
      </c>
      <c r="F109">
        <v>4335</v>
      </c>
      <c r="G109" t="s">
        <v>157</v>
      </c>
      <c r="H109">
        <v>7</v>
      </c>
      <c r="I109" t="s">
        <v>34</v>
      </c>
      <c r="J109">
        <v>5</v>
      </c>
      <c r="K109" t="s">
        <v>34</v>
      </c>
      <c r="L109">
        <v>8</v>
      </c>
      <c r="M109">
        <v>85072</v>
      </c>
      <c r="N109">
        <v>2</v>
      </c>
    </row>
    <row r="110" spans="1:14" x14ac:dyDescent="0.2">
      <c r="A110" s="3">
        <f t="shared" si="1"/>
        <v>597</v>
      </c>
      <c r="B110" t="str">
        <f>"00005970012"</f>
        <v>00005970012</v>
      </c>
      <c r="C110" t="s">
        <v>205</v>
      </c>
      <c r="D110" t="s">
        <v>52</v>
      </c>
      <c r="E110">
        <v>33</v>
      </c>
      <c r="F110">
        <v>3428</v>
      </c>
      <c r="G110" t="s">
        <v>206</v>
      </c>
      <c r="H110">
        <v>42</v>
      </c>
      <c r="I110" t="s">
        <v>34</v>
      </c>
      <c r="J110">
        <v>32</v>
      </c>
      <c r="K110" t="s">
        <v>34</v>
      </c>
      <c r="L110">
        <v>9</v>
      </c>
      <c r="M110">
        <v>85223</v>
      </c>
      <c r="N110">
        <v>10</v>
      </c>
    </row>
    <row r="111" spans="1:14" x14ac:dyDescent="0.2">
      <c r="A111" s="3">
        <f t="shared" si="1"/>
        <v>599</v>
      </c>
      <c r="B111" t="str">
        <f>"00005990018"</f>
        <v>00005990018</v>
      </c>
      <c r="C111" t="s">
        <v>207</v>
      </c>
      <c r="D111" t="s">
        <v>77</v>
      </c>
      <c r="E111">
        <v>30</v>
      </c>
      <c r="F111">
        <v>191</v>
      </c>
      <c r="G111" t="s">
        <v>208</v>
      </c>
      <c r="H111">
        <v>80</v>
      </c>
      <c r="I111" t="s">
        <v>34</v>
      </c>
      <c r="J111">
        <v>62</v>
      </c>
      <c r="K111" t="s">
        <v>34</v>
      </c>
      <c r="L111">
        <v>8</v>
      </c>
      <c r="M111">
        <v>83072</v>
      </c>
      <c r="N111">
        <v>13</v>
      </c>
    </row>
    <row r="112" spans="1:14" x14ac:dyDescent="0.2">
      <c r="A112" s="3">
        <f t="shared" si="1"/>
        <v>600</v>
      </c>
      <c r="B112" t="str">
        <f>"00006000006"</f>
        <v>00006000006</v>
      </c>
      <c r="C112" t="s">
        <v>209</v>
      </c>
      <c r="D112" t="s">
        <v>23</v>
      </c>
      <c r="E112">
        <v>41</v>
      </c>
      <c r="F112">
        <v>851</v>
      </c>
      <c r="G112" t="s">
        <v>210</v>
      </c>
      <c r="H112">
        <v>90</v>
      </c>
      <c r="I112" t="s">
        <v>34</v>
      </c>
      <c r="J112">
        <v>69</v>
      </c>
      <c r="K112" t="s">
        <v>34</v>
      </c>
      <c r="L112">
        <v>8</v>
      </c>
      <c r="M112">
        <v>69212</v>
      </c>
      <c r="N112">
        <v>21</v>
      </c>
    </row>
    <row r="113" spans="1:14" x14ac:dyDescent="0.2">
      <c r="A113" s="3">
        <f t="shared" si="1"/>
        <v>601</v>
      </c>
      <c r="B113" t="str">
        <f>"00006010006"</f>
        <v>00006010006</v>
      </c>
      <c r="C113" t="s">
        <v>211</v>
      </c>
      <c r="D113" t="s">
        <v>23</v>
      </c>
      <c r="E113">
        <v>41</v>
      </c>
      <c r="F113">
        <v>1220</v>
      </c>
      <c r="G113" t="s">
        <v>212</v>
      </c>
      <c r="H113">
        <v>90</v>
      </c>
      <c r="I113" t="s">
        <v>34</v>
      </c>
      <c r="J113">
        <v>69</v>
      </c>
      <c r="K113" t="s">
        <v>34</v>
      </c>
      <c r="L113">
        <v>8</v>
      </c>
      <c r="M113">
        <v>95020</v>
      </c>
      <c r="N113">
        <v>21</v>
      </c>
    </row>
    <row r="114" spans="1:14" x14ac:dyDescent="0.2">
      <c r="A114" s="3">
        <f t="shared" si="1"/>
        <v>604</v>
      </c>
      <c r="B114" t="str">
        <f>"00006040016"</f>
        <v>00006040016</v>
      </c>
      <c r="C114" t="s">
        <v>213</v>
      </c>
      <c r="D114" t="s">
        <v>70</v>
      </c>
      <c r="E114">
        <v>45</v>
      </c>
      <c r="F114">
        <v>2307</v>
      </c>
      <c r="G114" t="s">
        <v>214</v>
      </c>
      <c r="H114">
        <v>70</v>
      </c>
      <c r="I114" t="s">
        <v>34</v>
      </c>
      <c r="J114">
        <v>56</v>
      </c>
      <c r="K114" t="s">
        <v>34</v>
      </c>
      <c r="L114">
        <v>8</v>
      </c>
      <c r="M114">
        <v>81096</v>
      </c>
      <c r="N114">
        <v>14</v>
      </c>
    </row>
    <row r="115" spans="1:14" x14ac:dyDescent="0.2">
      <c r="A115" s="3">
        <f t="shared" si="1"/>
        <v>605</v>
      </c>
      <c r="B115" t="str">
        <f>"00006050012"</f>
        <v>00006050012</v>
      </c>
      <c r="C115" t="s">
        <v>215</v>
      </c>
      <c r="D115" t="s">
        <v>216</v>
      </c>
      <c r="E115">
        <v>41</v>
      </c>
      <c r="F115">
        <v>1967</v>
      </c>
      <c r="G115" t="s">
        <v>217</v>
      </c>
      <c r="H115">
        <v>120</v>
      </c>
      <c r="I115" t="s">
        <v>34</v>
      </c>
      <c r="J115">
        <v>88</v>
      </c>
      <c r="K115" t="s">
        <v>34</v>
      </c>
      <c r="L115">
        <v>8</v>
      </c>
      <c r="M115">
        <v>72269</v>
      </c>
      <c r="N115">
        <v>32</v>
      </c>
    </row>
    <row r="116" spans="1:14" x14ac:dyDescent="0.2">
      <c r="A116" s="3">
        <f t="shared" si="1"/>
        <v>607</v>
      </c>
      <c r="B116" t="str">
        <f>"00006070006"</f>
        <v>00006070006</v>
      </c>
      <c r="C116" t="s">
        <v>218</v>
      </c>
      <c r="D116" t="s">
        <v>115</v>
      </c>
      <c r="E116">
        <v>54</v>
      </c>
      <c r="F116">
        <v>2270</v>
      </c>
      <c r="G116" t="s">
        <v>116</v>
      </c>
      <c r="H116">
        <v>90</v>
      </c>
      <c r="I116" t="s">
        <v>34</v>
      </c>
      <c r="J116">
        <v>69</v>
      </c>
      <c r="K116" t="s">
        <v>34</v>
      </c>
      <c r="L116">
        <v>8</v>
      </c>
      <c r="M116">
        <v>70005</v>
      </c>
      <c r="N116">
        <v>21</v>
      </c>
    </row>
    <row r="117" spans="1:14" x14ac:dyDescent="0.2">
      <c r="A117" s="3">
        <f t="shared" si="1"/>
        <v>608</v>
      </c>
      <c r="B117" t="str">
        <f>"00006080012"</f>
        <v>00006080012</v>
      </c>
      <c r="C117" t="s">
        <v>219</v>
      </c>
      <c r="D117" t="s">
        <v>115</v>
      </c>
      <c r="E117">
        <v>54</v>
      </c>
      <c r="F117">
        <v>2270</v>
      </c>
      <c r="G117" t="s">
        <v>116</v>
      </c>
      <c r="H117">
        <v>90</v>
      </c>
      <c r="I117" t="s">
        <v>34</v>
      </c>
      <c r="J117">
        <v>69</v>
      </c>
      <c r="K117" t="s">
        <v>34</v>
      </c>
      <c r="L117">
        <v>8</v>
      </c>
      <c r="M117">
        <v>69269</v>
      </c>
      <c r="N117">
        <v>21</v>
      </c>
    </row>
    <row r="118" spans="1:14" x14ac:dyDescent="0.2">
      <c r="A118" s="3">
        <f t="shared" si="1"/>
        <v>609</v>
      </c>
      <c r="B118" t="str">
        <f>"00006090006"</f>
        <v>00006090006</v>
      </c>
      <c r="C118" t="s">
        <v>220</v>
      </c>
      <c r="D118" t="s">
        <v>23</v>
      </c>
      <c r="E118">
        <v>41</v>
      </c>
      <c r="F118">
        <v>1220</v>
      </c>
      <c r="G118" t="s">
        <v>212</v>
      </c>
      <c r="H118">
        <v>90</v>
      </c>
      <c r="I118" t="s">
        <v>34</v>
      </c>
      <c r="J118">
        <v>69</v>
      </c>
      <c r="K118" t="s">
        <v>34</v>
      </c>
      <c r="L118">
        <v>8</v>
      </c>
      <c r="M118">
        <v>69214</v>
      </c>
      <c r="N118">
        <v>21</v>
      </c>
    </row>
    <row r="119" spans="1:14" x14ac:dyDescent="0.2">
      <c r="A119" s="3">
        <f t="shared" si="1"/>
        <v>610</v>
      </c>
      <c r="B119" t="str">
        <f>"00006100012"</f>
        <v>00006100012</v>
      </c>
      <c r="C119" t="s">
        <v>221</v>
      </c>
      <c r="D119" t="s">
        <v>115</v>
      </c>
      <c r="E119">
        <v>54</v>
      </c>
      <c r="F119">
        <v>2270</v>
      </c>
      <c r="G119" t="s">
        <v>116</v>
      </c>
      <c r="H119">
        <v>90</v>
      </c>
      <c r="I119" t="s">
        <v>34</v>
      </c>
      <c r="J119">
        <v>69</v>
      </c>
      <c r="K119" t="s">
        <v>34</v>
      </c>
      <c r="L119">
        <v>8</v>
      </c>
      <c r="M119">
        <v>69274</v>
      </c>
      <c r="N119">
        <v>21</v>
      </c>
    </row>
    <row r="120" spans="1:14" x14ac:dyDescent="0.2">
      <c r="A120" s="3">
        <f t="shared" si="1"/>
        <v>611</v>
      </c>
      <c r="B120" t="str">
        <f>"00006110012"</f>
        <v>00006110012</v>
      </c>
      <c r="C120" t="s">
        <v>222</v>
      </c>
      <c r="D120" t="s">
        <v>115</v>
      </c>
      <c r="E120">
        <v>54</v>
      </c>
      <c r="F120">
        <v>2270</v>
      </c>
      <c r="G120" t="s">
        <v>116</v>
      </c>
      <c r="H120">
        <v>90</v>
      </c>
      <c r="I120" t="s">
        <v>34</v>
      </c>
      <c r="J120">
        <v>69</v>
      </c>
      <c r="K120" t="s">
        <v>34</v>
      </c>
      <c r="L120">
        <v>8</v>
      </c>
      <c r="M120">
        <v>69272</v>
      </c>
      <c r="N120">
        <v>21</v>
      </c>
    </row>
    <row r="121" spans="1:14" x14ac:dyDescent="0.2">
      <c r="A121" s="3">
        <f t="shared" si="1"/>
        <v>612</v>
      </c>
      <c r="B121" t="str">
        <f>"00006120012"</f>
        <v>00006120012</v>
      </c>
      <c r="C121" t="s">
        <v>223</v>
      </c>
      <c r="D121" t="s">
        <v>115</v>
      </c>
      <c r="E121">
        <v>54</v>
      </c>
      <c r="F121">
        <v>2270</v>
      </c>
      <c r="G121" t="s">
        <v>116</v>
      </c>
      <c r="H121">
        <v>90</v>
      </c>
      <c r="I121" t="s">
        <v>34</v>
      </c>
      <c r="J121">
        <v>69</v>
      </c>
      <c r="K121" t="s">
        <v>34</v>
      </c>
      <c r="L121">
        <v>8</v>
      </c>
      <c r="M121">
        <v>70006</v>
      </c>
      <c r="N121">
        <v>21</v>
      </c>
    </row>
    <row r="122" spans="1:14" x14ac:dyDescent="0.2">
      <c r="A122" s="3">
        <f t="shared" si="1"/>
        <v>613</v>
      </c>
      <c r="B122" t="str">
        <f>"00006130008"</f>
        <v>00006130008</v>
      </c>
      <c r="C122" t="s">
        <v>224</v>
      </c>
      <c r="D122" t="s">
        <v>115</v>
      </c>
      <c r="E122">
        <v>54</v>
      </c>
      <c r="F122">
        <v>2270</v>
      </c>
      <c r="G122" t="s">
        <v>116</v>
      </c>
      <c r="H122">
        <v>90</v>
      </c>
      <c r="I122" t="s">
        <v>34</v>
      </c>
      <c r="J122">
        <v>69</v>
      </c>
      <c r="K122" t="s">
        <v>34</v>
      </c>
      <c r="L122">
        <v>8</v>
      </c>
      <c r="M122">
        <v>69261</v>
      </c>
      <c r="N122">
        <v>21</v>
      </c>
    </row>
    <row r="123" spans="1:14" x14ac:dyDescent="0.2">
      <c r="A123" s="3">
        <f t="shared" si="1"/>
        <v>614</v>
      </c>
      <c r="B123" t="str">
        <f>"00006140008"</f>
        <v>00006140008</v>
      </c>
      <c r="C123" t="s">
        <v>225</v>
      </c>
      <c r="D123" t="s">
        <v>115</v>
      </c>
      <c r="E123">
        <v>54</v>
      </c>
      <c r="F123">
        <v>2270</v>
      </c>
      <c r="G123" t="s">
        <v>116</v>
      </c>
      <c r="H123">
        <v>90</v>
      </c>
      <c r="I123" t="s">
        <v>34</v>
      </c>
      <c r="J123">
        <v>69</v>
      </c>
      <c r="K123" t="s">
        <v>34</v>
      </c>
      <c r="L123">
        <v>8</v>
      </c>
      <c r="M123">
        <v>69265</v>
      </c>
      <c r="N123">
        <v>21</v>
      </c>
    </row>
    <row r="124" spans="1:14" x14ac:dyDescent="0.2">
      <c r="A124" s="3">
        <f t="shared" si="1"/>
        <v>616</v>
      </c>
      <c r="B124" t="str">
        <f>"00006160008"</f>
        <v>00006160008</v>
      </c>
      <c r="C124" t="s">
        <v>226</v>
      </c>
      <c r="D124" t="s">
        <v>115</v>
      </c>
      <c r="E124">
        <v>54</v>
      </c>
      <c r="F124">
        <v>2270</v>
      </c>
      <c r="G124" t="s">
        <v>116</v>
      </c>
      <c r="H124">
        <v>90</v>
      </c>
      <c r="I124" t="s">
        <v>34</v>
      </c>
      <c r="J124">
        <v>69</v>
      </c>
      <c r="K124" t="s">
        <v>34</v>
      </c>
      <c r="L124">
        <v>8</v>
      </c>
      <c r="M124">
        <v>69263</v>
      </c>
      <c r="N124">
        <v>21</v>
      </c>
    </row>
    <row r="125" spans="1:14" x14ac:dyDescent="0.2">
      <c r="A125" s="3">
        <f t="shared" si="1"/>
        <v>617</v>
      </c>
      <c r="B125" t="str">
        <f>"00006170022"</f>
        <v>00006170022</v>
      </c>
      <c r="C125" t="s">
        <v>227</v>
      </c>
      <c r="D125" t="s">
        <v>70</v>
      </c>
      <c r="E125">
        <v>33</v>
      </c>
      <c r="F125">
        <v>544</v>
      </c>
      <c r="G125" t="s">
        <v>118</v>
      </c>
      <c r="H125">
        <v>21</v>
      </c>
      <c r="I125" t="s">
        <v>34</v>
      </c>
      <c r="J125">
        <v>15</v>
      </c>
      <c r="K125" t="s">
        <v>34</v>
      </c>
      <c r="L125">
        <v>8</v>
      </c>
      <c r="M125">
        <v>83160</v>
      </c>
      <c r="N125">
        <v>6</v>
      </c>
    </row>
    <row r="126" spans="1:14" x14ac:dyDescent="0.2">
      <c r="A126" s="3">
        <f t="shared" si="1"/>
        <v>618</v>
      </c>
      <c r="B126" t="str">
        <f>"00006180022"</f>
        <v>00006180022</v>
      </c>
      <c r="C126" t="s">
        <v>228</v>
      </c>
      <c r="D126" t="s">
        <v>70</v>
      </c>
      <c r="E126">
        <v>33</v>
      </c>
      <c r="F126">
        <v>544</v>
      </c>
      <c r="G126" t="s">
        <v>118</v>
      </c>
      <c r="H126">
        <v>21</v>
      </c>
      <c r="I126" t="s">
        <v>34</v>
      </c>
      <c r="J126">
        <v>15</v>
      </c>
      <c r="K126" t="s">
        <v>34</v>
      </c>
      <c r="L126">
        <v>8</v>
      </c>
      <c r="M126">
        <v>83109</v>
      </c>
      <c r="N126">
        <v>6</v>
      </c>
    </row>
    <row r="127" spans="1:14" x14ac:dyDescent="0.2">
      <c r="A127" s="3">
        <f t="shared" si="1"/>
        <v>624</v>
      </c>
      <c r="B127" t="str">
        <f>"00006240004"</f>
        <v>00006240004</v>
      </c>
      <c r="C127" t="s">
        <v>229</v>
      </c>
      <c r="D127" t="s">
        <v>172</v>
      </c>
      <c r="E127">
        <v>33</v>
      </c>
      <c r="F127">
        <v>3484</v>
      </c>
      <c r="G127" t="s">
        <v>173</v>
      </c>
      <c r="H127">
        <v>9</v>
      </c>
      <c r="I127" t="s">
        <v>34</v>
      </c>
      <c r="J127">
        <v>6</v>
      </c>
      <c r="K127" t="s">
        <v>34</v>
      </c>
      <c r="L127">
        <v>8</v>
      </c>
      <c r="M127">
        <v>84215</v>
      </c>
      <c r="N127">
        <v>3</v>
      </c>
    </row>
    <row r="128" spans="1:14" x14ac:dyDescent="0.2">
      <c r="A128" s="3">
        <f t="shared" si="1"/>
        <v>625</v>
      </c>
      <c r="B128" t="str">
        <f>"00006250010"</f>
        <v>00006250010</v>
      </c>
      <c r="C128" t="s">
        <v>230</v>
      </c>
      <c r="D128" t="s">
        <v>172</v>
      </c>
      <c r="E128">
        <v>33</v>
      </c>
      <c r="F128">
        <v>4335</v>
      </c>
      <c r="G128" t="s">
        <v>157</v>
      </c>
      <c r="H128">
        <v>7</v>
      </c>
      <c r="I128" t="s">
        <v>34</v>
      </c>
      <c r="J128">
        <v>5</v>
      </c>
      <c r="K128" t="s">
        <v>34</v>
      </c>
      <c r="L128">
        <v>8</v>
      </c>
      <c r="M128">
        <v>85012</v>
      </c>
      <c r="N128">
        <v>2</v>
      </c>
    </row>
    <row r="129" spans="1:14" x14ac:dyDescent="0.2">
      <c r="A129" s="3">
        <f t="shared" si="1"/>
        <v>626</v>
      </c>
      <c r="B129" t="str">
        <f>"00006260009"</f>
        <v>00006260009</v>
      </c>
      <c r="C129" t="s">
        <v>231</v>
      </c>
      <c r="D129" t="s">
        <v>115</v>
      </c>
      <c r="E129">
        <v>54</v>
      </c>
      <c r="F129">
        <v>2270</v>
      </c>
      <c r="G129" t="s">
        <v>116</v>
      </c>
      <c r="H129">
        <v>90</v>
      </c>
      <c r="I129" t="s">
        <v>34</v>
      </c>
      <c r="J129">
        <v>69</v>
      </c>
      <c r="K129" t="s">
        <v>34</v>
      </c>
      <c r="L129">
        <v>8</v>
      </c>
      <c r="M129">
        <v>69252</v>
      </c>
      <c r="N129">
        <v>21</v>
      </c>
    </row>
    <row r="130" spans="1:14" x14ac:dyDescent="0.2">
      <c r="A130" s="3">
        <f t="shared" si="1"/>
        <v>627</v>
      </c>
      <c r="B130" t="str">
        <f>"00006270009"</f>
        <v>00006270009</v>
      </c>
      <c r="C130" t="s">
        <v>232</v>
      </c>
      <c r="D130" t="s">
        <v>115</v>
      </c>
      <c r="E130">
        <v>54</v>
      </c>
      <c r="F130">
        <v>2270</v>
      </c>
      <c r="G130" t="s">
        <v>116</v>
      </c>
      <c r="H130">
        <v>90</v>
      </c>
      <c r="I130" t="s">
        <v>34</v>
      </c>
      <c r="J130">
        <v>69</v>
      </c>
      <c r="K130" t="s">
        <v>34</v>
      </c>
      <c r="L130">
        <v>8</v>
      </c>
      <c r="M130">
        <v>69250</v>
      </c>
      <c r="N130">
        <v>21</v>
      </c>
    </row>
    <row r="131" spans="1:14" x14ac:dyDescent="0.2">
      <c r="A131" s="3">
        <f t="shared" si="1"/>
        <v>628</v>
      </c>
      <c r="B131" t="str">
        <f>"00006280009"</f>
        <v>00006280009</v>
      </c>
      <c r="C131" t="s">
        <v>233</v>
      </c>
      <c r="D131" t="s">
        <v>115</v>
      </c>
      <c r="E131">
        <v>54</v>
      </c>
      <c r="F131">
        <v>2270</v>
      </c>
      <c r="G131" t="s">
        <v>116</v>
      </c>
      <c r="H131">
        <v>90</v>
      </c>
      <c r="I131" t="s">
        <v>34</v>
      </c>
      <c r="J131">
        <v>69</v>
      </c>
      <c r="K131" t="s">
        <v>34</v>
      </c>
      <c r="L131">
        <v>8</v>
      </c>
      <c r="M131">
        <v>69247</v>
      </c>
      <c r="N131">
        <v>21</v>
      </c>
    </row>
    <row r="132" spans="1:14" x14ac:dyDescent="0.2">
      <c r="A132" s="3">
        <f t="shared" ref="A132:A195" si="2">(B132-RIGHT(B132,4))/10000</f>
        <v>635</v>
      </c>
      <c r="B132" t="str">
        <f>"00006350008"</f>
        <v>00006350008</v>
      </c>
      <c r="C132" t="s">
        <v>234</v>
      </c>
      <c r="D132" t="s">
        <v>115</v>
      </c>
      <c r="E132">
        <v>54</v>
      </c>
      <c r="F132">
        <v>2270</v>
      </c>
      <c r="G132" t="s">
        <v>116</v>
      </c>
      <c r="H132">
        <v>90</v>
      </c>
      <c r="I132" t="s">
        <v>34</v>
      </c>
      <c r="J132">
        <v>69</v>
      </c>
      <c r="K132" t="s">
        <v>34</v>
      </c>
      <c r="L132">
        <v>8</v>
      </c>
      <c r="M132">
        <v>69254</v>
      </c>
      <c r="N132">
        <v>21</v>
      </c>
    </row>
    <row r="133" spans="1:14" x14ac:dyDescent="0.2">
      <c r="A133" s="3">
        <f t="shared" si="2"/>
        <v>637</v>
      </c>
      <c r="B133" t="str">
        <f>"00006370006"</f>
        <v>00006370006</v>
      </c>
      <c r="C133" t="s">
        <v>235</v>
      </c>
      <c r="D133" t="s">
        <v>115</v>
      </c>
      <c r="E133">
        <v>54</v>
      </c>
      <c r="F133">
        <v>2270</v>
      </c>
      <c r="G133" t="s">
        <v>116</v>
      </c>
      <c r="H133">
        <v>90</v>
      </c>
      <c r="I133" t="s">
        <v>34</v>
      </c>
      <c r="J133">
        <v>69</v>
      </c>
      <c r="K133" t="s">
        <v>34</v>
      </c>
      <c r="L133">
        <v>8</v>
      </c>
      <c r="M133">
        <v>70003</v>
      </c>
      <c r="N133">
        <v>21</v>
      </c>
    </row>
    <row r="134" spans="1:14" x14ac:dyDescent="0.2">
      <c r="A134" s="3">
        <f t="shared" si="2"/>
        <v>638</v>
      </c>
      <c r="B134" t="str">
        <f>"00006380006"</f>
        <v>00006380006</v>
      </c>
      <c r="C134" t="s">
        <v>236</v>
      </c>
      <c r="D134" t="s">
        <v>115</v>
      </c>
      <c r="E134">
        <v>54</v>
      </c>
      <c r="F134">
        <v>2270</v>
      </c>
      <c r="G134" t="s">
        <v>116</v>
      </c>
      <c r="H134">
        <v>90</v>
      </c>
      <c r="I134" t="s">
        <v>34</v>
      </c>
      <c r="J134">
        <v>69</v>
      </c>
      <c r="K134" t="s">
        <v>34</v>
      </c>
      <c r="L134">
        <v>8</v>
      </c>
      <c r="M134">
        <v>70001</v>
      </c>
      <c r="N134">
        <v>21</v>
      </c>
    </row>
    <row r="135" spans="1:14" x14ac:dyDescent="0.2">
      <c r="A135" s="3">
        <f t="shared" si="2"/>
        <v>639</v>
      </c>
      <c r="B135" t="str">
        <f>"00006390006"</f>
        <v>00006390006</v>
      </c>
      <c r="C135" t="s">
        <v>237</v>
      </c>
      <c r="D135" t="s">
        <v>115</v>
      </c>
      <c r="E135">
        <v>54</v>
      </c>
      <c r="F135">
        <v>2270</v>
      </c>
      <c r="G135" t="s">
        <v>116</v>
      </c>
      <c r="H135">
        <v>90</v>
      </c>
      <c r="I135" t="s">
        <v>34</v>
      </c>
      <c r="J135">
        <v>69</v>
      </c>
      <c r="K135" t="s">
        <v>34</v>
      </c>
      <c r="L135">
        <v>8</v>
      </c>
      <c r="M135">
        <v>70008</v>
      </c>
      <c r="N135">
        <v>21</v>
      </c>
    </row>
    <row r="136" spans="1:14" x14ac:dyDescent="0.2">
      <c r="A136" s="3">
        <f t="shared" si="2"/>
        <v>650</v>
      </c>
      <c r="B136" t="str">
        <f>"00006500017"</f>
        <v>00006500017</v>
      </c>
      <c r="C136" t="s">
        <v>238</v>
      </c>
      <c r="D136" t="s">
        <v>32</v>
      </c>
      <c r="E136">
        <v>32</v>
      </c>
      <c r="F136">
        <v>1605</v>
      </c>
      <c r="G136" t="s">
        <v>128</v>
      </c>
      <c r="H136">
        <v>110</v>
      </c>
      <c r="I136" t="s">
        <v>34</v>
      </c>
      <c r="J136">
        <v>82</v>
      </c>
      <c r="K136" t="s">
        <v>34</v>
      </c>
      <c r="L136">
        <v>8</v>
      </c>
      <c r="M136">
        <v>81146</v>
      </c>
      <c r="N136">
        <v>28</v>
      </c>
    </row>
    <row r="137" spans="1:14" x14ac:dyDescent="0.2">
      <c r="A137" s="3">
        <f t="shared" si="2"/>
        <v>651</v>
      </c>
      <c r="B137" t="str">
        <f>"00006510024"</f>
        <v>00006510024</v>
      </c>
      <c r="C137" t="s">
        <v>239</v>
      </c>
      <c r="D137" t="s">
        <v>32</v>
      </c>
      <c r="E137">
        <v>42</v>
      </c>
      <c r="F137">
        <v>1605</v>
      </c>
      <c r="G137" t="s">
        <v>128</v>
      </c>
      <c r="H137">
        <v>9</v>
      </c>
      <c r="I137" t="s">
        <v>25</v>
      </c>
      <c r="J137">
        <v>7</v>
      </c>
      <c r="K137" t="s">
        <v>25</v>
      </c>
      <c r="L137">
        <v>8</v>
      </c>
      <c r="M137">
        <v>81127</v>
      </c>
      <c r="N137">
        <v>21</v>
      </c>
    </row>
    <row r="138" spans="1:14" x14ac:dyDescent="0.2">
      <c r="A138" s="3">
        <f t="shared" si="2"/>
        <v>678</v>
      </c>
      <c r="B138" t="str">
        <f>"00006780008"</f>
        <v>00006780008</v>
      </c>
      <c r="C138" t="s">
        <v>240</v>
      </c>
      <c r="D138" t="s">
        <v>42</v>
      </c>
      <c r="E138">
        <v>49</v>
      </c>
      <c r="F138">
        <v>2131</v>
      </c>
      <c r="G138" t="s">
        <v>241</v>
      </c>
      <c r="H138">
        <v>6</v>
      </c>
      <c r="I138" t="s">
        <v>25</v>
      </c>
      <c r="J138">
        <v>4</v>
      </c>
      <c r="K138" t="s">
        <v>25</v>
      </c>
      <c r="L138">
        <v>8</v>
      </c>
      <c r="M138">
        <v>65107</v>
      </c>
      <c r="N138">
        <v>2</v>
      </c>
    </row>
    <row r="139" spans="1:14" x14ac:dyDescent="0.2">
      <c r="A139" s="3">
        <f t="shared" si="2"/>
        <v>685</v>
      </c>
      <c r="B139" t="str">
        <f>"00006850006"</f>
        <v>00006850006</v>
      </c>
      <c r="C139" t="s">
        <v>242</v>
      </c>
      <c r="D139" t="s">
        <v>23</v>
      </c>
      <c r="E139">
        <v>41</v>
      </c>
      <c r="F139">
        <v>851</v>
      </c>
      <c r="G139" t="s">
        <v>210</v>
      </c>
      <c r="H139">
        <v>70</v>
      </c>
      <c r="I139" t="s">
        <v>34</v>
      </c>
      <c r="J139">
        <v>56</v>
      </c>
      <c r="K139" t="s">
        <v>34</v>
      </c>
      <c r="L139">
        <v>8</v>
      </c>
      <c r="M139">
        <v>95109</v>
      </c>
      <c r="N139">
        <v>14</v>
      </c>
    </row>
    <row r="140" spans="1:14" x14ac:dyDescent="0.2">
      <c r="A140" s="3">
        <f t="shared" si="2"/>
        <v>696</v>
      </c>
      <c r="B140" t="str">
        <f>"00006960014"</f>
        <v>00006960014</v>
      </c>
      <c r="C140" t="s">
        <v>243</v>
      </c>
      <c r="D140" t="s">
        <v>67</v>
      </c>
      <c r="E140">
        <v>32</v>
      </c>
      <c r="F140">
        <v>1605</v>
      </c>
      <c r="G140" t="s">
        <v>128</v>
      </c>
      <c r="H140">
        <v>40</v>
      </c>
      <c r="I140" t="s">
        <v>34</v>
      </c>
      <c r="J140">
        <v>30</v>
      </c>
      <c r="K140" t="s">
        <v>34</v>
      </c>
      <c r="L140">
        <v>8</v>
      </c>
      <c r="M140">
        <v>82080</v>
      </c>
      <c r="N140">
        <v>10</v>
      </c>
    </row>
    <row r="141" spans="1:14" x14ac:dyDescent="0.2">
      <c r="A141" s="3">
        <f t="shared" si="2"/>
        <v>697</v>
      </c>
      <c r="B141" t="str">
        <f>"00006970016"</f>
        <v>00006970016</v>
      </c>
      <c r="C141" t="s">
        <v>244</v>
      </c>
      <c r="D141" t="s">
        <v>115</v>
      </c>
      <c r="E141">
        <v>70</v>
      </c>
      <c r="F141">
        <v>3112</v>
      </c>
      <c r="G141" t="s">
        <v>245</v>
      </c>
      <c r="H141">
        <v>120</v>
      </c>
      <c r="I141" t="s">
        <v>34</v>
      </c>
      <c r="J141">
        <v>88</v>
      </c>
      <c r="K141" t="s">
        <v>34</v>
      </c>
      <c r="L141">
        <v>8</v>
      </c>
      <c r="M141">
        <v>66118</v>
      </c>
      <c r="N141">
        <v>32</v>
      </c>
    </row>
    <row r="142" spans="1:14" x14ac:dyDescent="0.2">
      <c r="A142" s="3">
        <f t="shared" si="2"/>
        <v>698</v>
      </c>
      <c r="B142" t="str">
        <f>"00006980001"</f>
        <v>00006980001</v>
      </c>
      <c r="C142" t="s">
        <v>246</v>
      </c>
      <c r="D142" t="s">
        <v>52</v>
      </c>
      <c r="E142">
        <v>79</v>
      </c>
      <c r="F142">
        <v>9990</v>
      </c>
      <c r="G142" t="s">
        <v>247</v>
      </c>
      <c r="H142" t="s">
        <v>44</v>
      </c>
      <c r="I142" t="s">
        <v>45</v>
      </c>
      <c r="J142" t="s">
        <v>44</v>
      </c>
      <c r="K142" t="s">
        <v>45</v>
      </c>
      <c r="L142">
        <v>5</v>
      </c>
      <c r="M142" t="s">
        <v>65</v>
      </c>
      <c r="N142" t="s">
        <v>46</v>
      </c>
    </row>
    <row r="143" spans="1:14" x14ac:dyDescent="0.2">
      <c r="A143" s="3">
        <f t="shared" si="2"/>
        <v>701</v>
      </c>
      <c r="B143" t="str">
        <f>"00007010013"</f>
        <v>00007010013</v>
      </c>
      <c r="C143" t="s">
        <v>248</v>
      </c>
      <c r="D143" t="s">
        <v>77</v>
      </c>
      <c r="E143">
        <v>40</v>
      </c>
      <c r="F143">
        <v>3709</v>
      </c>
      <c r="G143" t="s">
        <v>249</v>
      </c>
      <c r="H143">
        <v>30</v>
      </c>
      <c r="I143" t="s">
        <v>34</v>
      </c>
      <c r="J143">
        <v>20</v>
      </c>
      <c r="K143" t="s">
        <v>34</v>
      </c>
      <c r="L143">
        <v>8</v>
      </c>
      <c r="M143">
        <v>76036</v>
      </c>
      <c r="N143">
        <v>10</v>
      </c>
    </row>
    <row r="144" spans="1:14" x14ac:dyDescent="0.2">
      <c r="A144" s="3">
        <f t="shared" si="2"/>
        <v>702</v>
      </c>
      <c r="B144" t="str">
        <f>"00007020030"</f>
        <v>00007020030</v>
      </c>
      <c r="C144" t="s">
        <v>250</v>
      </c>
      <c r="D144" t="s">
        <v>101</v>
      </c>
      <c r="E144">
        <v>40</v>
      </c>
      <c r="F144">
        <v>8003</v>
      </c>
      <c r="G144" t="s">
        <v>164</v>
      </c>
      <c r="H144">
        <v>45</v>
      </c>
      <c r="I144" t="s">
        <v>34</v>
      </c>
      <c r="J144">
        <v>34</v>
      </c>
      <c r="K144" t="s">
        <v>34</v>
      </c>
      <c r="L144">
        <v>8</v>
      </c>
      <c r="M144">
        <v>76037</v>
      </c>
      <c r="N144">
        <v>11</v>
      </c>
    </row>
    <row r="145" spans="1:14" x14ac:dyDescent="0.2">
      <c r="A145" s="3">
        <f t="shared" si="2"/>
        <v>705</v>
      </c>
      <c r="B145" t="str">
        <f>"00007050012"</f>
        <v>00007050012</v>
      </c>
      <c r="C145" t="s">
        <v>251</v>
      </c>
      <c r="D145" t="s">
        <v>48</v>
      </c>
      <c r="E145">
        <v>33</v>
      </c>
      <c r="F145">
        <v>329</v>
      </c>
      <c r="G145" t="s">
        <v>252</v>
      </c>
      <c r="H145">
        <v>21</v>
      </c>
      <c r="I145" t="s">
        <v>34</v>
      </c>
      <c r="J145">
        <v>15</v>
      </c>
      <c r="K145" t="s">
        <v>34</v>
      </c>
      <c r="L145">
        <v>8</v>
      </c>
      <c r="M145">
        <v>85248</v>
      </c>
      <c r="N145">
        <v>6</v>
      </c>
    </row>
    <row r="146" spans="1:14" x14ac:dyDescent="0.2">
      <c r="A146" s="3">
        <f t="shared" si="2"/>
        <v>707</v>
      </c>
      <c r="B146" t="str">
        <f>"00007070016"</f>
        <v>00007070016</v>
      </c>
      <c r="C146" t="s">
        <v>253</v>
      </c>
      <c r="D146" t="s">
        <v>32</v>
      </c>
      <c r="E146">
        <v>30</v>
      </c>
      <c r="F146">
        <v>2182</v>
      </c>
      <c r="G146" t="s">
        <v>33</v>
      </c>
      <c r="H146">
        <v>21</v>
      </c>
      <c r="I146" t="s">
        <v>34</v>
      </c>
      <c r="J146">
        <v>15</v>
      </c>
      <c r="K146" t="s">
        <v>34</v>
      </c>
      <c r="L146">
        <v>8</v>
      </c>
      <c r="M146">
        <v>83019</v>
      </c>
      <c r="N146">
        <v>6</v>
      </c>
    </row>
    <row r="147" spans="1:14" x14ac:dyDescent="0.2">
      <c r="A147" s="3">
        <f t="shared" si="2"/>
        <v>711</v>
      </c>
      <c r="B147" t="str">
        <f>"00007110030"</f>
        <v>00007110030</v>
      </c>
      <c r="C147" t="s">
        <v>254</v>
      </c>
      <c r="D147" t="s">
        <v>101</v>
      </c>
      <c r="E147">
        <v>40</v>
      </c>
      <c r="F147">
        <v>8003</v>
      </c>
      <c r="G147" t="s">
        <v>164</v>
      </c>
      <c r="H147">
        <v>60</v>
      </c>
      <c r="I147" t="s">
        <v>34</v>
      </c>
      <c r="J147">
        <v>44</v>
      </c>
      <c r="K147" t="s">
        <v>34</v>
      </c>
      <c r="L147">
        <v>8</v>
      </c>
      <c r="M147">
        <v>76030</v>
      </c>
      <c r="N147">
        <v>10</v>
      </c>
    </row>
    <row r="148" spans="1:14" x14ac:dyDescent="0.2">
      <c r="A148" s="3">
        <f t="shared" si="2"/>
        <v>717</v>
      </c>
      <c r="B148" t="str">
        <f>"00007170010"</f>
        <v>00007170010</v>
      </c>
      <c r="C148" t="s">
        <v>255</v>
      </c>
      <c r="D148" t="s">
        <v>32</v>
      </c>
      <c r="E148">
        <v>30</v>
      </c>
      <c r="F148">
        <v>2181</v>
      </c>
      <c r="G148" t="s">
        <v>256</v>
      </c>
      <c r="H148">
        <v>17</v>
      </c>
      <c r="I148" t="s">
        <v>34</v>
      </c>
      <c r="J148">
        <v>11</v>
      </c>
      <c r="K148" t="s">
        <v>34</v>
      </c>
      <c r="L148">
        <v>8</v>
      </c>
      <c r="M148">
        <v>82214</v>
      </c>
      <c r="N148">
        <v>6</v>
      </c>
    </row>
    <row r="149" spans="1:14" x14ac:dyDescent="0.2">
      <c r="A149" s="3">
        <f t="shared" si="2"/>
        <v>718</v>
      </c>
      <c r="B149" t="str">
        <f>"00007180010"</f>
        <v>00007180010</v>
      </c>
      <c r="C149" t="s">
        <v>257</v>
      </c>
      <c r="D149" t="s">
        <v>32</v>
      </c>
      <c r="E149">
        <v>30</v>
      </c>
      <c r="F149">
        <v>2181</v>
      </c>
      <c r="G149" t="s">
        <v>256</v>
      </c>
      <c r="H149">
        <v>17</v>
      </c>
      <c r="I149" t="s">
        <v>34</v>
      </c>
      <c r="J149">
        <v>11</v>
      </c>
      <c r="K149" t="s">
        <v>34</v>
      </c>
      <c r="L149">
        <v>8</v>
      </c>
      <c r="M149">
        <v>82199</v>
      </c>
      <c r="N149">
        <v>6</v>
      </c>
    </row>
    <row r="150" spans="1:14" x14ac:dyDescent="0.2">
      <c r="A150" s="3">
        <f t="shared" si="2"/>
        <v>719</v>
      </c>
      <c r="B150" t="str">
        <f>"00007190010"</f>
        <v>00007190010</v>
      </c>
      <c r="C150" t="s">
        <v>258</v>
      </c>
      <c r="D150" t="s">
        <v>32</v>
      </c>
      <c r="E150">
        <v>30</v>
      </c>
      <c r="F150">
        <v>2181</v>
      </c>
      <c r="G150" t="s">
        <v>256</v>
      </c>
      <c r="H150">
        <v>17</v>
      </c>
      <c r="I150" t="s">
        <v>34</v>
      </c>
      <c r="J150">
        <v>11</v>
      </c>
      <c r="K150" t="s">
        <v>34</v>
      </c>
      <c r="L150">
        <v>8</v>
      </c>
      <c r="M150">
        <v>82215</v>
      </c>
      <c r="N150">
        <v>6</v>
      </c>
    </row>
    <row r="151" spans="1:14" x14ac:dyDescent="0.2">
      <c r="A151" s="3">
        <f t="shared" si="2"/>
        <v>721</v>
      </c>
      <c r="B151" t="str">
        <f>"00007210026"</f>
        <v>00007210026</v>
      </c>
      <c r="C151" t="s">
        <v>259</v>
      </c>
      <c r="D151" t="s">
        <v>70</v>
      </c>
      <c r="E151">
        <v>30</v>
      </c>
      <c r="F151">
        <v>4980</v>
      </c>
      <c r="G151" t="s">
        <v>154</v>
      </c>
      <c r="H151">
        <v>24</v>
      </c>
      <c r="I151" t="s">
        <v>34</v>
      </c>
      <c r="J151">
        <v>18</v>
      </c>
      <c r="K151" t="s">
        <v>34</v>
      </c>
      <c r="L151">
        <v>8</v>
      </c>
      <c r="M151">
        <v>82223</v>
      </c>
      <c r="N151">
        <v>6</v>
      </c>
    </row>
    <row r="152" spans="1:14" x14ac:dyDescent="0.2">
      <c r="A152" s="3">
        <f t="shared" si="2"/>
        <v>726</v>
      </c>
      <c r="B152" t="str">
        <f>"00007260009"</f>
        <v>00007260009</v>
      </c>
      <c r="C152" t="s">
        <v>260</v>
      </c>
      <c r="D152" t="s">
        <v>70</v>
      </c>
      <c r="E152">
        <v>30</v>
      </c>
      <c r="F152">
        <v>1140</v>
      </c>
      <c r="G152" t="s">
        <v>202</v>
      </c>
      <c r="H152">
        <v>25</v>
      </c>
      <c r="I152" t="s">
        <v>34</v>
      </c>
      <c r="J152">
        <v>18</v>
      </c>
      <c r="K152" t="s">
        <v>34</v>
      </c>
      <c r="L152">
        <v>8</v>
      </c>
      <c r="M152">
        <v>83061</v>
      </c>
      <c r="N152">
        <v>7</v>
      </c>
    </row>
    <row r="153" spans="1:14" x14ac:dyDescent="0.2">
      <c r="A153" s="3">
        <f t="shared" si="2"/>
        <v>742</v>
      </c>
      <c r="B153" t="str">
        <f>"00007420012"</f>
        <v>00007420012</v>
      </c>
      <c r="C153" t="s">
        <v>261</v>
      </c>
      <c r="D153" t="s">
        <v>70</v>
      </c>
      <c r="E153">
        <v>30</v>
      </c>
      <c r="F153">
        <v>8232</v>
      </c>
      <c r="G153" t="s">
        <v>262</v>
      </c>
      <c r="H153">
        <v>28</v>
      </c>
      <c r="I153" t="s">
        <v>34</v>
      </c>
      <c r="J153">
        <v>20</v>
      </c>
      <c r="K153" t="s">
        <v>34</v>
      </c>
      <c r="L153">
        <v>8</v>
      </c>
      <c r="M153">
        <v>83058</v>
      </c>
      <c r="N153">
        <v>8</v>
      </c>
    </row>
    <row r="154" spans="1:14" x14ac:dyDescent="0.2">
      <c r="A154" s="3">
        <f t="shared" si="2"/>
        <v>745</v>
      </c>
      <c r="B154" t="str">
        <f>"00007450012"</f>
        <v>00007450012</v>
      </c>
      <c r="C154" t="s">
        <v>263</v>
      </c>
      <c r="D154" t="s">
        <v>67</v>
      </c>
      <c r="E154">
        <v>32</v>
      </c>
      <c r="F154">
        <v>4249</v>
      </c>
      <c r="G154" t="s">
        <v>264</v>
      </c>
      <c r="H154">
        <v>35</v>
      </c>
      <c r="I154" t="s">
        <v>34</v>
      </c>
      <c r="J154">
        <v>27</v>
      </c>
      <c r="K154" t="s">
        <v>34</v>
      </c>
      <c r="L154">
        <v>8</v>
      </c>
      <c r="M154">
        <v>82016</v>
      </c>
      <c r="N154">
        <v>8</v>
      </c>
    </row>
    <row r="155" spans="1:14" x14ac:dyDescent="0.2">
      <c r="A155" s="3">
        <f t="shared" si="2"/>
        <v>747</v>
      </c>
      <c r="B155" t="str">
        <f>"00007470008"</f>
        <v>00007470008</v>
      </c>
      <c r="C155" t="s">
        <v>265</v>
      </c>
      <c r="D155" t="s">
        <v>67</v>
      </c>
      <c r="E155">
        <v>32</v>
      </c>
      <c r="F155">
        <v>4249</v>
      </c>
      <c r="G155" t="s">
        <v>264</v>
      </c>
      <c r="H155">
        <v>35</v>
      </c>
      <c r="I155" t="s">
        <v>34</v>
      </c>
      <c r="J155">
        <v>27</v>
      </c>
      <c r="K155" t="s">
        <v>34</v>
      </c>
      <c r="L155">
        <v>8</v>
      </c>
      <c r="M155">
        <v>82083</v>
      </c>
      <c r="N155">
        <v>8</v>
      </c>
    </row>
    <row r="156" spans="1:14" x14ac:dyDescent="0.2">
      <c r="A156" s="3">
        <f t="shared" si="2"/>
        <v>750</v>
      </c>
      <c r="B156" t="str">
        <f>"00007500008"</f>
        <v>00007500008</v>
      </c>
      <c r="C156" t="s">
        <v>266</v>
      </c>
      <c r="D156" t="s">
        <v>32</v>
      </c>
      <c r="E156">
        <v>30</v>
      </c>
      <c r="F156">
        <v>4806</v>
      </c>
      <c r="G156" t="s">
        <v>160</v>
      </c>
      <c r="H156">
        <v>14</v>
      </c>
      <c r="I156" t="s">
        <v>34</v>
      </c>
      <c r="J156">
        <v>9</v>
      </c>
      <c r="K156" t="s">
        <v>34</v>
      </c>
      <c r="L156">
        <v>8</v>
      </c>
      <c r="M156">
        <v>82237</v>
      </c>
      <c r="N156">
        <v>5</v>
      </c>
    </row>
    <row r="157" spans="1:14" x14ac:dyDescent="0.2">
      <c r="A157" s="3">
        <f t="shared" si="2"/>
        <v>752</v>
      </c>
      <c r="B157" t="str">
        <f>"00007520006"</f>
        <v>00007520006</v>
      </c>
      <c r="C157" t="s">
        <v>267</v>
      </c>
      <c r="D157" t="s">
        <v>101</v>
      </c>
      <c r="E157">
        <v>30</v>
      </c>
      <c r="F157">
        <v>2708</v>
      </c>
      <c r="G157" t="s">
        <v>268</v>
      </c>
      <c r="H157">
        <v>26</v>
      </c>
      <c r="I157" t="s">
        <v>34</v>
      </c>
      <c r="J157">
        <v>19</v>
      </c>
      <c r="K157" t="s">
        <v>34</v>
      </c>
      <c r="L157">
        <v>8</v>
      </c>
      <c r="M157">
        <v>82160</v>
      </c>
      <c r="N157">
        <v>7</v>
      </c>
    </row>
    <row r="158" spans="1:14" x14ac:dyDescent="0.2">
      <c r="A158" s="3">
        <f t="shared" si="2"/>
        <v>756</v>
      </c>
      <c r="B158" t="str">
        <f>"00007560011"</f>
        <v>00007560011</v>
      </c>
      <c r="C158" t="s">
        <v>269</v>
      </c>
      <c r="D158" t="s">
        <v>101</v>
      </c>
      <c r="E158">
        <v>30</v>
      </c>
      <c r="F158">
        <v>8115</v>
      </c>
      <c r="G158" t="s">
        <v>270</v>
      </c>
      <c r="H158">
        <v>120</v>
      </c>
      <c r="I158" t="s">
        <v>34</v>
      </c>
      <c r="J158">
        <v>88</v>
      </c>
      <c r="K158" t="s">
        <v>34</v>
      </c>
      <c r="L158">
        <v>8</v>
      </c>
      <c r="M158">
        <v>83056</v>
      </c>
      <c r="N158">
        <v>32</v>
      </c>
    </row>
    <row r="159" spans="1:14" x14ac:dyDescent="0.2">
      <c r="A159" s="3">
        <f t="shared" si="2"/>
        <v>757</v>
      </c>
      <c r="B159" t="str">
        <f>"00007570008"</f>
        <v>00007570008</v>
      </c>
      <c r="C159" t="s">
        <v>271</v>
      </c>
      <c r="D159" t="s">
        <v>48</v>
      </c>
      <c r="E159">
        <v>33</v>
      </c>
      <c r="F159">
        <v>4359</v>
      </c>
      <c r="G159" t="s">
        <v>49</v>
      </c>
      <c r="H159">
        <v>21</v>
      </c>
      <c r="I159" t="s">
        <v>34</v>
      </c>
      <c r="J159">
        <v>15</v>
      </c>
      <c r="K159" t="s">
        <v>34</v>
      </c>
      <c r="L159">
        <v>8</v>
      </c>
      <c r="M159">
        <v>84182</v>
      </c>
      <c r="N159">
        <v>6</v>
      </c>
    </row>
    <row r="160" spans="1:14" x14ac:dyDescent="0.2">
      <c r="A160" s="3">
        <f t="shared" si="2"/>
        <v>759</v>
      </c>
      <c r="B160" t="str">
        <f>"00007590008"</f>
        <v>00007590008</v>
      </c>
      <c r="C160" t="s">
        <v>272</v>
      </c>
      <c r="D160" t="s">
        <v>48</v>
      </c>
      <c r="E160">
        <v>33</v>
      </c>
      <c r="F160">
        <v>4359</v>
      </c>
      <c r="G160" t="s">
        <v>49</v>
      </c>
      <c r="H160">
        <v>21</v>
      </c>
      <c r="I160" t="s">
        <v>34</v>
      </c>
      <c r="J160">
        <v>15</v>
      </c>
      <c r="K160" t="s">
        <v>34</v>
      </c>
      <c r="L160">
        <v>8</v>
      </c>
      <c r="M160">
        <v>84171</v>
      </c>
      <c r="N160">
        <v>6</v>
      </c>
    </row>
    <row r="161" spans="1:14" x14ac:dyDescent="0.2">
      <c r="A161" s="3">
        <f t="shared" si="2"/>
        <v>760</v>
      </c>
      <c r="B161" t="str">
        <f>"00007600012"</f>
        <v>00007600012</v>
      </c>
      <c r="C161" t="s">
        <v>273</v>
      </c>
      <c r="D161" t="s">
        <v>52</v>
      </c>
      <c r="E161">
        <v>33</v>
      </c>
      <c r="F161">
        <v>3428</v>
      </c>
      <c r="G161" t="s">
        <v>206</v>
      </c>
      <c r="H161">
        <v>12</v>
      </c>
      <c r="I161" t="s">
        <v>25</v>
      </c>
      <c r="J161">
        <v>9</v>
      </c>
      <c r="K161" t="s">
        <v>25</v>
      </c>
      <c r="L161">
        <v>9</v>
      </c>
      <c r="M161">
        <v>85221</v>
      </c>
      <c r="N161">
        <v>3</v>
      </c>
    </row>
    <row r="162" spans="1:14" x14ac:dyDescent="0.2">
      <c r="A162" s="3">
        <f t="shared" si="2"/>
        <v>765</v>
      </c>
      <c r="B162" t="str">
        <f>"00007650010"</f>
        <v>00007650010</v>
      </c>
      <c r="C162" t="s">
        <v>274</v>
      </c>
      <c r="D162" t="s">
        <v>70</v>
      </c>
      <c r="E162">
        <v>30</v>
      </c>
      <c r="F162">
        <v>4980</v>
      </c>
      <c r="G162" t="s">
        <v>154</v>
      </c>
      <c r="H162">
        <v>24</v>
      </c>
      <c r="I162" t="s">
        <v>34</v>
      </c>
      <c r="J162">
        <v>18</v>
      </c>
      <c r="K162" t="s">
        <v>34</v>
      </c>
      <c r="L162">
        <v>8</v>
      </c>
      <c r="M162">
        <v>83017</v>
      </c>
      <c r="N162">
        <v>6</v>
      </c>
    </row>
    <row r="163" spans="1:14" x14ac:dyDescent="0.2">
      <c r="A163" s="3">
        <f t="shared" si="2"/>
        <v>767</v>
      </c>
      <c r="B163" t="str">
        <f>"00007670008"</f>
        <v>00007670008</v>
      </c>
      <c r="C163" t="s">
        <v>275</v>
      </c>
      <c r="D163" t="s">
        <v>48</v>
      </c>
      <c r="E163">
        <v>33</v>
      </c>
      <c r="F163">
        <v>4359</v>
      </c>
      <c r="G163" t="s">
        <v>49</v>
      </c>
      <c r="H163">
        <v>21</v>
      </c>
      <c r="I163" t="s">
        <v>34</v>
      </c>
      <c r="J163">
        <v>15</v>
      </c>
      <c r="K163" t="s">
        <v>34</v>
      </c>
      <c r="L163">
        <v>8</v>
      </c>
      <c r="M163">
        <v>84166</v>
      </c>
      <c r="N163">
        <v>6</v>
      </c>
    </row>
    <row r="164" spans="1:14" x14ac:dyDescent="0.2">
      <c r="A164" s="3">
        <f t="shared" si="2"/>
        <v>769</v>
      </c>
      <c r="B164" t="str">
        <f>"00007690010"</f>
        <v>00007690010</v>
      </c>
      <c r="C164" t="s">
        <v>276</v>
      </c>
      <c r="D164" t="s">
        <v>70</v>
      </c>
      <c r="E164">
        <v>30</v>
      </c>
      <c r="F164">
        <v>4980</v>
      </c>
      <c r="G164" t="s">
        <v>154</v>
      </c>
      <c r="H164">
        <v>21</v>
      </c>
      <c r="I164" t="s">
        <v>34</v>
      </c>
      <c r="J164">
        <v>15</v>
      </c>
      <c r="K164" t="s">
        <v>34</v>
      </c>
      <c r="L164">
        <v>5</v>
      </c>
      <c r="M164" t="s">
        <v>65</v>
      </c>
      <c r="N164">
        <v>6</v>
      </c>
    </row>
    <row r="165" spans="1:14" x14ac:dyDescent="0.2">
      <c r="A165" s="3">
        <f t="shared" si="2"/>
        <v>770</v>
      </c>
      <c r="B165" t="str">
        <f>"00007700012"</f>
        <v>00007700012</v>
      </c>
      <c r="C165" t="s">
        <v>277</v>
      </c>
      <c r="D165" t="s">
        <v>70</v>
      </c>
      <c r="E165">
        <v>30</v>
      </c>
      <c r="F165">
        <v>4980</v>
      </c>
      <c r="G165" t="s">
        <v>154</v>
      </c>
      <c r="H165">
        <v>17</v>
      </c>
      <c r="I165" t="s">
        <v>34</v>
      </c>
      <c r="J165">
        <v>11</v>
      </c>
      <c r="K165" t="s">
        <v>34</v>
      </c>
      <c r="L165">
        <v>8</v>
      </c>
      <c r="M165">
        <v>82232</v>
      </c>
      <c r="N165">
        <v>6</v>
      </c>
    </row>
    <row r="166" spans="1:14" x14ac:dyDescent="0.2">
      <c r="A166" s="3">
        <f t="shared" si="2"/>
        <v>779</v>
      </c>
      <c r="B166" t="str">
        <f>"00007790012"</f>
        <v>00007790012</v>
      </c>
      <c r="C166" t="s">
        <v>278</v>
      </c>
      <c r="D166" t="s">
        <v>32</v>
      </c>
      <c r="E166">
        <v>33</v>
      </c>
      <c r="F166">
        <v>3108</v>
      </c>
      <c r="G166" t="s">
        <v>40</v>
      </c>
      <c r="H166">
        <v>23</v>
      </c>
      <c r="I166" t="s">
        <v>34</v>
      </c>
      <c r="J166">
        <v>17</v>
      </c>
      <c r="K166" t="s">
        <v>34</v>
      </c>
      <c r="L166">
        <v>8</v>
      </c>
      <c r="M166">
        <v>83210</v>
      </c>
      <c r="N166">
        <v>6</v>
      </c>
    </row>
    <row r="167" spans="1:14" x14ac:dyDescent="0.2">
      <c r="A167" s="3">
        <f t="shared" si="2"/>
        <v>786</v>
      </c>
      <c r="B167" t="str">
        <f>"00007860008"</f>
        <v>00007860008</v>
      </c>
      <c r="C167" t="s">
        <v>279</v>
      </c>
      <c r="D167" t="s">
        <v>48</v>
      </c>
      <c r="E167">
        <v>33</v>
      </c>
      <c r="F167">
        <v>4359</v>
      </c>
      <c r="G167" t="s">
        <v>49</v>
      </c>
      <c r="H167">
        <v>21</v>
      </c>
      <c r="I167" t="s">
        <v>34</v>
      </c>
      <c r="J167">
        <v>15</v>
      </c>
      <c r="K167" t="s">
        <v>34</v>
      </c>
      <c r="L167">
        <v>8</v>
      </c>
      <c r="M167">
        <v>84197</v>
      </c>
      <c r="N167">
        <v>6</v>
      </c>
    </row>
    <row r="168" spans="1:14" x14ac:dyDescent="0.2">
      <c r="A168" s="3">
        <f t="shared" si="2"/>
        <v>792</v>
      </c>
      <c r="B168" t="str">
        <f>"00007920006"</f>
        <v>00007920006</v>
      </c>
      <c r="C168" t="s">
        <v>280</v>
      </c>
      <c r="D168" t="s">
        <v>48</v>
      </c>
      <c r="E168">
        <v>33</v>
      </c>
      <c r="F168">
        <v>2243</v>
      </c>
      <c r="G168" t="s">
        <v>151</v>
      </c>
      <c r="H168">
        <v>17</v>
      </c>
      <c r="I168" t="s">
        <v>34</v>
      </c>
      <c r="J168">
        <v>11</v>
      </c>
      <c r="K168" t="s">
        <v>34</v>
      </c>
      <c r="L168">
        <v>8</v>
      </c>
      <c r="M168">
        <v>84083</v>
      </c>
      <c r="N168">
        <v>6</v>
      </c>
    </row>
    <row r="169" spans="1:14" x14ac:dyDescent="0.2">
      <c r="A169" s="3">
        <f t="shared" si="2"/>
        <v>793</v>
      </c>
      <c r="B169" t="str">
        <f>"00007930015"</f>
        <v>00007930015</v>
      </c>
      <c r="C169" t="s">
        <v>281</v>
      </c>
      <c r="D169" t="s">
        <v>77</v>
      </c>
      <c r="E169">
        <v>40</v>
      </c>
      <c r="F169">
        <v>8229</v>
      </c>
      <c r="G169" t="s">
        <v>282</v>
      </c>
      <c r="H169">
        <v>40</v>
      </c>
      <c r="I169" t="s">
        <v>34</v>
      </c>
      <c r="J169">
        <v>30</v>
      </c>
      <c r="K169" t="s">
        <v>34</v>
      </c>
      <c r="L169">
        <v>8</v>
      </c>
      <c r="M169">
        <v>83104</v>
      </c>
      <c r="N169">
        <v>10</v>
      </c>
    </row>
    <row r="170" spans="1:14" x14ac:dyDescent="0.2">
      <c r="A170" s="3">
        <f t="shared" si="2"/>
        <v>795</v>
      </c>
      <c r="B170" t="str">
        <f>"00007950015"</f>
        <v>00007950015</v>
      </c>
      <c r="C170" t="s">
        <v>283</v>
      </c>
      <c r="D170" t="s">
        <v>77</v>
      </c>
      <c r="E170">
        <v>40</v>
      </c>
      <c r="F170">
        <v>3709</v>
      </c>
      <c r="G170" t="s">
        <v>249</v>
      </c>
      <c r="H170">
        <v>40</v>
      </c>
      <c r="I170" t="s">
        <v>34</v>
      </c>
      <c r="J170">
        <v>30</v>
      </c>
      <c r="K170" t="s">
        <v>34</v>
      </c>
      <c r="L170">
        <v>8</v>
      </c>
      <c r="M170">
        <v>76039</v>
      </c>
      <c r="N170">
        <v>10</v>
      </c>
    </row>
    <row r="171" spans="1:14" x14ac:dyDescent="0.2">
      <c r="A171" s="3">
        <f t="shared" si="2"/>
        <v>797</v>
      </c>
      <c r="B171" t="str">
        <f>"00007970018"</f>
        <v>00007970018</v>
      </c>
      <c r="C171" t="s">
        <v>284</v>
      </c>
      <c r="D171" t="s">
        <v>101</v>
      </c>
      <c r="E171">
        <v>40</v>
      </c>
      <c r="F171">
        <v>8003</v>
      </c>
      <c r="G171" t="s">
        <v>164</v>
      </c>
      <c r="H171">
        <v>50</v>
      </c>
      <c r="I171" t="s">
        <v>34</v>
      </c>
      <c r="J171">
        <v>37</v>
      </c>
      <c r="K171" t="s">
        <v>34</v>
      </c>
      <c r="L171">
        <v>8</v>
      </c>
      <c r="M171">
        <v>76048</v>
      </c>
      <c r="N171">
        <v>13</v>
      </c>
    </row>
    <row r="172" spans="1:14" x14ac:dyDescent="0.2">
      <c r="A172" s="3">
        <f t="shared" si="2"/>
        <v>798</v>
      </c>
      <c r="B172" t="str">
        <f>"00007980010"</f>
        <v>00007980010</v>
      </c>
      <c r="C172" t="s">
        <v>285</v>
      </c>
      <c r="D172" t="s">
        <v>101</v>
      </c>
      <c r="E172">
        <v>40</v>
      </c>
      <c r="F172">
        <v>8003</v>
      </c>
      <c r="G172" t="s">
        <v>164</v>
      </c>
      <c r="H172">
        <v>40</v>
      </c>
      <c r="I172" t="s">
        <v>34</v>
      </c>
      <c r="J172">
        <v>30</v>
      </c>
      <c r="K172" t="s">
        <v>34</v>
      </c>
      <c r="L172">
        <v>8</v>
      </c>
      <c r="M172">
        <v>76032</v>
      </c>
      <c r="N172">
        <v>10</v>
      </c>
    </row>
    <row r="173" spans="1:14" x14ac:dyDescent="0.2">
      <c r="A173" s="3">
        <f t="shared" si="2"/>
        <v>799</v>
      </c>
      <c r="B173" t="str">
        <f>"00007990012"</f>
        <v>00007990012</v>
      </c>
      <c r="C173" t="s">
        <v>286</v>
      </c>
      <c r="D173" t="s">
        <v>48</v>
      </c>
      <c r="E173">
        <v>33</v>
      </c>
      <c r="F173">
        <v>1985</v>
      </c>
      <c r="G173" t="s">
        <v>287</v>
      </c>
      <c r="H173">
        <v>19</v>
      </c>
      <c r="I173" t="s">
        <v>34</v>
      </c>
      <c r="J173">
        <v>14</v>
      </c>
      <c r="K173" t="s">
        <v>34</v>
      </c>
      <c r="L173">
        <v>8</v>
      </c>
      <c r="M173">
        <v>84006</v>
      </c>
      <c r="N173">
        <v>5</v>
      </c>
    </row>
    <row r="174" spans="1:14" x14ac:dyDescent="0.2">
      <c r="A174" s="3">
        <f t="shared" si="2"/>
        <v>807</v>
      </c>
      <c r="B174" t="str">
        <f>"00008070004"</f>
        <v>00008070004</v>
      </c>
      <c r="C174" t="s">
        <v>288</v>
      </c>
      <c r="D174" t="s">
        <v>289</v>
      </c>
      <c r="E174">
        <v>20</v>
      </c>
      <c r="F174">
        <v>8086</v>
      </c>
      <c r="G174" t="s">
        <v>290</v>
      </c>
      <c r="H174">
        <v>9</v>
      </c>
      <c r="I174" t="s">
        <v>25</v>
      </c>
      <c r="J174">
        <v>7</v>
      </c>
      <c r="K174" t="s">
        <v>25</v>
      </c>
      <c r="L174">
        <v>8</v>
      </c>
      <c r="M174">
        <v>87007</v>
      </c>
      <c r="N174">
        <v>2</v>
      </c>
    </row>
    <row r="175" spans="1:14" x14ac:dyDescent="0.2">
      <c r="A175" s="3">
        <f t="shared" si="2"/>
        <v>807</v>
      </c>
      <c r="B175" t="str">
        <f>"00008070004"</f>
        <v>00008070004</v>
      </c>
      <c r="C175" t="s">
        <v>288</v>
      </c>
      <c r="D175" t="s">
        <v>289</v>
      </c>
      <c r="E175">
        <v>20</v>
      </c>
      <c r="F175">
        <v>2855</v>
      </c>
      <c r="G175" t="s">
        <v>291</v>
      </c>
      <c r="H175">
        <v>9</v>
      </c>
      <c r="I175" t="s">
        <v>25</v>
      </c>
      <c r="J175">
        <v>7</v>
      </c>
      <c r="K175" t="s">
        <v>25</v>
      </c>
      <c r="L175">
        <v>8</v>
      </c>
      <c r="M175">
        <v>87007</v>
      </c>
      <c r="N175">
        <v>2</v>
      </c>
    </row>
    <row r="176" spans="1:14" x14ac:dyDescent="0.2">
      <c r="A176" s="3">
        <f t="shared" si="2"/>
        <v>810</v>
      </c>
      <c r="B176" t="str">
        <f t="shared" ref="B176:B197" si="3">"00008100001"</f>
        <v>00008100001</v>
      </c>
      <c r="C176" t="s">
        <v>292</v>
      </c>
      <c r="D176" t="s">
        <v>52</v>
      </c>
      <c r="E176">
        <v>10</v>
      </c>
      <c r="F176">
        <v>1351</v>
      </c>
      <c r="G176" t="s">
        <v>293</v>
      </c>
      <c r="H176" t="s">
        <v>44</v>
      </c>
      <c r="I176" t="s">
        <v>45</v>
      </c>
      <c r="J176" t="s">
        <v>44</v>
      </c>
      <c r="K176" t="s">
        <v>45</v>
      </c>
      <c r="L176">
        <v>5</v>
      </c>
      <c r="M176" t="s">
        <v>65</v>
      </c>
      <c r="N176" t="s">
        <v>46</v>
      </c>
    </row>
    <row r="177" spans="1:14" x14ac:dyDescent="0.2">
      <c r="A177" s="3">
        <f t="shared" si="2"/>
        <v>810</v>
      </c>
      <c r="B177" t="str">
        <f t="shared" si="3"/>
        <v>00008100001</v>
      </c>
      <c r="C177" t="s">
        <v>292</v>
      </c>
      <c r="D177" t="s">
        <v>52</v>
      </c>
      <c r="E177">
        <v>10</v>
      </c>
      <c r="F177">
        <v>1720</v>
      </c>
      <c r="G177" t="s">
        <v>294</v>
      </c>
      <c r="H177" t="s">
        <v>44</v>
      </c>
      <c r="I177" t="s">
        <v>45</v>
      </c>
      <c r="J177" t="s">
        <v>44</v>
      </c>
      <c r="K177" t="s">
        <v>45</v>
      </c>
      <c r="L177">
        <v>5</v>
      </c>
      <c r="M177" t="s">
        <v>65</v>
      </c>
      <c r="N177" t="s">
        <v>46</v>
      </c>
    </row>
    <row r="178" spans="1:14" x14ac:dyDescent="0.2">
      <c r="A178" s="3">
        <f t="shared" si="2"/>
        <v>810</v>
      </c>
      <c r="B178" t="str">
        <f t="shared" si="3"/>
        <v>00008100001</v>
      </c>
      <c r="C178" t="s">
        <v>292</v>
      </c>
      <c r="D178" t="s">
        <v>52</v>
      </c>
      <c r="E178">
        <v>10</v>
      </c>
      <c r="F178">
        <v>4993</v>
      </c>
      <c r="G178" t="s">
        <v>295</v>
      </c>
      <c r="H178" t="s">
        <v>44</v>
      </c>
      <c r="I178" t="s">
        <v>45</v>
      </c>
      <c r="J178" t="s">
        <v>44</v>
      </c>
      <c r="K178" t="s">
        <v>45</v>
      </c>
      <c r="L178">
        <v>5</v>
      </c>
      <c r="M178" t="s">
        <v>65</v>
      </c>
      <c r="N178" t="s">
        <v>46</v>
      </c>
    </row>
    <row r="179" spans="1:14" x14ac:dyDescent="0.2">
      <c r="A179" s="3">
        <f t="shared" si="2"/>
        <v>810</v>
      </c>
      <c r="B179" t="str">
        <f t="shared" si="3"/>
        <v>00008100001</v>
      </c>
      <c r="C179" t="s">
        <v>292</v>
      </c>
      <c r="D179" t="s">
        <v>52</v>
      </c>
      <c r="E179">
        <v>10</v>
      </c>
      <c r="F179">
        <v>1802</v>
      </c>
      <c r="G179" t="s">
        <v>296</v>
      </c>
      <c r="H179" t="s">
        <v>44</v>
      </c>
      <c r="I179" t="s">
        <v>45</v>
      </c>
      <c r="J179" t="s">
        <v>44</v>
      </c>
      <c r="K179" t="s">
        <v>45</v>
      </c>
      <c r="L179">
        <v>5</v>
      </c>
      <c r="M179" t="s">
        <v>65</v>
      </c>
      <c r="N179" t="s">
        <v>46</v>
      </c>
    </row>
    <row r="180" spans="1:14" x14ac:dyDescent="0.2">
      <c r="A180" s="3">
        <f t="shared" si="2"/>
        <v>810</v>
      </c>
      <c r="B180" t="str">
        <f t="shared" si="3"/>
        <v>00008100001</v>
      </c>
      <c r="C180" t="s">
        <v>292</v>
      </c>
      <c r="D180" t="s">
        <v>52</v>
      </c>
      <c r="E180">
        <v>10</v>
      </c>
      <c r="F180">
        <v>7617</v>
      </c>
      <c r="G180" t="s">
        <v>297</v>
      </c>
      <c r="H180" t="s">
        <v>44</v>
      </c>
      <c r="I180" t="s">
        <v>45</v>
      </c>
      <c r="J180" t="s">
        <v>44</v>
      </c>
      <c r="K180" t="s">
        <v>45</v>
      </c>
      <c r="L180">
        <v>5</v>
      </c>
      <c r="M180" t="s">
        <v>65</v>
      </c>
      <c r="N180" t="s">
        <v>46</v>
      </c>
    </row>
    <row r="181" spans="1:14" x14ac:dyDescent="0.2">
      <c r="A181" s="3">
        <f t="shared" si="2"/>
        <v>810</v>
      </c>
      <c r="B181" t="str">
        <f t="shared" si="3"/>
        <v>00008100001</v>
      </c>
      <c r="C181" t="s">
        <v>292</v>
      </c>
      <c r="D181" t="s">
        <v>52</v>
      </c>
      <c r="E181">
        <v>10</v>
      </c>
      <c r="F181">
        <v>2611</v>
      </c>
      <c r="G181" t="s">
        <v>298</v>
      </c>
      <c r="H181" t="s">
        <v>44</v>
      </c>
      <c r="I181" t="s">
        <v>45</v>
      </c>
      <c r="J181" t="s">
        <v>44</v>
      </c>
      <c r="K181" t="s">
        <v>45</v>
      </c>
      <c r="L181">
        <v>5</v>
      </c>
      <c r="M181" t="s">
        <v>65</v>
      </c>
      <c r="N181" t="s">
        <v>46</v>
      </c>
    </row>
    <row r="182" spans="1:14" x14ac:dyDescent="0.2">
      <c r="A182" s="3">
        <f t="shared" si="2"/>
        <v>810</v>
      </c>
      <c r="B182" t="str">
        <f t="shared" si="3"/>
        <v>00008100001</v>
      </c>
      <c r="C182" t="s">
        <v>292</v>
      </c>
      <c r="D182" t="s">
        <v>52</v>
      </c>
      <c r="E182">
        <v>10</v>
      </c>
      <c r="F182">
        <v>1527</v>
      </c>
      <c r="G182" t="s">
        <v>299</v>
      </c>
      <c r="H182" t="s">
        <v>44</v>
      </c>
      <c r="I182" t="s">
        <v>45</v>
      </c>
      <c r="J182" t="s">
        <v>44</v>
      </c>
      <c r="K182" t="s">
        <v>45</v>
      </c>
      <c r="L182">
        <v>5</v>
      </c>
      <c r="M182" t="s">
        <v>65</v>
      </c>
      <c r="N182" t="s">
        <v>46</v>
      </c>
    </row>
    <row r="183" spans="1:14" x14ac:dyDescent="0.2">
      <c r="A183" s="3">
        <f t="shared" si="2"/>
        <v>810</v>
      </c>
      <c r="B183" t="str">
        <f t="shared" si="3"/>
        <v>00008100001</v>
      </c>
      <c r="C183" t="s">
        <v>292</v>
      </c>
      <c r="D183" t="s">
        <v>52</v>
      </c>
      <c r="E183">
        <v>10</v>
      </c>
      <c r="F183">
        <v>4623</v>
      </c>
      <c r="G183" t="s">
        <v>300</v>
      </c>
      <c r="H183" t="s">
        <v>44</v>
      </c>
      <c r="I183" t="s">
        <v>45</v>
      </c>
      <c r="J183" t="s">
        <v>44</v>
      </c>
      <c r="K183" t="s">
        <v>45</v>
      </c>
      <c r="L183">
        <v>5</v>
      </c>
      <c r="M183" t="s">
        <v>65</v>
      </c>
      <c r="N183" t="s">
        <v>46</v>
      </c>
    </row>
    <row r="184" spans="1:14" x14ac:dyDescent="0.2">
      <c r="A184" s="3">
        <f t="shared" si="2"/>
        <v>810</v>
      </c>
      <c r="B184" t="str">
        <f t="shared" si="3"/>
        <v>00008100001</v>
      </c>
      <c r="C184" t="s">
        <v>292</v>
      </c>
      <c r="D184" t="s">
        <v>52</v>
      </c>
      <c r="E184">
        <v>10</v>
      </c>
      <c r="F184">
        <v>1526</v>
      </c>
      <c r="G184" t="s">
        <v>301</v>
      </c>
      <c r="H184" t="s">
        <v>44</v>
      </c>
      <c r="I184" t="s">
        <v>45</v>
      </c>
      <c r="J184" t="s">
        <v>44</v>
      </c>
      <c r="K184" t="s">
        <v>45</v>
      </c>
      <c r="L184">
        <v>5</v>
      </c>
      <c r="M184" t="s">
        <v>65</v>
      </c>
      <c r="N184" t="s">
        <v>46</v>
      </c>
    </row>
    <row r="185" spans="1:14" x14ac:dyDescent="0.2">
      <c r="A185" s="3">
        <f t="shared" si="2"/>
        <v>810</v>
      </c>
      <c r="B185" t="str">
        <f t="shared" si="3"/>
        <v>00008100001</v>
      </c>
      <c r="C185" t="s">
        <v>292</v>
      </c>
      <c r="D185" t="s">
        <v>52</v>
      </c>
      <c r="E185">
        <v>10</v>
      </c>
      <c r="F185">
        <v>1454</v>
      </c>
      <c r="G185" t="s">
        <v>302</v>
      </c>
      <c r="H185" t="s">
        <v>44</v>
      </c>
      <c r="I185" t="s">
        <v>45</v>
      </c>
      <c r="J185" t="s">
        <v>44</v>
      </c>
      <c r="K185" t="s">
        <v>45</v>
      </c>
      <c r="L185">
        <v>5</v>
      </c>
      <c r="M185" t="s">
        <v>65</v>
      </c>
      <c r="N185" t="s">
        <v>46</v>
      </c>
    </row>
    <row r="186" spans="1:14" x14ac:dyDescent="0.2">
      <c r="A186" s="3">
        <f t="shared" si="2"/>
        <v>810</v>
      </c>
      <c r="B186" t="str">
        <f t="shared" si="3"/>
        <v>00008100001</v>
      </c>
      <c r="C186" t="s">
        <v>292</v>
      </c>
      <c r="D186" t="s">
        <v>52</v>
      </c>
      <c r="E186">
        <v>10</v>
      </c>
      <c r="F186">
        <v>240</v>
      </c>
      <c r="G186" t="s">
        <v>303</v>
      </c>
      <c r="H186" t="s">
        <v>44</v>
      </c>
      <c r="I186" t="s">
        <v>45</v>
      </c>
      <c r="J186" t="s">
        <v>44</v>
      </c>
      <c r="K186" t="s">
        <v>45</v>
      </c>
      <c r="L186">
        <v>5</v>
      </c>
      <c r="M186" t="s">
        <v>65</v>
      </c>
      <c r="N186" t="s">
        <v>46</v>
      </c>
    </row>
    <row r="187" spans="1:14" x14ac:dyDescent="0.2">
      <c r="A187" s="3">
        <f t="shared" si="2"/>
        <v>810</v>
      </c>
      <c r="B187" t="str">
        <f t="shared" si="3"/>
        <v>00008100001</v>
      </c>
      <c r="C187" t="s">
        <v>292</v>
      </c>
      <c r="D187" t="s">
        <v>52</v>
      </c>
      <c r="E187">
        <v>10</v>
      </c>
      <c r="F187">
        <v>4307</v>
      </c>
      <c r="G187" t="s">
        <v>304</v>
      </c>
      <c r="H187" t="s">
        <v>44</v>
      </c>
      <c r="I187" t="s">
        <v>45</v>
      </c>
      <c r="J187" t="s">
        <v>44</v>
      </c>
      <c r="K187" t="s">
        <v>45</v>
      </c>
      <c r="L187">
        <v>5</v>
      </c>
      <c r="M187" t="s">
        <v>65</v>
      </c>
      <c r="N187" t="s">
        <v>46</v>
      </c>
    </row>
    <row r="188" spans="1:14" x14ac:dyDescent="0.2">
      <c r="A188" s="3">
        <f t="shared" si="2"/>
        <v>810</v>
      </c>
      <c r="B188" t="str">
        <f t="shared" si="3"/>
        <v>00008100001</v>
      </c>
      <c r="C188" t="s">
        <v>292</v>
      </c>
      <c r="D188" t="s">
        <v>52</v>
      </c>
      <c r="E188">
        <v>10</v>
      </c>
      <c r="F188">
        <v>6964</v>
      </c>
      <c r="G188" t="s">
        <v>305</v>
      </c>
      <c r="H188" t="s">
        <v>44</v>
      </c>
      <c r="I188" t="s">
        <v>45</v>
      </c>
      <c r="J188" t="s">
        <v>44</v>
      </c>
      <c r="K188" t="s">
        <v>45</v>
      </c>
      <c r="L188">
        <v>5</v>
      </c>
      <c r="M188" t="s">
        <v>65</v>
      </c>
      <c r="N188" t="s">
        <v>46</v>
      </c>
    </row>
    <row r="189" spans="1:14" x14ac:dyDescent="0.2">
      <c r="A189" s="3">
        <f t="shared" si="2"/>
        <v>810</v>
      </c>
      <c r="B189" t="str">
        <f t="shared" si="3"/>
        <v>00008100001</v>
      </c>
      <c r="C189" t="s">
        <v>292</v>
      </c>
      <c r="D189" t="s">
        <v>52</v>
      </c>
      <c r="E189">
        <v>10</v>
      </c>
      <c r="F189">
        <v>1357</v>
      </c>
      <c r="G189" t="s">
        <v>306</v>
      </c>
      <c r="H189" t="s">
        <v>44</v>
      </c>
      <c r="I189" t="s">
        <v>45</v>
      </c>
      <c r="J189" t="s">
        <v>44</v>
      </c>
      <c r="K189" t="s">
        <v>45</v>
      </c>
      <c r="L189">
        <v>5</v>
      </c>
      <c r="M189" t="s">
        <v>65</v>
      </c>
      <c r="N189" t="s">
        <v>46</v>
      </c>
    </row>
    <row r="190" spans="1:14" x14ac:dyDescent="0.2">
      <c r="A190" s="3">
        <f t="shared" si="2"/>
        <v>810</v>
      </c>
      <c r="B190" t="str">
        <f t="shared" si="3"/>
        <v>00008100001</v>
      </c>
      <c r="C190" t="s">
        <v>292</v>
      </c>
      <c r="D190" t="s">
        <v>52</v>
      </c>
      <c r="E190">
        <v>10</v>
      </c>
      <c r="F190">
        <v>1237</v>
      </c>
      <c r="G190" t="s">
        <v>307</v>
      </c>
      <c r="H190" t="s">
        <v>44</v>
      </c>
      <c r="I190" t="s">
        <v>45</v>
      </c>
      <c r="J190" t="s">
        <v>44</v>
      </c>
      <c r="K190" t="s">
        <v>45</v>
      </c>
      <c r="L190">
        <v>5</v>
      </c>
      <c r="M190" t="s">
        <v>65</v>
      </c>
      <c r="N190" t="s">
        <v>46</v>
      </c>
    </row>
    <row r="191" spans="1:14" x14ac:dyDescent="0.2">
      <c r="A191" s="3">
        <f t="shared" si="2"/>
        <v>810</v>
      </c>
      <c r="B191" t="str">
        <f t="shared" si="3"/>
        <v>00008100001</v>
      </c>
      <c r="C191" t="s">
        <v>292</v>
      </c>
      <c r="D191" t="s">
        <v>52</v>
      </c>
      <c r="E191">
        <v>10</v>
      </c>
      <c r="F191">
        <v>1993</v>
      </c>
      <c r="G191" t="s">
        <v>308</v>
      </c>
      <c r="H191" t="s">
        <v>44</v>
      </c>
      <c r="I191" t="s">
        <v>45</v>
      </c>
      <c r="J191" t="s">
        <v>44</v>
      </c>
      <c r="K191" t="s">
        <v>45</v>
      </c>
      <c r="L191">
        <v>5</v>
      </c>
      <c r="M191" t="s">
        <v>65</v>
      </c>
      <c r="N191" t="s">
        <v>46</v>
      </c>
    </row>
    <row r="192" spans="1:14" x14ac:dyDescent="0.2">
      <c r="A192" s="3">
        <f t="shared" si="2"/>
        <v>810</v>
      </c>
      <c r="B192" t="str">
        <f t="shared" si="3"/>
        <v>00008100001</v>
      </c>
      <c r="C192" t="s">
        <v>292</v>
      </c>
      <c r="D192" t="s">
        <v>52</v>
      </c>
      <c r="E192">
        <v>10</v>
      </c>
      <c r="F192">
        <v>4246</v>
      </c>
      <c r="G192" t="s">
        <v>309</v>
      </c>
      <c r="H192" t="s">
        <v>44</v>
      </c>
      <c r="I192" t="s">
        <v>45</v>
      </c>
      <c r="J192" t="s">
        <v>44</v>
      </c>
      <c r="K192" t="s">
        <v>45</v>
      </c>
      <c r="L192">
        <v>5</v>
      </c>
      <c r="M192" t="s">
        <v>65</v>
      </c>
      <c r="N192" t="s">
        <v>46</v>
      </c>
    </row>
    <row r="193" spans="1:14" x14ac:dyDescent="0.2">
      <c r="A193" s="3">
        <f t="shared" si="2"/>
        <v>810</v>
      </c>
      <c r="B193" t="str">
        <f t="shared" si="3"/>
        <v>00008100001</v>
      </c>
      <c r="C193" t="s">
        <v>292</v>
      </c>
      <c r="D193" t="s">
        <v>52</v>
      </c>
      <c r="E193">
        <v>10</v>
      </c>
      <c r="F193">
        <v>1057</v>
      </c>
      <c r="G193" t="s">
        <v>310</v>
      </c>
      <c r="H193" t="s">
        <v>44</v>
      </c>
      <c r="I193" t="s">
        <v>45</v>
      </c>
      <c r="J193" t="s">
        <v>44</v>
      </c>
      <c r="K193" t="s">
        <v>45</v>
      </c>
      <c r="L193">
        <v>5</v>
      </c>
      <c r="M193" t="s">
        <v>65</v>
      </c>
      <c r="N193" t="s">
        <v>46</v>
      </c>
    </row>
    <row r="194" spans="1:14" x14ac:dyDescent="0.2">
      <c r="A194" s="3">
        <f t="shared" si="2"/>
        <v>810</v>
      </c>
      <c r="B194" t="str">
        <f t="shared" si="3"/>
        <v>00008100001</v>
      </c>
      <c r="C194" t="s">
        <v>292</v>
      </c>
      <c r="D194" t="s">
        <v>52</v>
      </c>
      <c r="E194">
        <v>10</v>
      </c>
      <c r="F194">
        <v>1028</v>
      </c>
      <c r="G194" t="s">
        <v>311</v>
      </c>
      <c r="H194" t="s">
        <v>44</v>
      </c>
      <c r="I194" t="s">
        <v>45</v>
      </c>
      <c r="J194" t="s">
        <v>44</v>
      </c>
      <c r="K194" t="s">
        <v>45</v>
      </c>
      <c r="L194">
        <v>5</v>
      </c>
      <c r="M194" t="s">
        <v>65</v>
      </c>
      <c r="N194" t="s">
        <v>46</v>
      </c>
    </row>
    <row r="195" spans="1:14" x14ac:dyDescent="0.2">
      <c r="A195" s="3">
        <f t="shared" si="2"/>
        <v>810</v>
      </c>
      <c r="B195" t="str">
        <f t="shared" si="3"/>
        <v>00008100001</v>
      </c>
      <c r="C195" t="s">
        <v>292</v>
      </c>
      <c r="D195" t="s">
        <v>52</v>
      </c>
      <c r="E195">
        <v>10</v>
      </c>
      <c r="F195">
        <v>3614</v>
      </c>
      <c r="G195" t="s">
        <v>312</v>
      </c>
      <c r="H195" t="s">
        <v>44</v>
      </c>
      <c r="I195" t="s">
        <v>45</v>
      </c>
      <c r="J195" t="s">
        <v>44</v>
      </c>
      <c r="K195" t="s">
        <v>45</v>
      </c>
      <c r="L195">
        <v>5</v>
      </c>
      <c r="M195" t="s">
        <v>65</v>
      </c>
      <c r="N195" t="s">
        <v>46</v>
      </c>
    </row>
    <row r="196" spans="1:14" x14ac:dyDescent="0.2">
      <c r="A196" s="3">
        <f t="shared" ref="A196:A259" si="4">(B196-RIGHT(B196,4))/10000</f>
        <v>810</v>
      </c>
      <c r="B196" t="str">
        <f t="shared" si="3"/>
        <v>00008100001</v>
      </c>
      <c r="C196" t="s">
        <v>292</v>
      </c>
      <c r="D196" t="s">
        <v>52</v>
      </c>
      <c r="E196">
        <v>10</v>
      </c>
      <c r="F196">
        <v>3391</v>
      </c>
      <c r="G196" t="s">
        <v>313</v>
      </c>
      <c r="H196" t="s">
        <v>44</v>
      </c>
      <c r="I196" t="s">
        <v>45</v>
      </c>
      <c r="J196" t="s">
        <v>44</v>
      </c>
      <c r="K196" t="s">
        <v>45</v>
      </c>
      <c r="L196">
        <v>5</v>
      </c>
      <c r="M196" t="s">
        <v>65</v>
      </c>
      <c r="N196" t="s">
        <v>46</v>
      </c>
    </row>
    <row r="197" spans="1:14" x14ac:dyDescent="0.2">
      <c r="A197" s="3">
        <f t="shared" si="4"/>
        <v>810</v>
      </c>
      <c r="B197" t="str">
        <f t="shared" si="3"/>
        <v>00008100001</v>
      </c>
      <c r="C197" t="s">
        <v>292</v>
      </c>
      <c r="D197" t="s">
        <v>52</v>
      </c>
      <c r="E197">
        <v>10</v>
      </c>
      <c r="F197">
        <v>304</v>
      </c>
      <c r="G197" t="s">
        <v>314</v>
      </c>
      <c r="H197" t="s">
        <v>44</v>
      </c>
      <c r="I197" t="s">
        <v>45</v>
      </c>
      <c r="J197" t="s">
        <v>44</v>
      </c>
      <c r="K197" t="s">
        <v>45</v>
      </c>
      <c r="L197">
        <v>5</v>
      </c>
      <c r="M197" t="s">
        <v>65</v>
      </c>
      <c r="N197" t="s">
        <v>46</v>
      </c>
    </row>
    <row r="198" spans="1:14" x14ac:dyDescent="0.2">
      <c r="A198" s="3">
        <f t="shared" si="4"/>
        <v>818</v>
      </c>
      <c r="B198" t="str">
        <f>"00008180022"</f>
        <v>00008180022</v>
      </c>
      <c r="C198" t="s">
        <v>315</v>
      </c>
      <c r="D198" t="s">
        <v>289</v>
      </c>
      <c r="E198">
        <v>20</v>
      </c>
      <c r="F198">
        <v>8086</v>
      </c>
      <c r="G198" t="s">
        <v>290</v>
      </c>
      <c r="H198">
        <v>12</v>
      </c>
      <c r="I198" t="s">
        <v>25</v>
      </c>
      <c r="J198">
        <v>9</v>
      </c>
      <c r="K198" t="s">
        <v>25</v>
      </c>
      <c r="L198">
        <v>8</v>
      </c>
      <c r="M198">
        <v>87037</v>
      </c>
      <c r="N198">
        <v>3</v>
      </c>
    </row>
    <row r="199" spans="1:14" x14ac:dyDescent="0.2">
      <c r="A199" s="3">
        <f t="shared" si="4"/>
        <v>818</v>
      </c>
      <c r="B199" t="str">
        <f>"00008180022"</f>
        <v>00008180022</v>
      </c>
      <c r="C199" t="s">
        <v>315</v>
      </c>
      <c r="D199" t="s">
        <v>289</v>
      </c>
      <c r="E199">
        <v>20</v>
      </c>
      <c r="F199">
        <v>2811</v>
      </c>
      <c r="G199" t="s">
        <v>316</v>
      </c>
      <c r="H199">
        <v>12</v>
      </c>
      <c r="I199" t="s">
        <v>25</v>
      </c>
      <c r="J199">
        <v>9</v>
      </c>
      <c r="K199" t="s">
        <v>25</v>
      </c>
      <c r="L199">
        <v>8</v>
      </c>
      <c r="M199">
        <v>87037</v>
      </c>
      <c r="N199">
        <v>3</v>
      </c>
    </row>
    <row r="200" spans="1:14" x14ac:dyDescent="0.2">
      <c r="A200" s="3">
        <f t="shared" si="4"/>
        <v>819</v>
      </c>
      <c r="B200" t="str">
        <f>"00008190004"</f>
        <v>00008190004</v>
      </c>
      <c r="C200" t="s">
        <v>317</v>
      </c>
      <c r="D200" t="s">
        <v>289</v>
      </c>
      <c r="E200">
        <v>20</v>
      </c>
      <c r="F200">
        <v>8086</v>
      </c>
      <c r="G200" t="s">
        <v>290</v>
      </c>
      <c r="H200">
        <v>15</v>
      </c>
      <c r="I200" t="s">
        <v>25</v>
      </c>
      <c r="J200">
        <v>11</v>
      </c>
      <c r="K200" t="s">
        <v>25</v>
      </c>
      <c r="L200">
        <v>8</v>
      </c>
      <c r="M200">
        <v>86056</v>
      </c>
      <c r="N200">
        <v>4</v>
      </c>
    </row>
    <row r="201" spans="1:14" x14ac:dyDescent="0.2">
      <c r="A201" s="3">
        <f t="shared" si="4"/>
        <v>819</v>
      </c>
      <c r="B201" t="str">
        <f>"00008190004"</f>
        <v>00008190004</v>
      </c>
      <c r="C201" t="s">
        <v>317</v>
      </c>
      <c r="D201" t="s">
        <v>289</v>
      </c>
      <c r="E201">
        <v>20</v>
      </c>
      <c r="F201">
        <v>8130</v>
      </c>
      <c r="G201" t="s">
        <v>318</v>
      </c>
      <c r="H201">
        <v>15</v>
      </c>
      <c r="I201" t="s">
        <v>25</v>
      </c>
      <c r="J201">
        <v>11</v>
      </c>
      <c r="K201" t="s">
        <v>25</v>
      </c>
      <c r="L201">
        <v>8</v>
      </c>
      <c r="M201">
        <v>86056</v>
      </c>
      <c r="N201">
        <v>4</v>
      </c>
    </row>
    <row r="202" spans="1:14" x14ac:dyDescent="0.2">
      <c r="A202" s="3">
        <f t="shared" si="4"/>
        <v>839</v>
      </c>
      <c r="B202" t="str">
        <f>"00008390025"</f>
        <v>00008390025</v>
      </c>
      <c r="C202" t="s">
        <v>319</v>
      </c>
      <c r="D202" t="s">
        <v>320</v>
      </c>
      <c r="E202">
        <v>20</v>
      </c>
      <c r="F202">
        <v>8086</v>
      </c>
      <c r="G202" t="s">
        <v>290</v>
      </c>
      <c r="H202">
        <v>12</v>
      </c>
      <c r="I202" t="s">
        <v>25</v>
      </c>
      <c r="J202">
        <v>9</v>
      </c>
      <c r="K202" t="s">
        <v>25</v>
      </c>
      <c r="L202">
        <v>8</v>
      </c>
      <c r="M202">
        <v>88036</v>
      </c>
      <c r="N202">
        <v>3</v>
      </c>
    </row>
    <row r="203" spans="1:14" x14ac:dyDescent="0.2">
      <c r="A203" s="3">
        <f t="shared" si="4"/>
        <v>839</v>
      </c>
      <c r="B203" t="str">
        <f>"00008390025"</f>
        <v>00008390025</v>
      </c>
      <c r="C203" t="s">
        <v>319</v>
      </c>
      <c r="D203" t="s">
        <v>320</v>
      </c>
      <c r="E203">
        <v>20</v>
      </c>
      <c r="F203">
        <v>1281</v>
      </c>
      <c r="G203" t="s">
        <v>182</v>
      </c>
      <c r="H203">
        <v>12</v>
      </c>
      <c r="I203" t="s">
        <v>25</v>
      </c>
      <c r="J203">
        <v>9</v>
      </c>
      <c r="K203" t="s">
        <v>25</v>
      </c>
      <c r="L203">
        <v>8</v>
      </c>
      <c r="M203">
        <v>88036</v>
      </c>
      <c r="N203">
        <v>3</v>
      </c>
    </row>
    <row r="204" spans="1:14" x14ac:dyDescent="0.2">
      <c r="A204" s="3">
        <f t="shared" si="4"/>
        <v>854</v>
      </c>
      <c r="B204" t="str">
        <f>"00008540006"</f>
        <v>00008540006</v>
      </c>
      <c r="C204" t="s">
        <v>321</v>
      </c>
      <c r="D204" t="s">
        <v>289</v>
      </c>
      <c r="E204">
        <v>20</v>
      </c>
      <c r="F204">
        <v>8086</v>
      </c>
      <c r="G204" t="s">
        <v>290</v>
      </c>
      <c r="H204">
        <v>8</v>
      </c>
      <c r="I204" t="s">
        <v>25</v>
      </c>
      <c r="J204">
        <v>6</v>
      </c>
      <c r="K204" t="s">
        <v>25</v>
      </c>
      <c r="L204">
        <v>8</v>
      </c>
      <c r="M204">
        <v>87069</v>
      </c>
      <c r="N204">
        <v>2</v>
      </c>
    </row>
    <row r="205" spans="1:14" x14ac:dyDescent="0.2">
      <c r="A205" s="3">
        <f t="shared" si="4"/>
        <v>854</v>
      </c>
      <c r="B205" t="str">
        <f>"00008540006"</f>
        <v>00008540006</v>
      </c>
      <c r="C205" t="s">
        <v>321</v>
      </c>
      <c r="D205" t="s">
        <v>289</v>
      </c>
      <c r="E205">
        <v>20</v>
      </c>
      <c r="F205">
        <v>8072</v>
      </c>
      <c r="G205" t="s">
        <v>322</v>
      </c>
      <c r="H205">
        <v>8</v>
      </c>
      <c r="I205" t="s">
        <v>25</v>
      </c>
      <c r="J205">
        <v>6</v>
      </c>
      <c r="K205" t="s">
        <v>25</v>
      </c>
      <c r="L205">
        <v>8</v>
      </c>
      <c r="M205">
        <v>87069</v>
      </c>
      <c r="N205">
        <v>2</v>
      </c>
    </row>
    <row r="206" spans="1:14" x14ac:dyDescent="0.2">
      <c r="A206" s="3">
        <f t="shared" si="4"/>
        <v>861</v>
      </c>
      <c r="B206" t="str">
        <f>"00008610009"</f>
        <v>00008610009</v>
      </c>
      <c r="C206" t="s">
        <v>323</v>
      </c>
      <c r="D206" t="s">
        <v>324</v>
      </c>
      <c r="E206">
        <v>20</v>
      </c>
      <c r="F206">
        <v>8086</v>
      </c>
      <c r="G206" t="s">
        <v>290</v>
      </c>
      <c r="H206">
        <v>10</v>
      </c>
      <c r="I206" t="s">
        <v>25</v>
      </c>
      <c r="J206">
        <v>7</v>
      </c>
      <c r="K206" t="s">
        <v>25</v>
      </c>
      <c r="L206">
        <v>8</v>
      </c>
      <c r="M206">
        <v>89033</v>
      </c>
      <c r="N206">
        <v>3</v>
      </c>
    </row>
    <row r="207" spans="1:14" x14ac:dyDescent="0.2">
      <c r="A207" s="3">
        <f t="shared" si="4"/>
        <v>861</v>
      </c>
      <c r="B207" t="str">
        <f>"00008610009"</f>
        <v>00008610009</v>
      </c>
      <c r="C207" t="s">
        <v>323</v>
      </c>
      <c r="D207" t="s">
        <v>324</v>
      </c>
      <c r="E207">
        <v>20</v>
      </c>
      <c r="F207">
        <v>1205</v>
      </c>
      <c r="G207" t="s">
        <v>325</v>
      </c>
      <c r="H207">
        <v>10</v>
      </c>
      <c r="I207" t="s">
        <v>25</v>
      </c>
      <c r="J207">
        <v>7</v>
      </c>
      <c r="K207" t="s">
        <v>25</v>
      </c>
      <c r="L207">
        <v>8</v>
      </c>
      <c r="M207">
        <v>89033</v>
      </c>
      <c r="N207">
        <v>3</v>
      </c>
    </row>
    <row r="208" spans="1:14" x14ac:dyDescent="0.2">
      <c r="A208" s="3">
        <f t="shared" si="4"/>
        <v>861</v>
      </c>
      <c r="B208" t="str">
        <f>"00008610009"</f>
        <v>00008610009</v>
      </c>
      <c r="C208" t="s">
        <v>323</v>
      </c>
      <c r="D208" t="s">
        <v>324</v>
      </c>
      <c r="E208">
        <v>20</v>
      </c>
      <c r="F208">
        <v>2349</v>
      </c>
      <c r="G208" t="s">
        <v>326</v>
      </c>
      <c r="H208">
        <v>12</v>
      </c>
      <c r="I208" t="s">
        <v>25</v>
      </c>
      <c r="J208">
        <v>9</v>
      </c>
      <c r="K208" t="s">
        <v>25</v>
      </c>
      <c r="L208">
        <v>8</v>
      </c>
      <c r="M208">
        <v>89033</v>
      </c>
      <c r="N208">
        <v>3</v>
      </c>
    </row>
    <row r="209" spans="1:14" x14ac:dyDescent="0.2">
      <c r="A209" s="3">
        <f t="shared" si="4"/>
        <v>875</v>
      </c>
      <c r="B209" t="str">
        <f>"00008750001"</f>
        <v>00008750001</v>
      </c>
      <c r="C209" t="s">
        <v>327</v>
      </c>
      <c r="D209" t="s">
        <v>52</v>
      </c>
      <c r="E209">
        <v>62</v>
      </c>
      <c r="F209">
        <v>8104</v>
      </c>
      <c r="G209" t="s">
        <v>328</v>
      </c>
      <c r="H209">
        <v>8</v>
      </c>
      <c r="I209" t="s">
        <v>25</v>
      </c>
      <c r="J209">
        <v>6</v>
      </c>
      <c r="K209" t="s">
        <v>25</v>
      </c>
      <c r="L209">
        <v>6</v>
      </c>
      <c r="M209">
        <v>51620</v>
      </c>
      <c r="N209">
        <v>2</v>
      </c>
    </row>
    <row r="210" spans="1:14" x14ac:dyDescent="0.2">
      <c r="A210" s="3">
        <f t="shared" si="4"/>
        <v>877</v>
      </c>
      <c r="B210" t="str">
        <f>"00008770006"</f>
        <v>00008770006</v>
      </c>
      <c r="C210" t="s">
        <v>329</v>
      </c>
      <c r="D210" t="s">
        <v>23</v>
      </c>
      <c r="E210">
        <v>62</v>
      </c>
      <c r="F210">
        <v>3796</v>
      </c>
      <c r="G210" t="s">
        <v>24</v>
      </c>
      <c r="H210">
        <v>8</v>
      </c>
      <c r="I210" t="s">
        <v>25</v>
      </c>
      <c r="J210">
        <v>6</v>
      </c>
      <c r="K210" t="s">
        <v>25</v>
      </c>
      <c r="L210">
        <v>8</v>
      </c>
      <c r="M210">
        <v>95245</v>
      </c>
      <c r="N210">
        <v>2</v>
      </c>
    </row>
    <row r="211" spans="1:14" x14ac:dyDescent="0.2">
      <c r="A211" s="3">
        <f t="shared" si="4"/>
        <v>886</v>
      </c>
      <c r="B211" t="str">
        <f>"00008860009"</f>
        <v>00008860009</v>
      </c>
      <c r="C211" t="s">
        <v>330</v>
      </c>
      <c r="D211" t="s">
        <v>289</v>
      </c>
      <c r="E211">
        <v>20</v>
      </c>
      <c r="F211">
        <v>8086</v>
      </c>
      <c r="G211" t="s">
        <v>290</v>
      </c>
      <c r="H211">
        <v>9</v>
      </c>
      <c r="I211" t="s">
        <v>25</v>
      </c>
      <c r="J211">
        <v>7</v>
      </c>
      <c r="K211" t="s">
        <v>25</v>
      </c>
      <c r="L211">
        <v>8</v>
      </c>
      <c r="M211">
        <v>87053</v>
      </c>
      <c r="N211">
        <v>2</v>
      </c>
    </row>
    <row r="212" spans="1:14" x14ac:dyDescent="0.2">
      <c r="A212" s="3">
        <f t="shared" si="4"/>
        <v>886</v>
      </c>
      <c r="B212" t="str">
        <f>"00008860009"</f>
        <v>00008860009</v>
      </c>
      <c r="C212" t="s">
        <v>330</v>
      </c>
      <c r="D212" t="s">
        <v>289</v>
      </c>
      <c r="E212">
        <v>20</v>
      </c>
      <c r="F212">
        <v>631</v>
      </c>
      <c r="G212" t="s">
        <v>331</v>
      </c>
      <c r="H212">
        <v>9</v>
      </c>
      <c r="I212" t="s">
        <v>25</v>
      </c>
      <c r="J212">
        <v>7</v>
      </c>
      <c r="K212" t="s">
        <v>25</v>
      </c>
      <c r="L212">
        <v>8</v>
      </c>
      <c r="M212">
        <v>87053</v>
      </c>
      <c r="N212">
        <v>2</v>
      </c>
    </row>
    <row r="213" spans="1:14" x14ac:dyDescent="0.2">
      <c r="A213" s="3">
        <f t="shared" si="4"/>
        <v>893</v>
      </c>
      <c r="B213" t="str">
        <f>"00008930024"</f>
        <v>00008930024</v>
      </c>
      <c r="C213" t="s">
        <v>332</v>
      </c>
      <c r="D213" t="s">
        <v>289</v>
      </c>
      <c r="E213">
        <v>20</v>
      </c>
      <c r="F213">
        <v>8086</v>
      </c>
      <c r="G213" t="s">
        <v>290</v>
      </c>
      <c r="H213">
        <v>12</v>
      </c>
      <c r="I213" t="s">
        <v>25</v>
      </c>
      <c r="J213">
        <v>9</v>
      </c>
      <c r="K213" t="s">
        <v>25</v>
      </c>
      <c r="L213">
        <v>8</v>
      </c>
      <c r="M213">
        <v>88021</v>
      </c>
      <c r="N213">
        <v>3</v>
      </c>
    </row>
    <row r="214" spans="1:14" x14ac:dyDescent="0.2">
      <c r="A214" s="3">
        <f t="shared" si="4"/>
        <v>893</v>
      </c>
      <c r="B214" t="str">
        <f>"00008930024"</f>
        <v>00008930024</v>
      </c>
      <c r="C214" t="s">
        <v>332</v>
      </c>
      <c r="D214" t="s">
        <v>289</v>
      </c>
      <c r="E214">
        <v>20</v>
      </c>
      <c r="F214">
        <v>2827</v>
      </c>
      <c r="G214" t="s">
        <v>333</v>
      </c>
      <c r="H214">
        <v>12</v>
      </c>
      <c r="I214" t="s">
        <v>25</v>
      </c>
      <c r="J214">
        <v>9</v>
      </c>
      <c r="K214" t="s">
        <v>25</v>
      </c>
      <c r="L214">
        <v>8</v>
      </c>
      <c r="M214">
        <v>88021</v>
      </c>
      <c r="N214">
        <v>3</v>
      </c>
    </row>
    <row r="215" spans="1:14" x14ac:dyDescent="0.2">
      <c r="A215" s="3">
        <f t="shared" si="4"/>
        <v>898</v>
      </c>
      <c r="B215" t="str">
        <f>"00008980024"</f>
        <v>00008980024</v>
      </c>
      <c r="C215" t="s">
        <v>334</v>
      </c>
      <c r="D215" t="s">
        <v>289</v>
      </c>
      <c r="E215">
        <v>20</v>
      </c>
      <c r="F215">
        <v>8086</v>
      </c>
      <c r="G215" t="s">
        <v>290</v>
      </c>
      <c r="H215">
        <v>12</v>
      </c>
      <c r="I215" t="s">
        <v>25</v>
      </c>
      <c r="J215">
        <v>9</v>
      </c>
      <c r="K215" t="s">
        <v>25</v>
      </c>
      <c r="L215">
        <v>8</v>
      </c>
      <c r="M215">
        <v>88032</v>
      </c>
      <c r="N215">
        <v>3</v>
      </c>
    </row>
    <row r="216" spans="1:14" x14ac:dyDescent="0.2">
      <c r="A216" s="3">
        <f t="shared" si="4"/>
        <v>898</v>
      </c>
      <c r="B216" t="str">
        <f>"00008980024"</f>
        <v>00008980024</v>
      </c>
      <c r="C216" t="s">
        <v>334</v>
      </c>
      <c r="D216" t="s">
        <v>289</v>
      </c>
      <c r="E216">
        <v>20</v>
      </c>
      <c r="F216">
        <v>850</v>
      </c>
      <c r="G216" t="s">
        <v>335</v>
      </c>
      <c r="H216">
        <v>12</v>
      </c>
      <c r="I216" t="s">
        <v>25</v>
      </c>
      <c r="J216">
        <v>9</v>
      </c>
      <c r="K216" t="s">
        <v>25</v>
      </c>
      <c r="L216">
        <v>8</v>
      </c>
      <c r="M216">
        <v>88032</v>
      </c>
      <c r="N216">
        <v>3</v>
      </c>
    </row>
    <row r="217" spans="1:14" x14ac:dyDescent="0.2">
      <c r="A217" s="3">
        <f t="shared" si="4"/>
        <v>899</v>
      </c>
      <c r="B217" t="str">
        <f>"00008990001"</f>
        <v>00008990001</v>
      </c>
      <c r="C217" t="s">
        <v>336</v>
      </c>
      <c r="D217" t="s">
        <v>337</v>
      </c>
      <c r="E217">
        <v>91</v>
      </c>
      <c r="F217">
        <v>2062</v>
      </c>
      <c r="G217" t="s">
        <v>338</v>
      </c>
      <c r="H217">
        <v>17</v>
      </c>
      <c r="I217" t="s">
        <v>34</v>
      </c>
      <c r="J217">
        <v>11</v>
      </c>
      <c r="K217" t="s">
        <v>34</v>
      </c>
      <c r="L217">
        <v>8</v>
      </c>
      <c r="M217">
        <v>91079</v>
      </c>
      <c r="N217">
        <v>4</v>
      </c>
    </row>
    <row r="218" spans="1:14" x14ac:dyDescent="0.2">
      <c r="A218" s="3">
        <f t="shared" si="4"/>
        <v>901</v>
      </c>
      <c r="B218" t="str">
        <f>"00009010001"</f>
        <v>00009010001</v>
      </c>
      <c r="C218" t="s">
        <v>339</v>
      </c>
      <c r="D218" t="s">
        <v>337</v>
      </c>
      <c r="E218">
        <v>91</v>
      </c>
      <c r="F218">
        <v>8050</v>
      </c>
      <c r="G218" t="s">
        <v>322</v>
      </c>
      <c r="H218">
        <v>7</v>
      </c>
      <c r="I218" t="s">
        <v>34</v>
      </c>
      <c r="J218">
        <v>5</v>
      </c>
      <c r="K218" t="s">
        <v>34</v>
      </c>
      <c r="L218">
        <v>8</v>
      </c>
      <c r="M218">
        <v>91038</v>
      </c>
      <c r="N218">
        <v>2</v>
      </c>
    </row>
    <row r="219" spans="1:14" x14ac:dyDescent="0.2">
      <c r="A219" s="3">
        <f t="shared" si="4"/>
        <v>906</v>
      </c>
      <c r="B219" t="str">
        <f>"00009060001"</f>
        <v>00009060001</v>
      </c>
      <c r="C219" t="s">
        <v>340</v>
      </c>
      <c r="D219" t="s">
        <v>337</v>
      </c>
      <c r="E219">
        <v>91</v>
      </c>
      <c r="F219">
        <v>3781</v>
      </c>
      <c r="G219" t="s">
        <v>341</v>
      </c>
      <c r="H219">
        <v>6</v>
      </c>
      <c r="I219" t="s">
        <v>34</v>
      </c>
      <c r="J219">
        <v>4</v>
      </c>
      <c r="K219" t="s">
        <v>34</v>
      </c>
      <c r="L219">
        <v>8</v>
      </c>
      <c r="M219">
        <v>91074</v>
      </c>
      <c r="N219">
        <v>2</v>
      </c>
    </row>
    <row r="220" spans="1:14" x14ac:dyDescent="0.2">
      <c r="A220" s="3">
        <f t="shared" si="4"/>
        <v>910</v>
      </c>
      <c r="B220" t="str">
        <f>"00009100001"</f>
        <v>00009100001</v>
      </c>
      <c r="C220" t="s">
        <v>342</v>
      </c>
      <c r="D220" t="s">
        <v>337</v>
      </c>
      <c r="E220">
        <v>90</v>
      </c>
      <c r="F220">
        <v>8253</v>
      </c>
      <c r="G220" t="s">
        <v>343</v>
      </c>
      <c r="H220">
        <v>8</v>
      </c>
      <c r="I220" t="s">
        <v>34</v>
      </c>
      <c r="J220">
        <v>5</v>
      </c>
      <c r="K220" t="s">
        <v>34</v>
      </c>
      <c r="L220">
        <v>8</v>
      </c>
      <c r="M220">
        <v>91007</v>
      </c>
      <c r="N220">
        <v>2</v>
      </c>
    </row>
    <row r="221" spans="1:14" x14ac:dyDescent="0.2">
      <c r="A221" s="3">
        <f t="shared" si="4"/>
        <v>913</v>
      </c>
      <c r="B221" t="str">
        <f>"00009130001"</f>
        <v>00009130001</v>
      </c>
      <c r="C221" t="s">
        <v>344</v>
      </c>
      <c r="D221" t="s">
        <v>337</v>
      </c>
      <c r="E221">
        <v>91</v>
      </c>
      <c r="F221">
        <v>8018</v>
      </c>
      <c r="G221" t="s">
        <v>322</v>
      </c>
      <c r="H221">
        <v>11</v>
      </c>
      <c r="I221" t="s">
        <v>34</v>
      </c>
      <c r="J221">
        <v>7</v>
      </c>
      <c r="K221" t="s">
        <v>34</v>
      </c>
      <c r="L221">
        <v>8</v>
      </c>
      <c r="M221">
        <v>91041</v>
      </c>
      <c r="N221">
        <v>2</v>
      </c>
    </row>
    <row r="222" spans="1:14" x14ac:dyDescent="0.2">
      <c r="A222" s="3">
        <f t="shared" si="4"/>
        <v>914</v>
      </c>
      <c r="B222" t="str">
        <f>"00009140001"</f>
        <v>00009140001</v>
      </c>
      <c r="C222" t="s">
        <v>345</v>
      </c>
      <c r="D222" t="s">
        <v>337</v>
      </c>
      <c r="E222">
        <v>91</v>
      </c>
      <c r="F222">
        <v>8018</v>
      </c>
      <c r="G222" t="s">
        <v>322</v>
      </c>
      <c r="H222">
        <v>11</v>
      </c>
      <c r="I222" t="s">
        <v>34</v>
      </c>
      <c r="J222">
        <v>7</v>
      </c>
      <c r="K222" t="s">
        <v>34</v>
      </c>
      <c r="L222">
        <v>8</v>
      </c>
      <c r="M222">
        <v>91088</v>
      </c>
      <c r="N222">
        <v>3</v>
      </c>
    </row>
    <row r="223" spans="1:14" x14ac:dyDescent="0.2">
      <c r="A223" s="3">
        <f t="shared" si="4"/>
        <v>915</v>
      </c>
      <c r="B223" t="str">
        <f>"00009150001"</f>
        <v>00009150001</v>
      </c>
      <c r="C223" t="s">
        <v>346</v>
      </c>
      <c r="D223" t="s">
        <v>337</v>
      </c>
      <c r="E223">
        <v>90</v>
      </c>
      <c r="F223">
        <v>1784</v>
      </c>
      <c r="G223" t="s">
        <v>347</v>
      </c>
      <c r="H223">
        <v>10</v>
      </c>
      <c r="I223" t="s">
        <v>34</v>
      </c>
      <c r="J223">
        <v>7</v>
      </c>
      <c r="K223" t="s">
        <v>34</v>
      </c>
      <c r="L223">
        <v>8</v>
      </c>
      <c r="M223">
        <v>91013</v>
      </c>
      <c r="N223">
        <v>3</v>
      </c>
    </row>
    <row r="224" spans="1:14" x14ac:dyDescent="0.2">
      <c r="A224" s="3">
        <f t="shared" si="4"/>
        <v>917</v>
      </c>
      <c r="B224" t="str">
        <f>"00009170001"</f>
        <v>00009170001</v>
      </c>
      <c r="C224" t="s">
        <v>348</v>
      </c>
      <c r="D224" t="s">
        <v>337</v>
      </c>
      <c r="E224">
        <v>91</v>
      </c>
      <c r="F224">
        <v>8018</v>
      </c>
      <c r="G224" t="s">
        <v>322</v>
      </c>
      <c r="H224">
        <v>11</v>
      </c>
      <c r="I224" t="s">
        <v>34</v>
      </c>
      <c r="J224">
        <v>7</v>
      </c>
      <c r="K224" t="s">
        <v>34</v>
      </c>
      <c r="L224">
        <v>8</v>
      </c>
      <c r="M224">
        <v>91042</v>
      </c>
      <c r="N224">
        <v>2</v>
      </c>
    </row>
    <row r="225" spans="1:14" x14ac:dyDescent="0.2">
      <c r="A225" s="3">
        <f t="shared" si="4"/>
        <v>920</v>
      </c>
      <c r="B225" t="str">
        <f>"00009200001"</f>
        <v>00009200001</v>
      </c>
      <c r="C225" t="s">
        <v>349</v>
      </c>
      <c r="D225" t="s">
        <v>337</v>
      </c>
      <c r="E225">
        <v>90</v>
      </c>
      <c r="F225">
        <v>4298</v>
      </c>
      <c r="G225" t="s">
        <v>350</v>
      </c>
      <c r="H225">
        <v>6</v>
      </c>
      <c r="I225" t="s">
        <v>34</v>
      </c>
      <c r="J225">
        <v>4</v>
      </c>
      <c r="K225" t="s">
        <v>34</v>
      </c>
      <c r="L225">
        <v>8</v>
      </c>
      <c r="M225">
        <v>91021</v>
      </c>
      <c r="N225">
        <v>2</v>
      </c>
    </row>
    <row r="226" spans="1:14" x14ac:dyDescent="0.2">
      <c r="A226" s="3">
        <f t="shared" si="4"/>
        <v>925</v>
      </c>
      <c r="B226" t="str">
        <f>"00009250001"</f>
        <v>00009250001</v>
      </c>
      <c r="C226" t="s">
        <v>351</v>
      </c>
      <c r="D226" t="s">
        <v>70</v>
      </c>
      <c r="E226">
        <v>91</v>
      </c>
      <c r="F226">
        <v>2387</v>
      </c>
      <c r="G226" t="s">
        <v>352</v>
      </c>
      <c r="H226">
        <v>8</v>
      </c>
      <c r="I226" t="s">
        <v>34</v>
      </c>
      <c r="J226">
        <v>5</v>
      </c>
      <c r="K226" t="s">
        <v>34</v>
      </c>
      <c r="L226">
        <v>8</v>
      </c>
      <c r="M226">
        <v>91035</v>
      </c>
      <c r="N226">
        <v>3</v>
      </c>
    </row>
    <row r="227" spans="1:14" x14ac:dyDescent="0.2">
      <c r="A227" s="3">
        <f t="shared" si="4"/>
        <v>927</v>
      </c>
      <c r="B227" t="str">
        <f>"00009270001"</f>
        <v>00009270001</v>
      </c>
      <c r="C227" t="s">
        <v>353</v>
      </c>
      <c r="D227" t="s">
        <v>70</v>
      </c>
      <c r="E227">
        <v>91</v>
      </c>
      <c r="F227">
        <v>2387</v>
      </c>
      <c r="G227" t="s">
        <v>352</v>
      </c>
      <c r="H227">
        <v>8</v>
      </c>
      <c r="I227" t="s">
        <v>34</v>
      </c>
      <c r="J227">
        <v>5</v>
      </c>
      <c r="K227" t="s">
        <v>34</v>
      </c>
      <c r="L227">
        <v>8</v>
      </c>
      <c r="M227">
        <v>91055</v>
      </c>
      <c r="N227">
        <v>3</v>
      </c>
    </row>
    <row r="228" spans="1:14" x14ac:dyDescent="0.2">
      <c r="A228" s="3">
        <f t="shared" si="4"/>
        <v>933</v>
      </c>
      <c r="B228" t="str">
        <f>"00009330001"</f>
        <v>00009330001</v>
      </c>
      <c r="C228" t="s">
        <v>354</v>
      </c>
      <c r="D228" t="s">
        <v>337</v>
      </c>
      <c r="E228">
        <v>90</v>
      </c>
      <c r="F228">
        <v>8253</v>
      </c>
      <c r="G228" t="s">
        <v>343</v>
      </c>
      <c r="H228">
        <v>7</v>
      </c>
      <c r="I228" t="s">
        <v>34</v>
      </c>
      <c r="J228">
        <v>5</v>
      </c>
      <c r="K228" t="s">
        <v>34</v>
      </c>
      <c r="L228">
        <v>8</v>
      </c>
      <c r="M228">
        <v>91003</v>
      </c>
      <c r="N228">
        <v>2</v>
      </c>
    </row>
    <row r="229" spans="1:14" x14ac:dyDescent="0.2">
      <c r="A229" s="3">
        <f t="shared" si="4"/>
        <v>937</v>
      </c>
      <c r="B229" t="str">
        <f>"00009370001"</f>
        <v>00009370001</v>
      </c>
      <c r="C229" t="s">
        <v>355</v>
      </c>
      <c r="D229" t="s">
        <v>337</v>
      </c>
      <c r="E229">
        <v>90</v>
      </c>
      <c r="F229">
        <v>3759</v>
      </c>
      <c r="G229" t="s">
        <v>356</v>
      </c>
      <c r="H229">
        <v>9</v>
      </c>
      <c r="I229" t="s">
        <v>34</v>
      </c>
      <c r="J229">
        <v>6</v>
      </c>
      <c r="K229" t="s">
        <v>34</v>
      </c>
      <c r="L229">
        <v>8</v>
      </c>
      <c r="M229">
        <v>91018</v>
      </c>
      <c r="N229">
        <v>3</v>
      </c>
    </row>
    <row r="230" spans="1:14" x14ac:dyDescent="0.2">
      <c r="A230" s="3">
        <f t="shared" si="4"/>
        <v>955</v>
      </c>
      <c r="B230" t="str">
        <f>"00009550004"</f>
        <v>00009550004</v>
      </c>
      <c r="C230" t="s">
        <v>357</v>
      </c>
      <c r="D230" t="s">
        <v>172</v>
      </c>
      <c r="E230">
        <v>30</v>
      </c>
      <c r="F230">
        <v>4802</v>
      </c>
      <c r="G230" t="s">
        <v>358</v>
      </c>
      <c r="H230">
        <v>16</v>
      </c>
      <c r="I230" t="s">
        <v>34</v>
      </c>
      <c r="J230">
        <v>10</v>
      </c>
      <c r="K230" t="s">
        <v>34</v>
      </c>
      <c r="L230">
        <v>8</v>
      </c>
      <c r="M230">
        <v>83193</v>
      </c>
      <c r="N230">
        <v>4</v>
      </c>
    </row>
    <row r="231" spans="1:14" x14ac:dyDescent="0.2">
      <c r="A231" s="3">
        <f t="shared" si="4"/>
        <v>959</v>
      </c>
      <c r="B231" t="str">
        <f>"00009590001"</f>
        <v>00009590001</v>
      </c>
      <c r="C231" t="s">
        <v>359</v>
      </c>
      <c r="D231" t="s">
        <v>337</v>
      </c>
      <c r="E231">
        <v>91</v>
      </c>
      <c r="F231">
        <v>8050</v>
      </c>
      <c r="G231" t="s">
        <v>322</v>
      </c>
      <c r="H231">
        <v>7</v>
      </c>
      <c r="I231" t="s">
        <v>34</v>
      </c>
      <c r="J231">
        <v>5</v>
      </c>
      <c r="K231" t="s">
        <v>34</v>
      </c>
      <c r="L231">
        <v>8</v>
      </c>
      <c r="M231">
        <v>91033</v>
      </c>
      <c r="N231">
        <v>2</v>
      </c>
    </row>
    <row r="232" spans="1:14" x14ac:dyDescent="0.2">
      <c r="A232" s="3">
        <f t="shared" si="4"/>
        <v>960</v>
      </c>
      <c r="B232" t="str">
        <f>"00009600001"</f>
        <v>00009600001</v>
      </c>
      <c r="C232" t="s">
        <v>360</v>
      </c>
      <c r="D232" t="s">
        <v>337</v>
      </c>
      <c r="E232">
        <v>91</v>
      </c>
      <c r="F232">
        <v>8050</v>
      </c>
      <c r="G232" t="s">
        <v>322</v>
      </c>
      <c r="H232">
        <v>7</v>
      </c>
      <c r="I232" t="s">
        <v>34</v>
      </c>
      <c r="J232">
        <v>5</v>
      </c>
      <c r="K232" t="s">
        <v>34</v>
      </c>
      <c r="L232">
        <v>8</v>
      </c>
      <c r="M232">
        <v>91034</v>
      </c>
      <c r="N232">
        <v>2</v>
      </c>
    </row>
    <row r="233" spans="1:14" x14ac:dyDescent="0.2">
      <c r="A233" s="3">
        <f t="shared" si="4"/>
        <v>966</v>
      </c>
      <c r="B233" t="str">
        <f>"00009660001"</f>
        <v>00009660001</v>
      </c>
      <c r="C233" t="s">
        <v>361</v>
      </c>
      <c r="D233" t="s">
        <v>337</v>
      </c>
      <c r="E233">
        <v>91</v>
      </c>
      <c r="F233">
        <v>3781</v>
      </c>
      <c r="G233" t="s">
        <v>341</v>
      </c>
      <c r="H233">
        <v>6</v>
      </c>
      <c r="I233" t="s">
        <v>34</v>
      </c>
      <c r="J233">
        <v>4</v>
      </c>
      <c r="K233" t="s">
        <v>34</v>
      </c>
      <c r="L233">
        <v>8</v>
      </c>
      <c r="M233">
        <v>91056</v>
      </c>
      <c r="N233">
        <v>2</v>
      </c>
    </row>
    <row r="234" spans="1:14" x14ac:dyDescent="0.2">
      <c r="A234" s="3">
        <f t="shared" si="4"/>
        <v>978</v>
      </c>
      <c r="B234" t="str">
        <f>"00009780012"</f>
        <v>00009780012</v>
      </c>
      <c r="C234" t="s">
        <v>362</v>
      </c>
      <c r="D234" t="s">
        <v>48</v>
      </c>
      <c r="E234">
        <v>30</v>
      </c>
      <c r="F234">
        <v>4802</v>
      </c>
      <c r="G234" t="s">
        <v>358</v>
      </c>
      <c r="H234">
        <v>40</v>
      </c>
      <c r="I234" t="s">
        <v>34</v>
      </c>
      <c r="J234">
        <v>30</v>
      </c>
      <c r="K234" t="s">
        <v>34</v>
      </c>
      <c r="L234">
        <v>8</v>
      </c>
      <c r="M234">
        <v>84098</v>
      </c>
      <c r="N234">
        <v>10</v>
      </c>
    </row>
    <row r="235" spans="1:14" x14ac:dyDescent="0.2">
      <c r="A235" s="3">
        <f t="shared" si="4"/>
        <v>979</v>
      </c>
      <c r="B235" t="str">
        <f>"00009790001"</f>
        <v>00009790001</v>
      </c>
      <c r="C235" t="s">
        <v>363</v>
      </c>
      <c r="D235" t="s">
        <v>337</v>
      </c>
      <c r="E235">
        <v>91</v>
      </c>
      <c r="F235">
        <v>2062</v>
      </c>
      <c r="G235" t="s">
        <v>338</v>
      </c>
      <c r="H235">
        <v>17</v>
      </c>
      <c r="I235" t="s">
        <v>34</v>
      </c>
      <c r="J235">
        <v>11</v>
      </c>
      <c r="K235" t="s">
        <v>34</v>
      </c>
      <c r="L235">
        <v>8</v>
      </c>
      <c r="M235">
        <v>91081</v>
      </c>
      <c r="N235">
        <v>4</v>
      </c>
    </row>
    <row r="236" spans="1:14" x14ac:dyDescent="0.2">
      <c r="A236" s="3">
        <f t="shared" si="4"/>
        <v>982</v>
      </c>
      <c r="B236" t="str">
        <f>"00009820001"</f>
        <v>00009820001</v>
      </c>
      <c r="C236" t="s">
        <v>364</v>
      </c>
      <c r="D236" t="s">
        <v>337</v>
      </c>
      <c r="E236">
        <v>91</v>
      </c>
      <c r="F236">
        <v>8050</v>
      </c>
      <c r="G236" t="s">
        <v>322</v>
      </c>
      <c r="H236">
        <v>7</v>
      </c>
      <c r="I236" t="s">
        <v>34</v>
      </c>
      <c r="J236">
        <v>5</v>
      </c>
      <c r="K236" t="s">
        <v>34</v>
      </c>
      <c r="L236">
        <v>8</v>
      </c>
      <c r="M236">
        <v>91036</v>
      </c>
      <c r="N236">
        <v>2</v>
      </c>
    </row>
    <row r="237" spans="1:14" x14ac:dyDescent="0.2">
      <c r="A237" s="3">
        <f t="shared" si="4"/>
        <v>985</v>
      </c>
      <c r="B237" t="str">
        <f>"00009850001"</f>
        <v>00009850001</v>
      </c>
      <c r="C237" t="s">
        <v>365</v>
      </c>
      <c r="D237" t="s">
        <v>337</v>
      </c>
      <c r="E237">
        <v>91</v>
      </c>
      <c r="F237">
        <v>8018</v>
      </c>
      <c r="G237" t="s">
        <v>322</v>
      </c>
      <c r="H237">
        <v>7</v>
      </c>
      <c r="I237" t="s">
        <v>34</v>
      </c>
      <c r="J237">
        <v>5</v>
      </c>
      <c r="K237" t="s">
        <v>34</v>
      </c>
      <c r="L237">
        <v>8</v>
      </c>
      <c r="M237">
        <v>91075</v>
      </c>
      <c r="N237">
        <v>2</v>
      </c>
    </row>
    <row r="238" spans="1:14" x14ac:dyDescent="0.2">
      <c r="A238" s="3">
        <f t="shared" si="4"/>
        <v>998</v>
      </c>
      <c r="B238" t="str">
        <f>"00009980001"</f>
        <v>00009980001</v>
      </c>
      <c r="C238" t="s">
        <v>366</v>
      </c>
      <c r="D238" t="s">
        <v>337</v>
      </c>
      <c r="E238">
        <v>91</v>
      </c>
      <c r="F238">
        <v>2062</v>
      </c>
      <c r="G238" t="s">
        <v>338</v>
      </c>
      <c r="H238">
        <v>11</v>
      </c>
      <c r="I238" t="s">
        <v>34</v>
      </c>
      <c r="J238">
        <v>7</v>
      </c>
      <c r="K238" t="s">
        <v>34</v>
      </c>
      <c r="L238">
        <v>8</v>
      </c>
      <c r="M238">
        <v>91080</v>
      </c>
      <c r="N238">
        <v>4</v>
      </c>
    </row>
    <row r="239" spans="1:14" x14ac:dyDescent="0.2">
      <c r="A239" s="3">
        <f t="shared" si="4"/>
        <v>1004</v>
      </c>
      <c r="B239" t="str">
        <f>"00010040001"</f>
        <v>00010040001</v>
      </c>
      <c r="C239" t="s">
        <v>367</v>
      </c>
      <c r="D239" t="s">
        <v>23</v>
      </c>
      <c r="E239">
        <v>47</v>
      </c>
      <c r="F239">
        <v>8015</v>
      </c>
      <c r="G239" t="s">
        <v>368</v>
      </c>
      <c r="H239" t="s">
        <v>44</v>
      </c>
      <c r="I239" t="s">
        <v>45</v>
      </c>
      <c r="J239" t="s">
        <v>44</v>
      </c>
      <c r="K239" t="s">
        <v>45</v>
      </c>
      <c r="L239">
        <v>8</v>
      </c>
      <c r="M239">
        <v>95210</v>
      </c>
      <c r="N239" t="s">
        <v>46</v>
      </c>
    </row>
    <row r="240" spans="1:14" x14ac:dyDescent="0.2">
      <c r="A240" s="3">
        <f t="shared" si="4"/>
        <v>1007</v>
      </c>
      <c r="B240" t="str">
        <f>"00010070001"</f>
        <v>00010070001</v>
      </c>
      <c r="C240" t="s">
        <v>369</v>
      </c>
      <c r="D240" t="s">
        <v>337</v>
      </c>
      <c r="E240">
        <v>91</v>
      </c>
      <c r="F240">
        <v>7611</v>
      </c>
      <c r="G240" t="s">
        <v>370</v>
      </c>
      <c r="H240">
        <v>7</v>
      </c>
      <c r="I240" t="s">
        <v>34</v>
      </c>
      <c r="J240">
        <v>5</v>
      </c>
      <c r="K240" t="s">
        <v>34</v>
      </c>
      <c r="L240">
        <v>8</v>
      </c>
      <c r="M240">
        <v>91070</v>
      </c>
      <c r="N240">
        <v>2</v>
      </c>
    </row>
    <row r="241" spans="1:14" x14ac:dyDescent="0.2">
      <c r="A241" s="3">
        <f t="shared" si="4"/>
        <v>1024</v>
      </c>
      <c r="B241" t="str">
        <f>"00010240001"</f>
        <v>00010240001</v>
      </c>
      <c r="C241" t="s">
        <v>371</v>
      </c>
      <c r="D241" t="s">
        <v>337</v>
      </c>
      <c r="E241">
        <v>90</v>
      </c>
      <c r="F241">
        <v>8253</v>
      </c>
      <c r="G241" t="s">
        <v>343</v>
      </c>
      <c r="H241">
        <v>11</v>
      </c>
      <c r="I241" t="s">
        <v>34</v>
      </c>
      <c r="J241">
        <v>7</v>
      </c>
      <c r="K241" t="s">
        <v>34</v>
      </c>
      <c r="L241">
        <v>8</v>
      </c>
      <c r="M241">
        <v>91028</v>
      </c>
      <c r="N241">
        <v>4</v>
      </c>
    </row>
    <row r="242" spans="1:14" x14ac:dyDescent="0.2">
      <c r="A242" s="3">
        <f t="shared" si="4"/>
        <v>1035</v>
      </c>
      <c r="B242" t="str">
        <f>"00010350004"</f>
        <v>00010350004</v>
      </c>
      <c r="C242" t="s">
        <v>372</v>
      </c>
      <c r="D242" t="s">
        <v>48</v>
      </c>
      <c r="E242">
        <v>33</v>
      </c>
      <c r="F242">
        <v>2243</v>
      </c>
      <c r="G242" t="s">
        <v>151</v>
      </c>
      <c r="H242">
        <v>21</v>
      </c>
      <c r="I242" t="s">
        <v>34</v>
      </c>
      <c r="J242">
        <v>15</v>
      </c>
      <c r="K242" t="s">
        <v>34</v>
      </c>
      <c r="L242">
        <v>8</v>
      </c>
      <c r="M242">
        <v>82162</v>
      </c>
      <c r="N242">
        <v>5</v>
      </c>
    </row>
    <row r="243" spans="1:14" x14ac:dyDescent="0.2">
      <c r="A243" s="3">
        <f t="shared" si="4"/>
        <v>1039</v>
      </c>
      <c r="B243" t="str">
        <f>"00010390020"</f>
        <v>00010390020</v>
      </c>
      <c r="C243" t="s">
        <v>373</v>
      </c>
      <c r="D243" t="s">
        <v>101</v>
      </c>
      <c r="E243">
        <v>35</v>
      </c>
      <c r="F243">
        <v>3564</v>
      </c>
      <c r="G243" t="s">
        <v>374</v>
      </c>
      <c r="H243">
        <v>35</v>
      </c>
      <c r="I243" t="s">
        <v>34</v>
      </c>
      <c r="J243">
        <v>27</v>
      </c>
      <c r="K243" t="s">
        <v>34</v>
      </c>
      <c r="L243">
        <v>8</v>
      </c>
      <c r="M243">
        <v>81098</v>
      </c>
      <c r="N243">
        <v>8</v>
      </c>
    </row>
    <row r="244" spans="1:14" x14ac:dyDescent="0.2">
      <c r="A244" s="3">
        <f t="shared" si="4"/>
        <v>1042</v>
      </c>
      <c r="B244" t="str">
        <f>"00010420040"</f>
        <v>00010420040</v>
      </c>
      <c r="C244" t="s">
        <v>375</v>
      </c>
      <c r="D244" t="s">
        <v>101</v>
      </c>
      <c r="E244">
        <v>35</v>
      </c>
      <c r="F244">
        <v>3564</v>
      </c>
      <c r="G244" t="s">
        <v>374</v>
      </c>
      <c r="H244">
        <v>40</v>
      </c>
      <c r="I244" t="s">
        <v>34</v>
      </c>
      <c r="J244">
        <v>30</v>
      </c>
      <c r="K244" t="s">
        <v>34</v>
      </c>
      <c r="L244">
        <v>8</v>
      </c>
      <c r="M244">
        <v>81100</v>
      </c>
      <c r="N244">
        <v>10</v>
      </c>
    </row>
    <row r="245" spans="1:14" x14ac:dyDescent="0.2">
      <c r="A245" s="3">
        <f t="shared" si="4"/>
        <v>1048</v>
      </c>
      <c r="B245" t="str">
        <f>"00010480008"</f>
        <v>00010480008</v>
      </c>
      <c r="C245" t="s">
        <v>376</v>
      </c>
      <c r="D245" t="s">
        <v>289</v>
      </c>
      <c r="E245">
        <v>20</v>
      </c>
      <c r="F245">
        <v>8086</v>
      </c>
      <c r="G245" t="s">
        <v>290</v>
      </c>
      <c r="H245">
        <v>8</v>
      </c>
      <c r="I245" t="s">
        <v>25</v>
      </c>
      <c r="J245">
        <v>6</v>
      </c>
      <c r="K245" t="s">
        <v>25</v>
      </c>
      <c r="L245">
        <v>8</v>
      </c>
      <c r="M245">
        <v>88007</v>
      </c>
      <c r="N245">
        <v>2</v>
      </c>
    </row>
    <row r="246" spans="1:14" x14ac:dyDescent="0.2">
      <c r="A246" s="3">
        <f t="shared" si="4"/>
        <v>1048</v>
      </c>
      <c r="B246" t="str">
        <f>"00010480008"</f>
        <v>00010480008</v>
      </c>
      <c r="C246" t="s">
        <v>376</v>
      </c>
      <c r="D246" t="s">
        <v>289</v>
      </c>
      <c r="E246">
        <v>20</v>
      </c>
      <c r="F246">
        <v>8072</v>
      </c>
      <c r="G246" t="s">
        <v>322</v>
      </c>
      <c r="H246">
        <v>8</v>
      </c>
      <c r="I246" t="s">
        <v>25</v>
      </c>
      <c r="J246">
        <v>6</v>
      </c>
      <c r="K246" t="s">
        <v>25</v>
      </c>
      <c r="L246">
        <v>8</v>
      </c>
      <c r="M246">
        <v>88007</v>
      </c>
      <c r="N246">
        <v>2</v>
      </c>
    </row>
    <row r="247" spans="1:14" x14ac:dyDescent="0.2">
      <c r="A247" s="3">
        <f t="shared" si="4"/>
        <v>1049</v>
      </c>
      <c r="B247" t="str">
        <f>"00010490003"</f>
        <v>00010490003</v>
      </c>
      <c r="C247" t="s">
        <v>377</v>
      </c>
      <c r="D247" t="s">
        <v>42</v>
      </c>
      <c r="E247">
        <v>83</v>
      </c>
      <c r="F247">
        <v>3847</v>
      </c>
      <c r="G247" t="s">
        <v>378</v>
      </c>
      <c r="H247" t="s">
        <v>44</v>
      </c>
      <c r="I247" t="s">
        <v>45</v>
      </c>
      <c r="J247" t="s">
        <v>44</v>
      </c>
      <c r="K247" t="s">
        <v>45</v>
      </c>
      <c r="L247">
        <v>8</v>
      </c>
      <c r="M247">
        <v>67160</v>
      </c>
      <c r="N247" t="s">
        <v>46</v>
      </c>
    </row>
    <row r="248" spans="1:14" x14ac:dyDescent="0.2">
      <c r="A248" s="3">
        <f t="shared" si="4"/>
        <v>1053</v>
      </c>
      <c r="B248" t="str">
        <f>"00010530001"</f>
        <v>00010530001</v>
      </c>
      <c r="C248" t="s">
        <v>379</v>
      </c>
      <c r="D248" t="s">
        <v>337</v>
      </c>
      <c r="E248">
        <v>91</v>
      </c>
      <c r="F248">
        <v>8050</v>
      </c>
      <c r="G248" t="s">
        <v>322</v>
      </c>
      <c r="H248">
        <v>20</v>
      </c>
      <c r="I248" t="s">
        <v>34</v>
      </c>
      <c r="J248">
        <v>14</v>
      </c>
      <c r="K248" t="s">
        <v>34</v>
      </c>
      <c r="L248">
        <v>8</v>
      </c>
      <c r="M248">
        <v>91037</v>
      </c>
      <c r="N248">
        <v>6</v>
      </c>
    </row>
    <row r="249" spans="1:14" x14ac:dyDescent="0.2">
      <c r="A249" s="3">
        <f t="shared" si="4"/>
        <v>1068</v>
      </c>
      <c r="B249" t="str">
        <f>"00010680006"</f>
        <v>00010680006</v>
      </c>
      <c r="C249" t="s">
        <v>380</v>
      </c>
      <c r="D249" t="s">
        <v>172</v>
      </c>
      <c r="E249">
        <v>30</v>
      </c>
      <c r="F249">
        <v>2785</v>
      </c>
      <c r="G249" t="s">
        <v>176</v>
      </c>
      <c r="H249">
        <v>12</v>
      </c>
      <c r="I249" t="s">
        <v>34</v>
      </c>
      <c r="J249">
        <v>8</v>
      </c>
      <c r="K249" t="s">
        <v>34</v>
      </c>
      <c r="L249">
        <v>8</v>
      </c>
      <c r="M249">
        <v>84014</v>
      </c>
      <c r="N249">
        <v>4</v>
      </c>
    </row>
    <row r="250" spans="1:14" x14ac:dyDescent="0.2">
      <c r="A250" s="3">
        <f t="shared" si="4"/>
        <v>1069</v>
      </c>
      <c r="B250" t="str">
        <f>"00010690010"</f>
        <v>00010690010</v>
      </c>
      <c r="C250" t="s">
        <v>381</v>
      </c>
      <c r="D250" t="s">
        <v>101</v>
      </c>
      <c r="E250">
        <v>30</v>
      </c>
      <c r="F250">
        <v>8003</v>
      </c>
      <c r="G250" t="s">
        <v>164</v>
      </c>
      <c r="H250">
        <v>60</v>
      </c>
      <c r="I250" t="s">
        <v>34</v>
      </c>
      <c r="J250">
        <v>44</v>
      </c>
      <c r="K250" t="s">
        <v>34</v>
      </c>
      <c r="L250">
        <v>8</v>
      </c>
      <c r="M250">
        <v>83083</v>
      </c>
      <c r="N250">
        <v>11</v>
      </c>
    </row>
    <row r="251" spans="1:14" x14ac:dyDescent="0.2">
      <c r="A251" s="3">
        <f t="shared" si="4"/>
        <v>1072</v>
      </c>
      <c r="B251" t="str">
        <f>"00010720008"</f>
        <v>00010720008</v>
      </c>
      <c r="C251" t="s">
        <v>382</v>
      </c>
      <c r="D251" t="s">
        <v>36</v>
      </c>
      <c r="E251">
        <v>46</v>
      </c>
      <c r="F251">
        <v>1969</v>
      </c>
      <c r="G251" t="s">
        <v>383</v>
      </c>
      <c r="H251">
        <v>16</v>
      </c>
      <c r="I251" t="s">
        <v>25</v>
      </c>
      <c r="J251">
        <v>13</v>
      </c>
      <c r="K251" t="s">
        <v>25</v>
      </c>
      <c r="L251">
        <v>8</v>
      </c>
      <c r="M251">
        <v>72111</v>
      </c>
      <c r="N251">
        <v>3</v>
      </c>
    </row>
    <row r="252" spans="1:14" x14ac:dyDescent="0.2">
      <c r="A252" s="3">
        <f t="shared" si="4"/>
        <v>1090</v>
      </c>
      <c r="B252" t="str">
        <f>"00010900001"</f>
        <v>00010900001</v>
      </c>
      <c r="C252" t="s">
        <v>384</v>
      </c>
      <c r="D252" t="s">
        <v>337</v>
      </c>
      <c r="E252">
        <v>91</v>
      </c>
      <c r="F252">
        <v>2062</v>
      </c>
      <c r="G252" t="s">
        <v>338</v>
      </c>
      <c r="H252">
        <v>17</v>
      </c>
      <c r="I252" t="s">
        <v>34</v>
      </c>
      <c r="J252">
        <v>11</v>
      </c>
      <c r="K252" t="s">
        <v>34</v>
      </c>
      <c r="L252">
        <v>8</v>
      </c>
      <c r="M252">
        <v>91077</v>
      </c>
      <c r="N252">
        <v>4</v>
      </c>
    </row>
    <row r="253" spans="1:14" x14ac:dyDescent="0.2">
      <c r="A253" s="3">
        <f t="shared" si="4"/>
        <v>1098</v>
      </c>
      <c r="B253" t="str">
        <f>"00010980002"</f>
        <v>00010980002</v>
      </c>
      <c r="C253" t="s">
        <v>385</v>
      </c>
      <c r="D253" t="s">
        <v>386</v>
      </c>
      <c r="E253">
        <v>60</v>
      </c>
      <c r="F253">
        <v>2007</v>
      </c>
      <c r="G253" t="s">
        <v>387</v>
      </c>
      <c r="H253" t="s">
        <v>44</v>
      </c>
      <c r="I253" t="s">
        <v>45</v>
      </c>
      <c r="J253" t="s">
        <v>44</v>
      </c>
      <c r="K253" t="s">
        <v>45</v>
      </c>
      <c r="L253">
        <v>8</v>
      </c>
      <c r="M253">
        <v>62052</v>
      </c>
      <c r="N253" t="s">
        <v>46</v>
      </c>
    </row>
    <row r="254" spans="1:14" x14ac:dyDescent="0.2">
      <c r="A254" s="3">
        <f t="shared" si="4"/>
        <v>1102</v>
      </c>
      <c r="B254" t="str">
        <f>"00011020380"</f>
        <v>00011020380</v>
      </c>
      <c r="C254" t="s">
        <v>388</v>
      </c>
      <c r="D254" t="s">
        <v>23</v>
      </c>
      <c r="E254">
        <v>45</v>
      </c>
      <c r="F254">
        <v>1701</v>
      </c>
      <c r="G254" t="s">
        <v>389</v>
      </c>
      <c r="H254">
        <v>12</v>
      </c>
      <c r="I254" t="s">
        <v>25</v>
      </c>
      <c r="J254">
        <v>9</v>
      </c>
      <c r="K254" t="s">
        <v>25</v>
      </c>
      <c r="L254">
        <v>8</v>
      </c>
      <c r="M254">
        <v>95167</v>
      </c>
      <c r="N254">
        <v>3</v>
      </c>
    </row>
    <row r="255" spans="1:14" x14ac:dyDescent="0.2">
      <c r="A255" s="3">
        <f t="shared" si="4"/>
        <v>1105</v>
      </c>
      <c r="B255" t="str">
        <f>"00011050015"</f>
        <v>00011050015</v>
      </c>
      <c r="C255" t="s">
        <v>390</v>
      </c>
      <c r="D255" t="s">
        <v>115</v>
      </c>
      <c r="E255">
        <v>45</v>
      </c>
      <c r="F255">
        <v>2725</v>
      </c>
      <c r="G255" t="s">
        <v>391</v>
      </c>
      <c r="H255">
        <v>12</v>
      </c>
      <c r="I255" t="s">
        <v>25</v>
      </c>
      <c r="J255">
        <v>9</v>
      </c>
      <c r="K255" t="s">
        <v>25</v>
      </c>
      <c r="L255">
        <v>8</v>
      </c>
      <c r="M255">
        <v>65204</v>
      </c>
      <c r="N255">
        <v>3</v>
      </c>
    </row>
    <row r="256" spans="1:14" x14ac:dyDescent="0.2">
      <c r="A256" s="3">
        <f t="shared" si="4"/>
        <v>1120</v>
      </c>
      <c r="B256" t="str">
        <f>"00011200006"</f>
        <v>00011200006</v>
      </c>
      <c r="C256" t="s">
        <v>392</v>
      </c>
      <c r="D256" t="s">
        <v>48</v>
      </c>
      <c r="E256">
        <v>33</v>
      </c>
      <c r="F256">
        <v>3275</v>
      </c>
      <c r="G256" t="s">
        <v>188</v>
      </c>
      <c r="H256">
        <v>17</v>
      </c>
      <c r="I256" t="s">
        <v>34</v>
      </c>
      <c r="J256">
        <v>11</v>
      </c>
      <c r="K256" t="s">
        <v>34</v>
      </c>
      <c r="L256">
        <v>8</v>
      </c>
      <c r="M256">
        <v>85243</v>
      </c>
      <c r="N256">
        <v>6</v>
      </c>
    </row>
    <row r="257" spans="1:14" x14ac:dyDescent="0.2">
      <c r="A257" s="3">
        <f t="shared" si="4"/>
        <v>1125</v>
      </c>
      <c r="B257" t="str">
        <f>"00011250007"</f>
        <v>00011250007</v>
      </c>
      <c r="C257" t="s">
        <v>393</v>
      </c>
      <c r="D257" t="s">
        <v>101</v>
      </c>
      <c r="E257">
        <v>41</v>
      </c>
      <c r="F257">
        <v>4266</v>
      </c>
      <c r="G257" t="s">
        <v>394</v>
      </c>
      <c r="H257">
        <v>70</v>
      </c>
      <c r="I257" t="s">
        <v>34</v>
      </c>
      <c r="J257">
        <v>56</v>
      </c>
      <c r="K257" t="s">
        <v>34</v>
      </c>
      <c r="L257">
        <v>8</v>
      </c>
      <c r="M257">
        <v>69232</v>
      </c>
      <c r="N257">
        <v>14</v>
      </c>
    </row>
    <row r="258" spans="1:14" x14ac:dyDescent="0.2">
      <c r="A258" s="3">
        <f t="shared" si="4"/>
        <v>1129</v>
      </c>
      <c r="B258" t="str">
        <f>"00011290011"</f>
        <v>00011290011</v>
      </c>
      <c r="C258" t="s">
        <v>395</v>
      </c>
      <c r="D258" t="s">
        <v>115</v>
      </c>
      <c r="E258">
        <v>70</v>
      </c>
      <c r="F258">
        <v>3112</v>
      </c>
      <c r="G258" t="s">
        <v>245</v>
      </c>
      <c r="H258">
        <v>120</v>
      </c>
      <c r="I258" t="s">
        <v>34</v>
      </c>
      <c r="J258">
        <v>88</v>
      </c>
      <c r="K258" t="s">
        <v>34</v>
      </c>
      <c r="L258">
        <v>8</v>
      </c>
      <c r="M258">
        <v>74105</v>
      </c>
      <c r="N258">
        <v>32</v>
      </c>
    </row>
    <row r="259" spans="1:14" x14ac:dyDescent="0.2">
      <c r="A259" s="3">
        <f t="shared" si="4"/>
        <v>1147</v>
      </c>
      <c r="B259" t="str">
        <f>"00011470012"</f>
        <v>00011470012</v>
      </c>
      <c r="C259" t="s">
        <v>396</v>
      </c>
      <c r="D259" t="s">
        <v>32</v>
      </c>
      <c r="E259">
        <v>30</v>
      </c>
      <c r="F259">
        <v>2785</v>
      </c>
      <c r="G259" t="s">
        <v>176</v>
      </c>
      <c r="H259">
        <v>16</v>
      </c>
      <c r="I259" t="s">
        <v>34</v>
      </c>
      <c r="J259">
        <v>10</v>
      </c>
      <c r="K259" t="s">
        <v>34</v>
      </c>
      <c r="L259">
        <v>8</v>
      </c>
      <c r="M259">
        <v>84036</v>
      </c>
      <c r="N259">
        <v>6</v>
      </c>
    </row>
    <row r="260" spans="1:14" x14ac:dyDescent="0.2">
      <c r="A260" s="3">
        <f t="shared" ref="A260:A323" si="5">(B260-RIGHT(B260,4))/10000</f>
        <v>1154</v>
      </c>
      <c r="B260" t="str">
        <f>"00011540008"</f>
        <v>00011540008</v>
      </c>
      <c r="C260" t="s">
        <v>397</v>
      </c>
      <c r="D260" t="s">
        <v>172</v>
      </c>
      <c r="E260">
        <v>33</v>
      </c>
      <c r="F260">
        <v>4809</v>
      </c>
      <c r="G260" t="s">
        <v>398</v>
      </c>
      <c r="H260">
        <v>10</v>
      </c>
      <c r="I260" t="s">
        <v>34</v>
      </c>
      <c r="J260">
        <v>7</v>
      </c>
      <c r="K260" t="s">
        <v>34</v>
      </c>
      <c r="L260">
        <v>8</v>
      </c>
      <c r="M260">
        <v>84056</v>
      </c>
      <c r="N260">
        <v>3</v>
      </c>
    </row>
    <row r="261" spans="1:14" x14ac:dyDescent="0.2">
      <c r="A261" s="3">
        <f t="shared" si="5"/>
        <v>1166</v>
      </c>
      <c r="B261" t="str">
        <f>"00011660008"</f>
        <v>00011660008</v>
      </c>
      <c r="C261" t="s">
        <v>399</v>
      </c>
      <c r="D261" t="s">
        <v>32</v>
      </c>
      <c r="E261">
        <v>30</v>
      </c>
      <c r="F261">
        <v>4806</v>
      </c>
      <c r="G261" t="s">
        <v>160</v>
      </c>
      <c r="H261">
        <v>18</v>
      </c>
      <c r="I261" t="s">
        <v>34</v>
      </c>
      <c r="J261">
        <v>13</v>
      </c>
      <c r="K261" t="s">
        <v>34</v>
      </c>
      <c r="L261">
        <v>8</v>
      </c>
      <c r="M261">
        <v>82212</v>
      </c>
      <c r="N261">
        <v>5</v>
      </c>
    </row>
    <row r="262" spans="1:14" x14ac:dyDescent="0.2">
      <c r="A262" s="3">
        <f t="shared" si="5"/>
        <v>1168</v>
      </c>
      <c r="B262" t="str">
        <f>"00011680014"</f>
        <v>00011680014</v>
      </c>
      <c r="C262" t="s">
        <v>400</v>
      </c>
      <c r="D262" t="s">
        <v>32</v>
      </c>
      <c r="E262">
        <v>30</v>
      </c>
      <c r="F262">
        <v>2182</v>
      </c>
      <c r="G262" t="s">
        <v>33</v>
      </c>
      <c r="H262">
        <v>22</v>
      </c>
      <c r="I262" t="s">
        <v>34</v>
      </c>
      <c r="J262">
        <v>16</v>
      </c>
      <c r="K262" t="s">
        <v>34</v>
      </c>
      <c r="L262">
        <v>8</v>
      </c>
      <c r="M262">
        <v>82226</v>
      </c>
      <c r="N262">
        <v>6</v>
      </c>
    </row>
    <row r="263" spans="1:14" x14ac:dyDescent="0.2">
      <c r="A263" s="3">
        <f t="shared" si="5"/>
        <v>1170</v>
      </c>
      <c r="B263" t="str">
        <f>"00011700008"</f>
        <v>00011700008</v>
      </c>
      <c r="C263" t="s">
        <v>401</v>
      </c>
      <c r="D263" t="s">
        <v>48</v>
      </c>
      <c r="E263">
        <v>30</v>
      </c>
      <c r="F263">
        <v>413</v>
      </c>
      <c r="G263" t="s">
        <v>402</v>
      </c>
      <c r="H263">
        <v>12</v>
      </c>
      <c r="I263" t="s">
        <v>34</v>
      </c>
      <c r="J263">
        <v>8</v>
      </c>
      <c r="K263" t="s">
        <v>34</v>
      </c>
      <c r="L263">
        <v>8</v>
      </c>
      <c r="M263">
        <v>82091</v>
      </c>
      <c r="N263">
        <v>4</v>
      </c>
    </row>
    <row r="264" spans="1:14" x14ac:dyDescent="0.2">
      <c r="A264" s="3">
        <f t="shared" si="5"/>
        <v>1171</v>
      </c>
      <c r="B264" t="str">
        <f>"00011710010"</f>
        <v>00011710010</v>
      </c>
      <c r="C264" t="s">
        <v>403</v>
      </c>
      <c r="D264" t="s">
        <v>32</v>
      </c>
      <c r="E264">
        <v>30</v>
      </c>
      <c r="F264">
        <v>1342</v>
      </c>
      <c r="G264" t="s">
        <v>341</v>
      </c>
      <c r="H264">
        <v>35</v>
      </c>
      <c r="I264" t="s">
        <v>34</v>
      </c>
      <c r="J264">
        <v>27</v>
      </c>
      <c r="K264" t="s">
        <v>34</v>
      </c>
      <c r="L264">
        <v>8</v>
      </c>
      <c r="M264">
        <v>82164</v>
      </c>
      <c r="N264">
        <v>8</v>
      </c>
    </row>
    <row r="265" spans="1:14" x14ac:dyDescent="0.2">
      <c r="A265" s="3">
        <f t="shared" si="5"/>
        <v>1172</v>
      </c>
      <c r="B265" t="str">
        <f>"00011720012"</f>
        <v>00011720012</v>
      </c>
      <c r="C265" t="s">
        <v>404</v>
      </c>
      <c r="D265" t="s">
        <v>48</v>
      </c>
      <c r="E265">
        <v>30</v>
      </c>
      <c r="F265">
        <v>277</v>
      </c>
      <c r="G265" t="s">
        <v>405</v>
      </c>
      <c r="H265">
        <v>30</v>
      </c>
      <c r="I265" t="s">
        <v>34</v>
      </c>
      <c r="J265">
        <v>20</v>
      </c>
      <c r="K265" t="s">
        <v>34</v>
      </c>
      <c r="L265">
        <v>8</v>
      </c>
      <c r="M265">
        <v>82171</v>
      </c>
      <c r="N265">
        <v>10</v>
      </c>
    </row>
    <row r="266" spans="1:14" x14ac:dyDescent="0.2">
      <c r="A266" s="3">
        <f t="shared" si="5"/>
        <v>1180</v>
      </c>
      <c r="B266" t="str">
        <f>"00011800008"</f>
        <v>00011800008</v>
      </c>
      <c r="C266" t="s">
        <v>406</v>
      </c>
      <c r="D266" t="s">
        <v>48</v>
      </c>
      <c r="E266">
        <v>33</v>
      </c>
      <c r="F266">
        <v>2243</v>
      </c>
      <c r="G266" t="s">
        <v>151</v>
      </c>
      <c r="H266">
        <v>21</v>
      </c>
      <c r="I266" t="s">
        <v>34</v>
      </c>
      <c r="J266">
        <v>15</v>
      </c>
      <c r="K266" t="s">
        <v>34</v>
      </c>
      <c r="L266">
        <v>8</v>
      </c>
      <c r="M266">
        <v>84019</v>
      </c>
      <c r="N266">
        <v>5</v>
      </c>
    </row>
    <row r="267" spans="1:14" x14ac:dyDescent="0.2">
      <c r="A267" s="3">
        <f t="shared" si="5"/>
        <v>1183</v>
      </c>
      <c r="B267" t="str">
        <f>"00011830008"</f>
        <v>00011830008</v>
      </c>
      <c r="C267" t="s">
        <v>407</v>
      </c>
      <c r="D267" t="s">
        <v>48</v>
      </c>
      <c r="E267">
        <v>30</v>
      </c>
      <c r="F267">
        <v>3601</v>
      </c>
      <c r="G267" t="s">
        <v>408</v>
      </c>
      <c r="H267">
        <v>20</v>
      </c>
      <c r="I267" t="s">
        <v>34</v>
      </c>
      <c r="J267">
        <v>14</v>
      </c>
      <c r="K267" t="s">
        <v>34</v>
      </c>
      <c r="L267">
        <v>8</v>
      </c>
      <c r="M267">
        <v>83125</v>
      </c>
      <c r="N267">
        <v>6</v>
      </c>
    </row>
    <row r="268" spans="1:14" x14ac:dyDescent="0.2">
      <c r="A268" s="3">
        <f t="shared" si="5"/>
        <v>1191</v>
      </c>
      <c r="B268" t="str">
        <f>"00011910006"</f>
        <v>00011910006</v>
      </c>
      <c r="C268" t="s">
        <v>409</v>
      </c>
      <c r="D268" t="s">
        <v>172</v>
      </c>
      <c r="E268">
        <v>33</v>
      </c>
      <c r="F268">
        <v>6968</v>
      </c>
      <c r="G268" t="s">
        <v>410</v>
      </c>
      <c r="H268">
        <v>16</v>
      </c>
      <c r="I268" t="s">
        <v>34</v>
      </c>
      <c r="J268">
        <v>10</v>
      </c>
      <c r="K268" t="s">
        <v>34</v>
      </c>
      <c r="L268">
        <v>8</v>
      </c>
      <c r="M268">
        <v>85028</v>
      </c>
      <c r="N268">
        <v>6</v>
      </c>
    </row>
    <row r="269" spans="1:14" x14ac:dyDescent="0.2">
      <c r="A269" s="3">
        <f t="shared" si="5"/>
        <v>1191</v>
      </c>
      <c r="B269" t="str">
        <f>"00011910006"</f>
        <v>00011910006</v>
      </c>
      <c r="C269" t="s">
        <v>409</v>
      </c>
      <c r="D269" t="s">
        <v>172</v>
      </c>
      <c r="E269">
        <v>33</v>
      </c>
      <c r="F269">
        <v>2779</v>
      </c>
      <c r="G269" t="s">
        <v>411</v>
      </c>
      <c r="H269">
        <v>23</v>
      </c>
      <c r="I269" t="s">
        <v>34</v>
      </c>
      <c r="J269">
        <v>17</v>
      </c>
      <c r="K269" t="s">
        <v>34</v>
      </c>
      <c r="L269">
        <v>8</v>
      </c>
      <c r="M269">
        <v>85028</v>
      </c>
      <c r="N269">
        <v>6</v>
      </c>
    </row>
    <row r="270" spans="1:14" x14ac:dyDescent="0.2">
      <c r="A270" s="3">
        <f t="shared" si="5"/>
        <v>1192</v>
      </c>
      <c r="B270" t="str">
        <f>"00011920004"</f>
        <v>00011920004</v>
      </c>
      <c r="C270" t="s">
        <v>412</v>
      </c>
      <c r="D270" t="s">
        <v>67</v>
      </c>
      <c r="E270">
        <v>31</v>
      </c>
      <c r="F270">
        <v>3453</v>
      </c>
      <c r="G270" t="s">
        <v>91</v>
      </c>
      <c r="H270">
        <v>19</v>
      </c>
      <c r="I270" t="s">
        <v>34</v>
      </c>
      <c r="J270">
        <v>14</v>
      </c>
      <c r="K270" t="s">
        <v>34</v>
      </c>
      <c r="L270">
        <v>8</v>
      </c>
      <c r="M270">
        <v>80201</v>
      </c>
      <c r="N270">
        <v>5</v>
      </c>
    </row>
    <row r="271" spans="1:14" x14ac:dyDescent="0.2">
      <c r="A271" s="3">
        <f t="shared" si="5"/>
        <v>1194</v>
      </c>
      <c r="B271" t="str">
        <f>"00011940018"</f>
        <v>00011940018</v>
      </c>
      <c r="C271" t="s">
        <v>413</v>
      </c>
      <c r="D271" t="s">
        <v>101</v>
      </c>
      <c r="E271">
        <v>30</v>
      </c>
      <c r="F271">
        <v>8003</v>
      </c>
      <c r="G271" t="s">
        <v>164</v>
      </c>
      <c r="H271">
        <v>60</v>
      </c>
      <c r="I271" t="s">
        <v>34</v>
      </c>
      <c r="J271">
        <v>44</v>
      </c>
      <c r="K271" t="s">
        <v>34</v>
      </c>
      <c r="L271">
        <v>8</v>
      </c>
      <c r="M271">
        <v>83010</v>
      </c>
      <c r="N271">
        <v>16</v>
      </c>
    </row>
    <row r="272" spans="1:14" x14ac:dyDescent="0.2">
      <c r="A272" s="3">
        <f t="shared" si="5"/>
        <v>1200</v>
      </c>
      <c r="B272" t="str">
        <f>"00012000008"</f>
        <v>00012000008</v>
      </c>
      <c r="C272" t="s">
        <v>414</v>
      </c>
      <c r="D272" t="s">
        <v>289</v>
      </c>
      <c r="E272">
        <v>20</v>
      </c>
      <c r="F272">
        <v>8086</v>
      </c>
      <c r="G272" t="s">
        <v>290</v>
      </c>
      <c r="H272">
        <v>8</v>
      </c>
      <c r="I272" t="s">
        <v>25</v>
      </c>
      <c r="J272">
        <v>6</v>
      </c>
      <c r="K272" t="s">
        <v>25</v>
      </c>
      <c r="L272">
        <v>8</v>
      </c>
      <c r="M272">
        <v>87080</v>
      </c>
      <c r="N272">
        <v>2</v>
      </c>
    </row>
    <row r="273" spans="1:14" x14ac:dyDescent="0.2">
      <c r="A273" s="3">
        <f t="shared" si="5"/>
        <v>1200</v>
      </c>
      <c r="B273" t="str">
        <f>"00012000008"</f>
        <v>00012000008</v>
      </c>
      <c r="C273" t="s">
        <v>414</v>
      </c>
      <c r="D273" t="s">
        <v>289</v>
      </c>
      <c r="E273">
        <v>20</v>
      </c>
      <c r="F273">
        <v>8072</v>
      </c>
      <c r="G273" t="s">
        <v>322</v>
      </c>
      <c r="H273">
        <v>8</v>
      </c>
      <c r="I273" t="s">
        <v>25</v>
      </c>
      <c r="J273">
        <v>6</v>
      </c>
      <c r="K273" t="s">
        <v>25</v>
      </c>
      <c r="L273">
        <v>8</v>
      </c>
      <c r="M273">
        <v>87080</v>
      </c>
      <c r="N273">
        <v>2</v>
      </c>
    </row>
    <row r="274" spans="1:14" x14ac:dyDescent="0.2">
      <c r="A274" s="3">
        <f t="shared" si="5"/>
        <v>1201</v>
      </c>
      <c r="B274" t="str">
        <f>"00012010012"</f>
        <v>00012010012</v>
      </c>
      <c r="C274" t="s">
        <v>415</v>
      </c>
      <c r="D274" t="s">
        <v>42</v>
      </c>
      <c r="E274">
        <v>44</v>
      </c>
      <c r="F274">
        <v>2612</v>
      </c>
      <c r="G274" t="s">
        <v>416</v>
      </c>
      <c r="H274">
        <v>8</v>
      </c>
      <c r="I274" t="s">
        <v>25</v>
      </c>
      <c r="J274">
        <v>6</v>
      </c>
      <c r="K274" t="s">
        <v>25</v>
      </c>
      <c r="L274">
        <v>8</v>
      </c>
      <c r="M274">
        <v>65272</v>
      </c>
      <c r="N274">
        <v>2</v>
      </c>
    </row>
    <row r="275" spans="1:14" x14ac:dyDescent="0.2">
      <c r="A275" s="3">
        <f t="shared" si="5"/>
        <v>1209</v>
      </c>
      <c r="B275" t="str">
        <f>"00012090012"</f>
        <v>00012090012</v>
      </c>
      <c r="C275" t="s">
        <v>417</v>
      </c>
      <c r="D275" t="s">
        <v>418</v>
      </c>
      <c r="E275">
        <v>44</v>
      </c>
      <c r="F275">
        <v>4634</v>
      </c>
      <c r="G275" t="s">
        <v>419</v>
      </c>
      <c r="H275">
        <v>20</v>
      </c>
      <c r="I275" t="s">
        <v>25</v>
      </c>
      <c r="J275">
        <v>16</v>
      </c>
      <c r="K275" t="s">
        <v>25</v>
      </c>
      <c r="L275">
        <v>8</v>
      </c>
      <c r="M275">
        <v>65050</v>
      </c>
      <c r="N275">
        <v>4</v>
      </c>
    </row>
    <row r="276" spans="1:14" x14ac:dyDescent="0.2">
      <c r="A276" s="3">
        <f t="shared" si="5"/>
        <v>1214</v>
      </c>
      <c r="B276" t="str">
        <f>"00012140024"</f>
        <v>00012140024</v>
      </c>
      <c r="C276" t="s">
        <v>420</v>
      </c>
      <c r="D276" t="s">
        <v>421</v>
      </c>
      <c r="E276">
        <v>52</v>
      </c>
      <c r="F276">
        <v>1205</v>
      </c>
      <c r="G276" t="s">
        <v>325</v>
      </c>
      <c r="H276">
        <v>18</v>
      </c>
      <c r="I276" t="s">
        <v>25</v>
      </c>
      <c r="J276">
        <v>14</v>
      </c>
      <c r="K276" t="s">
        <v>25</v>
      </c>
      <c r="L276">
        <v>6</v>
      </c>
      <c r="M276">
        <v>1609</v>
      </c>
      <c r="N276">
        <v>4</v>
      </c>
    </row>
    <row r="277" spans="1:14" x14ac:dyDescent="0.2">
      <c r="A277" s="3">
        <f t="shared" si="5"/>
        <v>1217</v>
      </c>
      <c r="B277" t="str">
        <f>"00012170012"</f>
        <v>00012170012</v>
      </c>
      <c r="C277" t="s">
        <v>422</v>
      </c>
      <c r="D277" t="s">
        <v>216</v>
      </c>
      <c r="E277">
        <v>44</v>
      </c>
      <c r="F277">
        <v>3806</v>
      </c>
      <c r="G277" t="s">
        <v>423</v>
      </c>
      <c r="H277">
        <v>140</v>
      </c>
      <c r="I277" t="s">
        <v>34</v>
      </c>
      <c r="J277">
        <v>112</v>
      </c>
      <c r="K277" t="s">
        <v>34</v>
      </c>
      <c r="L277">
        <v>8</v>
      </c>
      <c r="M277">
        <v>65236</v>
      </c>
      <c r="N277">
        <v>28</v>
      </c>
    </row>
    <row r="278" spans="1:14" x14ac:dyDescent="0.2">
      <c r="A278" s="3">
        <f t="shared" si="5"/>
        <v>1219</v>
      </c>
      <c r="B278" t="str">
        <f>"00012190008"</f>
        <v>00012190008</v>
      </c>
      <c r="C278" t="s">
        <v>424</v>
      </c>
      <c r="D278" t="s">
        <v>42</v>
      </c>
      <c r="E278">
        <v>44</v>
      </c>
      <c r="F278">
        <v>344</v>
      </c>
      <c r="G278" t="s">
        <v>425</v>
      </c>
      <c r="H278">
        <v>7</v>
      </c>
      <c r="I278" t="s">
        <v>25</v>
      </c>
      <c r="J278">
        <v>5</v>
      </c>
      <c r="K278" t="s">
        <v>25</v>
      </c>
      <c r="L278">
        <v>8</v>
      </c>
      <c r="M278">
        <v>65223</v>
      </c>
      <c r="N278">
        <v>2</v>
      </c>
    </row>
    <row r="279" spans="1:14" x14ac:dyDescent="0.2">
      <c r="A279" s="3">
        <f t="shared" si="5"/>
        <v>1222</v>
      </c>
      <c r="B279" t="str">
        <f>"00012220020"</f>
        <v>00012220020</v>
      </c>
      <c r="C279" t="s">
        <v>426</v>
      </c>
      <c r="D279" t="s">
        <v>421</v>
      </c>
      <c r="E279">
        <v>52</v>
      </c>
      <c r="F279">
        <v>1205</v>
      </c>
      <c r="G279" t="s">
        <v>325</v>
      </c>
      <c r="H279">
        <v>15</v>
      </c>
      <c r="I279" t="s">
        <v>25</v>
      </c>
      <c r="J279">
        <v>11</v>
      </c>
      <c r="K279" t="s">
        <v>25</v>
      </c>
      <c r="L279">
        <v>8</v>
      </c>
      <c r="M279">
        <v>67120</v>
      </c>
      <c r="N279">
        <v>4</v>
      </c>
    </row>
    <row r="280" spans="1:14" x14ac:dyDescent="0.2">
      <c r="A280" s="3">
        <f t="shared" si="5"/>
        <v>1226</v>
      </c>
      <c r="B280" t="str">
        <f>"00012260012"</f>
        <v>00012260012</v>
      </c>
      <c r="C280" t="s">
        <v>427</v>
      </c>
      <c r="D280" t="s">
        <v>42</v>
      </c>
      <c r="E280">
        <v>44</v>
      </c>
      <c r="F280">
        <v>344</v>
      </c>
      <c r="G280" t="s">
        <v>425</v>
      </c>
      <c r="H280">
        <v>7</v>
      </c>
      <c r="I280" t="s">
        <v>25</v>
      </c>
      <c r="J280">
        <v>5</v>
      </c>
      <c r="K280" t="s">
        <v>25</v>
      </c>
      <c r="L280">
        <v>8</v>
      </c>
      <c r="M280">
        <v>65234</v>
      </c>
      <c r="N280">
        <v>2</v>
      </c>
    </row>
    <row r="281" spans="1:14" x14ac:dyDescent="0.2">
      <c r="A281" s="3">
        <f t="shared" si="5"/>
        <v>1247</v>
      </c>
      <c r="B281" t="str">
        <f>"00012470016"</f>
        <v>00012470016</v>
      </c>
      <c r="C281" t="s">
        <v>428</v>
      </c>
      <c r="D281" t="s">
        <v>42</v>
      </c>
      <c r="E281">
        <v>82</v>
      </c>
      <c r="F281">
        <v>337</v>
      </c>
      <c r="G281" t="s">
        <v>429</v>
      </c>
      <c r="H281" t="s">
        <v>44</v>
      </c>
      <c r="I281" t="s">
        <v>45</v>
      </c>
      <c r="J281" t="s">
        <v>44</v>
      </c>
      <c r="K281" t="s">
        <v>45</v>
      </c>
      <c r="L281">
        <v>8</v>
      </c>
      <c r="M281">
        <v>70096</v>
      </c>
      <c r="N281" t="s">
        <v>46</v>
      </c>
    </row>
    <row r="282" spans="1:14" x14ac:dyDescent="0.2">
      <c r="A282" s="3">
        <f t="shared" si="5"/>
        <v>1251</v>
      </c>
      <c r="B282" t="str">
        <f>"00012510015"</f>
        <v>00012510015</v>
      </c>
      <c r="C282" t="s">
        <v>430</v>
      </c>
      <c r="D282" t="s">
        <v>431</v>
      </c>
      <c r="E282">
        <v>52</v>
      </c>
      <c r="F282">
        <v>4966</v>
      </c>
      <c r="G282" t="s">
        <v>432</v>
      </c>
      <c r="H282">
        <v>26</v>
      </c>
      <c r="I282" t="s">
        <v>25</v>
      </c>
      <c r="J282">
        <v>21</v>
      </c>
      <c r="K282" t="s">
        <v>25</v>
      </c>
      <c r="L282">
        <v>8</v>
      </c>
      <c r="M282">
        <v>65017</v>
      </c>
      <c r="N282">
        <v>5</v>
      </c>
    </row>
    <row r="283" spans="1:14" x14ac:dyDescent="0.2">
      <c r="A283" s="3">
        <f t="shared" si="5"/>
        <v>1252</v>
      </c>
      <c r="B283" t="str">
        <f>"00012520015"</f>
        <v>00012520015</v>
      </c>
      <c r="C283" t="s">
        <v>433</v>
      </c>
      <c r="D283" t="s">
        <v>431</v>
      </c>
      <c r="E283">
        <v>52</v>
      </c>
      <c r="F283">
        <v>4966</v>
      </c>
      <c r="G283" t="s">
        <v>432</v>
      </c>
      <c r="H283">
        <v>26</v>
      </c>
      <c r="I283" t="s">
        <v>25</v>
      </c>
      <c r="J283">
        <v>21</v>
      </c>
      <c r="K283" t="s">
        <v>25</v>
      </c>
      <c r="L283">
        <v>8</v>
      </c>
      <c r="M283">
        <v>65025</v>
      </c>
      <c r="N283">
        <v>5</v>
      </c>
    </row>
    <row r="284" spans="1:14" x14ac:dyDescent="0.2">
      <c r="A284" s="3">
        <f t="shared" si="5"/>
        <v>1253</v>
      </c>
      <c r="B284" t="str">
        <f>"00012530012"</f>
        <v>00012530012</v>
      </c>
      <c r="C284" t="s">
        <v>434</v>
      </c>
      <c r="D284" t="s">
        <v>418</v>
      </c>
      <c r="E284">
        <v>44</v>
      </c>
      <c r="F284">
        <v>1775</v>
      </c>
      <c r="G284" t="s">
        <v>435</v>
      </c>
      <c r="H284">
        <v>24</v>
      </c>
      <c r="I284" t="s">
        <v>25</v>
      </c>
      <c r="J284">
        <v>20</v>
      </c>
      <c r="K284" t="s">
        <v>25</v>
      </c>
      <c r="L284">
        <v>8</v>
      </c>
      <c r="M284">
        <v>67006</v>
      </c>
      <c r="N284">
        <v>4</v>
      </c>
    </row>
    <row r="285" spans="1:14" x14ac:dyDescent="0.2">
      <c r="A285" s="3">
        <f t="shared" si="5"/>
        <v>1254</v>
      </c>
      <c r="B285" t="str">
        <f>"00012540012"</f>
        <v>00012540012</v>
      </c>
      <c r="C285" t="s">
        <v>436</v>
      </c>
      <c r="D285" t="s">
        <v>418</v>
      </c>
      <c r="E285">
        <v>44</v>
      </c>
      <c r="F285">
        <v>1775</v>
      </c>
      <c r="G285" t="s">
        <v>435</v>
      </c>
      <c r="H285">
        <v>24</v>
      </c>
      <c r="I285" t="s">
        <v>25</v>
      </c>
      <c r="J285">
        <v>20</v>
      </c>
      <c r="K285" t="s">
        <v>25</v>
      </c>
      <c r="L285">
        <v>8</v>
      </c>
      <c r="M285">
        <v>67014</v>
      </c>
      <c r="N285">
        <v>4</v>
      </c>
    </row>
    <row r="286" spans="1:14" x14ac:dyDescent="0.2">
      <c r="A286" s="3">
        <f t="shared" si="5"/>
        <v>1256</v>
      </c>
      <c r="B286" t="str">
        <f>"00012560006"</f>
        <v>00012560006</v>
      </c>
      <c r="C286" t="s">
        <v>437</v>
      </c>
      <c r="D286" t="s">
        <v>431</v>
      </c>
      <c r="E286">
        <v>52</v>
      </c>
      <c r="F286">
        <v>2334</v>
      </c>
      <c r="G286" t="s">
        <v>438</v>
      </c>
      <c r="H286">
        <v>26</v>
      </c>
      <c r="I286" t="s">
        <v>25</v>
      </c>
      <c r="J286">
        <v>21</v>
      </c>
      <c r="K286" t="s">
        <v>25</v>
      </c>
      <c r="L286">
        <v>8</v>
      </c>
      <c r="M286">
        <v>65028</v>
      </c>
      <c r="N286">
        <v>5</v>
      </c>
    </row>
    <row r="287" spans="1:14" x14ac:dyDescent="0.2">
      <c r="A287" s="3">
        <f t="shared" si="5"/>
        <v>1257</v>
      </c>
      <c r="B287" t="str">
        <f>"00012570015"</f>
        <v>00012570015</v>
      </c>
      <c r="C287" t="s">
        <v>439</v>
      </c>
      <c r="D287" t="s">
        <v>431</v>
      </c>
      <c r="E287">
        <v>52</v>
      </c>
      <c r="F287">
        <v>4966</v>
      </c>
      <c r="G287" t="s">
        <v>432</v>
      </c>
      <c r="H287">
        <v>26</v>
      </c>
      <c r="I287" t="s">
        <v>25</v>
      </c>
      <c r="J287">
        <v>21</v>
      </c>
      <c r="K287" t="s">
        <v>25</v>
      </c>
      <c r="L287">
        <v>8</v>
      </c>
      <c r="M287">
        <v>65021</v>
      </c>
      <c r="N287">
        <v>5</v>
      </c>
    </row>
    <row r="288" spans="1:14" x14ac:dyDescent="0.2">
      <c r="A288" s="3">
        <f t="shared" si="5"/>
        <v>1266</v>
      </c>
      <c r="B288" t="str">
        <f>"00012660012"</f>
        <v>00012660012</v>
      </c>
      <c r="C288" t="s">
        <v>440</v>
      </c>
      <c r="D288" t="s">
        <v>421</v>
      </c>
      <c r="E288">
        <v>52</v>
      </c>
      <c r="F288">
        <v>1205</v>
      </c>
      <c r="G288" t="s">
        <v>325</v>
      </c>
      <c r="H288">
        <v>12</v>
      </c>
      <c r="I288" t="s">
        <v>25</v>
      </c>
      <c r="J288">
        <v>9</v>
      </c>
      <c r="K288" t="s">
        <v>25</v>
      </c>
      <c r="L288">
        <v>8</v>
      </c>
      <c r="M288">
        <v>67124</v>
      </c>
      <c r="N288">
        <v>3</v>
      </c>
    </row>
    <row r="289" spans="1:14" x14ac:dyDescent="0.2">
      <c r="A289" s="3">
        <f t="shared" si="5"/>
        <v>1268</v>
      </c>
      <c r="B289" t="str">
        <f>"00012680012"</f>
        <v>00012680012</v>
      </c>
      <c r="C289" t="s">
        <v>441</v>
      </c>
      <c r="D289" t="s">
        <v>418</v>
      </c>
      <c r="E289">
        <v>44</v>
      </c>
      <c r="F289">
        <v>1775</v>
      </c>
      <c r="G289" t="s">
        <v>435</v>
      </c>
      <c r="H289">
        <v>24</v>
      </c>
      <c r="I289" t="s">
        <v>25</v>
      </c>
      <c r="J289">
        <v>20</v>
      </c>
      <c r="K289" t="s">
        <v>25</v>
      </c>
      <c r="L289">
        <v>8</v>
      </c>
      <c r="M289">
        <v>67001</v>
      </c>
      <c r="N289">
        <v>4</v>
      </c>
    </row>
    <row r="290" spans="1:14" x14ac:dyDescent="0.2">
      <c r="A290" s="3">
        <f t="shared" si="5"/>
        <v>1272</v>
      </c>
      <c r="B290" t="str">
        <f>"00012720009"</f>
        <v>00012720009</v>
      </c>
      <c r="C290" t="s">
        <v>442</v>
      </c>
      <c r="D290" t="s">
        <v>42</v>
      </c>
      <c r="E290">
        <v>44</v>
      </c>
      <c r="F290">
        <v>6916</v>
      </c>
      <c r="G290" t="s">
        <v>60</v>
      </c>
      <c r="H290">
        <v>12</v>
      </c>
      <c r="I290" t="s">
        <v>25</v>
      </c>
      <c r="J290">
        <v>9</v>
      </c>
      <c r="K290" t="s">
        <v>25</v>
      </c>
      <c r="L290">
        <v>8</v>
      </c>
      <c r="M290">
        <v>66056</v>
      </c>
      <c r="N290">
        <v>3</v>
      </c>
    </row>
    <row r="291" spans="1:14" x14ac:dyDescent="0.2">
      <c r="A291" s="3">
        <f t="shared" si="5"/>
        <v>1275</v>
      </c>
      <c r="B291" t="str">
        <f>"00012750018"</f>
        <v>00012750018</v>
      </c>
      <c r="C291" t="s">
        <v>443</v>
      </c>
      <c r="D291" t="s">
        <v>42</v>
      </c>
      <c r="E291">
        <v>44</v>
      </c>
      <c r="F291">
        <v>6916</v>
      </c>
      <c r="G291" t="s">
        <v>60</v>
      </c>
      <c r="H291">
        <v>12</v>
      </c>
      <c r="I291" t="s">
        <v>25</v>
      </c>
      <c r="J291">
        <v>9</v>
      </c>
      <c r="K291" t="s">
        <v>25</v>
      </c>
      <c r="L291">
        <v>8</v>
      </c>
      <c r="M291">
        <v>66034</v>
      </c>
      <c r="N291">
        <v>3</v>
      </c>
    </row>
    <row r="292" spans="1:14" x14ac:dyDescent="0.2">
      <c r="A292" s="3">
        <f t="shared" si="5"/>
        <v>1291</v>
      </c>
      <c r="B292" t="str">
        <f>"00012910006"</f>
        <v>00012910006</v>
      </c>
      <c r="C292" t="s">
        <v>444</v>
      </c>
      <c r="D292" t="s">
        <v>42</v>
      </c>
      <c r="E292">
        <v>82</v>
      </c>
      <c r="F292">
        <v>4287</v>
      </c>
      <c r="G292" t="s">
        <v>445</v>
      </c>
      <c r="H292" t="s">
        <v>44</v>
      </c>
      <c r="I292" t="s">
        <v>45</v>
      </c>
      <c r="J292" t="s">
        <v>44</v>
      </c>
      <c r="K292" t="s">
        <v>45</v>
      </c>
      <c r="L292">
        <v>8</v>
      </c>
      <c r="M292">
        <v>72245</v>
      </c>
      <c r="N292" t="s">
        <v>46</v>
      </c>
    </row>
    <row r="293" spans="1:14" x14ac:dyDescent="0.2">
      <c r="A293" s="3">
        <f t="shared" si="5"/>
        <v>1291</v>
      </c>
      <c r="B293" t="str">
        <f>"00012910012"</f>
        <v>00012910012</v>
      </c>
      <c r="C293" t="s">
        <v>444</v>
      </c>
      <c r="D293" t="s">
        <v>52</v>
      </c>
      <c r="E293">
        <v>82</v>
      </c>
      <c r="F293">
        <v>4287</v>
      </c>
      <c r="G293" t="s">
        <v>445</v>
      </c>
      <c r="H293" t="s">
        <v>44</v>
      </c>
      <c r="I293" t="s">
        <v>45</v>
      </c>
      <c r="J293" t="s">
        <v>44</v>
      </c>
      <c r="K293" t="s">
        <v>45</v>
      </c>
      <c r="L293">
        <v>5</v>
      </c>
      <c r="M293" t="s">
        <v>65</v>
      </c>
      <c r="N293" t="s">
        <v>46</v>
      </c>
    </row>
    <row r="294" spans="1:14" x14ac:dyDescent="0.2">
      <c r="A294" s="3">
        <f t="shared" si="5"/>
        <v>1292</v>
      </c>
      <c r="B294" t="str">
        <f>"00012920012"</f>
        <v>00012920012</v>
      </c>
      <c r="C294" t="s">
        <v>446</v>
      </c>
      <c r="D294" t="s">
        <v>36</v>
      </c>
      <c r="E294">
        <v>82</v>
      </c>
      <c r="F294">
        <v>2131</v>
      </c>
      <c r="G294" t="s">
        <v>241</v>
      </c>
      <c r="H294" t="s">
        <v>44</v>
      </c>
      <c r="I294" t="s">
        <v>45</v>
      </c>
      <c r="J294" t="s">
        <v>44</v>
      </c>
      <c r="K294" t="s">
        <v>45</v>
      </c>
      <c r="L294">
        <v>8</v>
      </c>
      <c r="M294">
        <v>72248</v>
      </c>
      <c r="N294" t="s">
        <v>46</v>
      </c>
    </row>
    <row r="295" spans="1:14" x14ac:dyDescent="0.2">
      <c r="A295" s="3">
        <f t="shared" si="5"/>
        <v>1294</v>
      </c>
      <c r="B295" t="str">
        <f>"00012940001"</f>
        <v>00012940001</v>
      </c>
      <c r="C295" t="s">
        <v>447</v>
      </c>
      <c r="D295" t="s">
        <v>52</v>
      </c>
      <c r="E295">
        <v>199</v>
      </c>
      <c r="F295">
        <v>5003</v>
      </c>
      <c r="G295" t="s">
        <v>64</v>
      </c>
      <c r="H295" t="s">
        <v>44</v>
      </c>
      <c r="I295" t="s">
        <v>45</v>
      </c>
      <c r="J295" t="s">
        <v>44</v>
      </c>
      <c r="K295" t="s">
        <v>45</v>
      </c>
      <c r="L295">
        <v>5</v>
      </c>
      <c r="M295" t="s">
        <v>65</v>
      </c>
      <c r="N295" t="s">
        <v>46</v>
      </c>
    </row>
    <row r="296" spans="1:14" x14ac:dyDescent="0.2">
      <c r="A296" s="3">
        <f t="shared" si="5"/>
        <v>1303</v>
      </c>
      <c r="B296" t="str">
        <f>"00013030012"</f>
        <v>00013030012</v>
      </c>
      <c r="C296" t="s">
        <v>448</v>
      </c>
      <c r="D296" t="s">
        <v>23</v>
      </c>
      <c r="E296">
        <v>47</v>
      </c>
      <c r="F296">
        <v>4616</v>
      </c>
      <c r="G296" t="s">
        <v>449</v>
      </c>
      <c r="H296">
        <v>20</v>
      </c>
      <c r="I296" t="s">
        <v>25</v>
      </c>
      <c r="J296">
        <v>16</v>
      </c>
      <c r="K296" t="s">
        <v>25</v>
      </c>
      <c r="L296">
        <v>8</v>
      </c>
      <c r="M296">
        <v>67089</v>
      </c>
      <c r="N296">
        <v>4</v>
      </c>
    </row>
    <row r="297" spans="1:14" x14ac:dyDescent="0.2">
      <c r="A297" s="3">
        <f t="shared" si="5"/>
        <v>1307</v>
      </c>
      <c r="B297" t="str">
        <f>"00013070024"</f>
        <v>00013070024</v>
      </c>
      <c r="C297" t="s">
        <v>450</v>
      </c>
      <c r="D297" t="s">
        <v>23</v>
      </c>
      <c r="E297">
        <v>47</v>
      </c>
      <c r="F297">
        <v>4616</v>
      </c>
      <c r="G297" t="s">
        <v>449</v>
      </c>
      <c r="H297">
        <v>20</v>
      </c>
      <c r="I297" t="s">
        <v>25</v>
      </c>
      <c r="J297">
        <v>16</v>
      </c>
      <c r="K297" t="s">
        <v>25</v>
      </c>
      <c r="L297">
        <v>8</v>
      </c>
      <c r="M297">
        <v>67080</v>
      </c>
      <c r="N297">
        <v>4</v>
      </c>
    </row>
    <row r="298" spans="1:14" x14ac:dyDescent="0.2">
      <c r="A298" s="3">
        <f t="shared" si="5"/>
        <v>1308</v>
      </c>
      <c r="B298" t="str">
        <f>"00013080024"</f>
        <v>00013080024</v>
      </c>
      <c r="C298" t="s">
        <v>451</v>
      </c>
      <c r="D298" t="s">
        <v>23</v>
      </c>
      <c r="E298">
        <v>47</v>
      </c>
      <c r="F298">
        <v>4616</v>
      </c>
      <c r="G298" t="s">
        <v>449</v>
      </c>
      <c r="H298">
        <v>20</v>
      </c>
      <c r="I298" t="s">
        <v>25</v>
      </c>
      <c r="J298">
        <v>16</v>
      </c>
      <c r="K298" t="s">
        <v>25</v>
      </c>
      <c r="L298">
        <v>8</v>
      </c>
      <c r="M298">
        <v>67105</v>
      </c>
      <c r="N298">
        <v>4</v>
      </c>
    </row>
    <row r="299" spans="1:14" x14ac:dyDescent="0.2">
      <c r="A299" s="3">
        <f t="shared" si="5"/>
        <v>1309</v>
      </c>
      <c r="B299" t="str">
        <f>"00013090020"</f>
        <v>00013090020</v>
      </c>
      <c r="C299" t="s">
        <v>452</v>
      </c>
      <c r="D299" t="s">
        <v>23</v>
      </c>
      <c r="E299">
        <v>47</v>
      </c>
      <c r="F299">
        <v>4616</v>
      </c>
      <c r="G299" t="s">
        <v>449</v>
      </c>
      <c r="H299">
        <v>20</v>
      </c>
      <c r="I299" t="s">
        <v>25</v>
      </c>
      <c r="J299">
        <v>16</v>
      </c>
      <c r="K299" t="s">
        <v>25</v>
      </c>
      <c r="L299">
        <v>8</v>
      </c>
      <c r="M299">
        <v>67050</v>
      </c>
      <c r="N299">
        <v>4</v>
      </c>
    </row>
    <row r="300" spans="1:14" x14ac:dyDescent="0.2">
      <c r="A300" s="3">
        <f t="shared" si="5"/>
        <v>1312</v>
      </c>
      <c r="B300" t="str">
        <f>"00013120020"</f>
        <v>00013120020</v>
      </c>
      <c r="C300" t="s">
        <v>453</v>
      </c>
      <c r="D300" t="s">
        <v>23</v>
      </c>
      <c r="E300">
        <v>47</v>
      </c>
      <c r="F300">
        <v>4616</v>
      </c>
      <c r="G300" t="s">
        <v>449</v>
      </c>
      <c r="H300">
        <v>20</v>
      </c>
      <c r="I300" t="s">
        <v>25</v>
      </c>
      <c r="J300">
        <v>16</v>
      </c>
      <c r="K300" t="s">
        <v>25</v>
      </c>
      <c r="L300">
        <v>8</v>
      </c>
      <c r="M300">
        <v>67111</v>
      </c>
      <c r="N300">
        <v>4</v>
      </c>
    </row>
    <row r="301" spans="1:14" x14ac:dyDescent="0.2">
      <c r="A301" s="3">
        <f t="shared" si="5"/>
        <v>1313</v>
      </c>
      <c r="B301" t="str">
        <f>"00013130010"</f>
        <v>00013130010</v>
      </c>
      <c r="C301" t="s">
        <v>454</v>
      </c>
      <c r="D301" t="s">
        <v>23</v>
      </c>
      <c r="E301">
        <v>47</v>
      </c>
      <c r="F301">
        <v>4616</v>
      </c>
      <c r="G301" t="s">
        <v>449</v>
      </c>
      <c r="H301">
        <v>20</v>
      </c>
      <c r="I301" t="s">
        <v>25</v>
      </c>
      <c r="J301">
        <v>16</v>
      </c>
      <c r="K301" t="s">
        <v>25</v>
      </c>
      <c r="L301">
        <v>8</v>
      </c>
      <c r="M301">
        <v>67054</v>
      </c>
      <c r="N301">
        <v>4</v>
      </c>
    </row>
    <row r="302" spans="1:14" x14ac:dyDescent="0.2">
      <c r="A302" s="3">
        <f t="shared" si="5"/>
        <v>1314</v>
      </c>
      <c r="B302" t="str">
        <f>"00013140014"</f>
        <v>00013140014</v>
      </c>
      <c r="C302" t="s">
        <v>455</v>
      </c>
      <c r="D302" t="s">
        <v>115</v>
      </c>
      <c r="E302">
        <v>70</v>
      </c>
      <c r="F302">
        <v>3112</v>
      </c>
      <c r="G302" t="s">
        <v>245</v>
      </c>
      <c r="H302">
        <v>120</v>
      </c>
      <c r="I302" t="s">
        <v>34</v>
      </c>
      <c r="J302">
        <v>88</v>
      </c>
      <c r="K302" t="s">
        <v>34</v>
      </c>
      <c r="L302">
        <v>8</v>
      </c>
      <c r="M302">
        <v>74111</v>
      </c>
      <c r="N302">
        <v>32</v>
      </c>
    </row>
    <row r="303" spans="1:14" x14ac:dyDescent="0.2">
      <c r="A303" s="3">
        <f t="shared" si="5"/>
        <v>1318</v>
      </c>
      <c r="B303" t="str">
        <f>"00013180012"</f>
        <v>00013180012</v>
      </c>
      <c r="C303" t="s">
        <v>456</v>
      </c>
      <c r="D303" t="s">
        <v>115</v>
      </c>
      <c r="E303">
        <v>47</v>
      </c>
      <c r="F303">
        <v>7219</v>
      </c>
      <c r="G303" t="s">
        <v>457</v>
      </c>
      <c r="H303">
        <v>24</v>
      </c>
      <c r="I303" t="s">
        <v>25</v>
      </c>
      <c r="J303">
        <v>20</v>
      </c>
      <c r="K303" t="s">
        <v>25</v>
      </c>
      <c r="L303">
        <v>8</v>
      </c>
      <c r="M303">
        <v>67072</v>
      </c>
      <c r="N303">
        <v>4</v>
      </c>
    </row>
    <row r="304" spans="1:14" x14ac:dyDescent="0.2">
      <c r="A304" s="3">
        <f t="shared" si="5"/>
        <v>1319</v>
      </c>
      <c r="B304" t="str">
        <f>"00013190012"</f>
        <v>00013190012</v>
      </c>
      <c r="C304" t="s">
        <v>458</v>
      </c>
      <c r="D304" t="s">
        <v>421</v>
      </c>
      <c r="E304">
        <v>49</v>
      </c>
      <c r="F304">
        <v>1205</v>
      </c>
      <c r="G304" t="s">
        <v>325</v>
      </c>
      <c r="H304">
        <v>9</v>
      </c>
      <c r="I304" t="s">
        <v>25</v>
      </c>
      <c r="J304">
        <v>7</v>
      </c>
      <c r="K304" t="s">
        <v>25</v>
      </c>
      <c r="L304">
        <v>8</v>
      </c>
      <c r="M304">
        <v>67128</v>
      </c>
      <c r="N304">
        <v>2</v>
      </c>
    </row>
    <row r="305" spans="1:14" x14ac:dyDescent="0.2">
      <c r="A305" s="3">
        <f t="shared" si="5"/>
        <v>1321</v>
      </c>
      <c r="B305" t="str">
        <f>"00013210010"</f>
        <v>00013210010</v>
      </c>
      <c r="C305" t="s">
        <v>459</v>
      </c>
      <c r="D305" t="s">
        <v>418</v>
      </c>
      <c r="E305">
        <v>47</v>
      </c>
      <c r="F305">
        <v>591</v>
      </c>
      <c r="G305" t="s">
        <v>460</v>
      </c>
      <c r="H305">
        <v>18</v>
      </c>
      <c r="I305" t="s">
        <v>25</v>
      </c>
      <c r="J305">
        <v>14</v>
      </c>
      <c r="K305" t="s">
        <v>25</v>
      </c>
      <c r="L305">
        <v>8</v>
      </c>
      <c r="M305">
        <v>67039</v>
      </c>
      <c r="N305">
        <v>4</v>
      </c>
    </row>
    <row r="306" spans="1:14" x14ac:dyDescent="0.2">
      <c r="A306" s="3">
        <f t="shared" si="5"/>
        <v>1323</v>
      </c>
      <c r="B306" t="str">
        <f>"00013230016"</f>
        <v>00013230016</v>
      </c>
      <c r="C306" t="s">
        <v>461</v>
      </c>
      <c r="D306" t="s">
        <v>115</v>
      </c>
      <c r="E306">
        <v>47</v>
      </c>
      <c r="F306">
        <v>7219</v>
      </c>
      <c r="G306" t="s">
        <v>457</v>
      </c>
      <c r="H306">
        <v>24</v>
      </c>
      <c r="I306" t="s">
        <v>25</v>
      </c>
      <c r="J306">
        <v>20</v>
      </c>
      <c r="K306" t="s">
        <v>25</v>
      </c>
      <c r="L306">
        <v>8</v>
      </c>
      <c r="M306">
        <v>67083</v>
      </c>
      <c r="N306">
        <v>4</v>
      </c>
    </row>
    <row r="307" spans="1:14" x14ac:dyDescent="0.2">
      <c r="A307" s="3">
        <f t="shared" si="5"/>
        <v>1327</v>
      </c>
      <c r="B307" t="str">
        <f>"00013270015"</f>
        <v>00013270015</v>
      </c>
      <c r="C307" t="s">
        <v>462</v>
      </c>
      <c r="D307" t="s">
        <v>115</v>
      </c>
      <c r="E307">
        <v>47</v>
      </c>
      <c r="F307">
        <v>7219</v>
      </c>
      <c r="G307" t="s">
        <v>457</v>
      </c>
      <c r="H307">
        <v>24</v>
      </c>
      <c r="I307" t="s">
        <v>25</v>
      </c>
      <c r="J307">
        <v>20</v>
      </c>
      <c r="K307" t="s">
        <v>25</v>
      </c>
      <c r="L307">
        <v>8</v>
      </c>
      <c r="M307">
        <v>67045</v>
      </c>
      <c r="N307">
        <v>4</v>
      </c>
    </row>
    <row r="308" spans="1:14" x14ac:dyDescent="0.2">
      <c r="A308" s="3">
        <f t="shared" si="5"/>
        <v>1329</v>
      </c>
      <c r="B308" t="str">
        <f>"00013290008"</f>
        <v>00013290008</v>
      </c>
      <c r="C308" t="s">
        <v>463</v>
      </c>
      <c r="D308" t="s">
        <v>115</v>
      </c>
      <c r="E308">
        <v>47</v>
      </c>
      <c r="F308">
        <v>7219</v>
      </c>
      <c r="G308" t="s">
        <v>457</v>
      </c>
      <c r="H308">
        <v>24</v>
      </c>
      <c r="I308" t="s">
        <v>25</v>
      </c>
      <c r="J308">
        <v>20</v>
      </c>
      <c r="K308" t="s">
        <v>25</v>
      </c>
      <c r="L308">
        <v>8</v>
      </c>
      <c r="M308">
        <v>67061</v>
      </c>
      <c r="N308">
        <v>4</v>
      </c>
    </row>
    <row r="309" spans="1:14" x14ac:dyDescent="0.2">
      <c r="A309" s="3">
        <f t="shared" si="5"/>
        <v>1331</v>
      </c>
      <c r="B309" t="str">
        <f>"00013310119"</f>
        <v>00013310119</v>
      </c>
      <c r="C309" t="s">
        <v>464</v>
      </c>
      <c r="D309" t="s">
        <v>52</v>
      </c>
      <c r="E309">
        <v>47</v>
      </c>
      <c r="F309">
        <v>7219</v>
      </c>
      <c r="G309" t="s">
        <v>457</v>
      </c>
      <c r="H309">
        <v>18</v>
      </c>
      <c r="I309" t="s">
        <v>25</v>
      </c>
      <c r="J309">
        <v>14</v>
      </c>
      <c r="K309" t="s">
        <v>25</v>
      </c>
      <c r="L309">
        <v>6</v>
      </c>
      <c r="M309">
        <v>1635</v>
      </c>
      <c r="N309">
        <v>4</v>
      </c>
    </row>
    <row r="310" spans="1:14" x14ac:dyDescent="0.2">
      <c r="A310" s="3">
        <f t="shared" si="5"/>
        <v>1340</v>
      </c>
      <c r="B310" t="str">
        <f>"00013400010"</f>
        <v>00013400010</v>
      </c>
      <c r="C310" t="s">
        <v>465</v>
      </c>
      <c r="D310" t="s">
        <v>418</v>
      </c>
      <c r="E310">
        <v>47</v>
      </c>
      <c r="F310">
        <v>591</v>
      </c>
      <c r="G310" t="s">
        <v>460</v>
      </c>
      <c r="H310">
        <v>18</v>
      </c>
      <c r="I310" t="s">
        <v>25</v>
      </c>
      <c r="J310">
        <v>14</v>
      </c>
      <c r="K310" t="s">
        <v>25</v>
      </c>
      <c r="L310">
        <v>8</v>
      </c>
      <c r="M310">
        <v>67021</v>
      </c>
      <c r="N310">
        <v>4</v>
      </c>
    </row>
    <row r="311" spans="1:14" x14ac:dyDescent="0.2">
      <c r="A311" s="3">
        <f t="shared" si="5"/>
        <v>1403</v>
      </c>
      <c r="B311" t="str">
        <f>"00014030024"</f>
        <v>00014030024</v>
      </c>
      <c r="C311" t="s">
        <v>466</v>
      </c>
      <c r="D311" t="s">
        <v>42</v>
      </c>
      <c r="E311">
        <v>50</v>
      </c>
      <c r="F311">
        <v>3647</v>
      </c>
      <c r="G311" t="s">
        <v>467</v>
      </c>
      <c r="H311">
        <v>30</v>
      </c>
      <c r="I311" t="s">
        <v>25</v>
      </c>
      <c r="J311">
        <v>24</v>
      </c>
      <c r="K311" t="s">
        <v>25</v>
      </c>
      <c r="L311">
        <v>8</v>
      </c>
      <c r="M311">
        <v>65155</v>
      </c>
      <c r="N311">
        <v>6</v>
      </c>
    </row>
    <row r="312" spans="1:14" x14ac:dyDescent="0.2">
      <c r="A312" s="3">
        <f t="shared" si="5"/>
        <v>1404</v>
      </c>
      <c r="B312" t="str">
        <f>"00014040012"</f>
        <v>00014040012</v>
      </c>
      <c r="C312" t="s">
        <v>468</v>
      </c>
      <c r="D312" t="s">
        <v>42</v>
      </c>
      <c r="E312">
        <v>50</v>
      </c>
      <c r="F312">
        <v>1633</v>
      </c>
      <c r="G312" t="s">
        <v>469</v>
      </c>
      <c r="H312">
        <v>12</v>
      </c>
      <c r="I312" t="s">
        <v>25</v>
      </c>
      <c r="J312">
        <v>9</v>
      </c>
      <c r="K312" t="s">
        <v>25</v>
      </c>
      <c r="L312">
        <v>8</v>
      </c>
      <c r="M312">
        <v>65184</v>
      </c>
      <c r="N312">
        <v>3</v>
      </c>
    </row>
    <row r="313" spans="1:14" x14ac:dyDescent="0.2">
      <c r="A313" s="3">
        <f t="shared" si="5"/>
        <v>1405</v>
      </c>
      <c r="B313" t="str">
        <f>"00014050040"</f>
        <v>00014050040</v>
      </c>
      <c r="C313" t="s">
        <v>470</v>
      </c>
      <c r="D313" t="s">
        <v>42</v>
      </c>
      <c r="E313">
        <v>50</v>
      </c>
      <c r="F313">
        <v>1633</v>
      </c>
      <c r="G313" t="s">
        <v>469</v>
      </c>
      <c r="H313">
        <v>12</v>
      </c>
      <c r="I313" t="s">
        <v>25</v>
      </c>
      <c r="J313">
        <v>9</v>
      </c>
      <c r="K313" t="s">
        <v>25</v>
      </c>
      <c r="L313">
        <v>8</v>
      </c>
      <c r="M313">
        <v>65177</v>
      </c>
      <c r="N313">
        <v>3</v>
      </c>
    </row>
    <row r="314" spans="1:14" x14ac:dyDescent="0.2">
      <c r="A314" s="3">
        <f t="shared" si="5"/>
        <v>1406</v>
      </c>
      <c r="B314" t="str">
        <f>"00014060048"</f>
        <v>00014060048</v>
      </c>
      <c r="C314" t="s">
        <v>471</v>
      </c>
      <c r="D314" t="s">
        <v>42</v>
      </c>
      <c r="E314">
        <v>50</v>
      </c>
      <c r="F314">
        <v>3647</v>
      </c>
      <c r="G314" t="s">
        <v>467</v>
      </c>
      <c r="H314">
        <v>36</v>
      </c>
      <c r="I314" t="s">
        <v>25</v>
      </c>
      <c r="J314">
        <v>30</v>
      </c>
      <c r="K314" t="s">
        <v>25</v>
      </c>
      <c r="L314">
        <v>8</v>
      </c>
      <c r="M314">
        <v>65168</v>
      </c>
      <c r="N314">
        <v>6</v>
      </c>
    </row>
    <row r="315" spans="1:14" x14ac:dyDescent="0.2">
      <c r="A315" s="3">
        <f t="shared" si="5"/>
        <v>1420</v>
      </c>
      <c r="B315" t="str">
        <f>"00014200024"</f>
        <v>00014200024</v>
      </c>
      <c r="C315" t="s">
        <v>472</v>
      </c>
      <c r="D315" t="s">
        <v>77</v>
      </c>
      <c r="E315">
        <v>33</v>
      </c>
      <c r="F315">
        <v>4662</v>
      </c>
      <c r="G315" t="s">
        <v>473</v>
      </c>
      <c r="H315">
        <v>12</v>
      </c>
      <c r="I315" t="s">
        <v>25</v>
      </c>
      <c r="J315">
        <v>9</v>
      </c>
      <c r="K315" t="s">
        <v>25</v>
      </c>
      <c r="L315">
        <v>8</v>
      </c>
      <c r="M315">
        <v>83245</v>
      </c>
      <c r="N315">
        <v>3</v>
      </c>
    </row>
    <row r="316" spans="1:14" x14ac:dyDescent="0.2">
      <c r="A316" s="3">
        <f t="shared" si="5"/>
        <v>1421</v>
      </c>
      <c r="B316" t="str">
        <f>"00014210001"</f>
        <v>00014210001</v>
      </c>
      <c r="C316" t="s">
        <v>474</v>
      </c>
      <c r="D316" t="s">
        <v>337</v>
      </c>
      <c r="E316">
        <v>90</v>
      </c>
      <c r="F316">
        <v>8253</v>
      </c>
      <c r="G316" t="s">
        <v>343</v>
      </c>
      <c r="H316">
        <v>20</v>
      </c>
      <c r="I316" t="s">
        <v>34</v>
      </c>
      <c r="J316">
        <v>14</v>
      </c>
      <c r="K316" t="s">
        <v>34</v>
      </c>
      <c r="L316">
        <v>8</v>
      </c>
      <c r="M316">
        <v>91002</v>
      </c>
      <c r="N316">
        <v>5</v>
      </c>
    </row>
    <row r="317" spans="1:14" x14ac:dyDescent="0.2">
      <c r="A317" s="3">
        <f t="shared" si="5"/>
        <v>1436</v>
      </c>
      <c r="B317" t="str">
        <f>"00014360050"</f>
        <v>00014360050</v>
      </c>
      <c r="C317" t="s">
        <v>475</v>
      </c>
      <c r="D317" t="s">
        <v>421</v>
      </c>
      <c r="E317">
        <v>50</v>
      </c>
      <c r="F317">
        <v>1205</v>
      </c>
      <c r="G317" t="s">
        <v>325</v>
      </c>
      <c r="H317">
        <v>18</v>
      </c>
      <c r="I317" t="s">
        <v>25</v>
      </c>
      <c r="J317">
        <v>14</v>
      </c>
      <c r="K317" t="s">
        <v>25</v>
      </c>
      <c r="L317">
        <v>8</v>
      </c>
      <c r="M317">
        <v>65182</v>
      </c>
      <c r="N317">
        <v>4</v>
      </c>
    </row>
    <row r="318" spans="1:14" x14ac:dyDescent="0.2">
      <c r="A318" s="3">
        <f t="shared" si="5"/>
        <v>1438</v>
      </c>
      <c r="B318" t="str">
        <f>"00014380048"</f>
        <v>00014380048</v>
      </c>
      <c r="C318" t="s">
        <v>476</v>
      </c>
      <c r="D318" t="s">
        <v>42</v>
      </c>
      <c r="E318">
        <v>50</v>
      </c>
      <c r="F318">
        <v>3647</v>
      </c>
      <c r="G318" t="s">
        <v>467</v>
      </c>
      <c r="H318">
        <v>36</v>
      </c>
      <c r="I318" t="s">
        <v>25</v>
      </c>
      <c r="J318">
        <v>30</v>
      </c>
      <c r="K318" t="s">
        <v>25</v>
      </c>
      <c r="L318">
        <v>8</v>
      </c>
      <c r="M318">
        <v>65175</v>
      </c>
      <c r="N318">
        <v>6</v>
      </c>
    </row>
    <row r="319" spans="1:14" x14ac:dyDescent="0.2">
      <c r="A319" s="3">
        <f t="shared" si="5"/>
        <v>1446</v>
      </c>
      <c r="B319" t="str">
        <f>"00014460008"</f>
        <v>00014460008</v>
      </c>
      <c r="C319" t="s">
        <v>477</v>
      </c>
      <c r="D319" t="s">
        <v>48</v>
      </c>
      <c r="E319">
        <v>30</v>
      </c>
      <c r="F319">
        <v>3601</v>
      </c>
      <c r="G319" t="s">
        <v>408</v>
      </c>
      <c r="H319">
        <v>24</v>
      </c>
      <c r="I319" t="s">
        <v>34</v>
      </c>
      <c r="J319">
        <v>18</v>
      </c>
      <c r="K319" t="s">
        <v>34</v>
      </c>
      <c r="L319">
        <v>9</v>
      </c>
      <c r="M319">
        <v>83078</v>
      </c>
      <c r="N319">
        <v>6</v>
      </c>
    </row>
    <row r="320" spans="1:14" x14ac:dyDescent="0.2">
      <c r="A320" s="3">
        <f t="shared" si="5"/>
        <v>1502</v>
      </c>
      <c r="B320" t="str">
        <f>"00015020012"</f>
        <v>00015020012</v>
      </c>
      <c r="C320" t="s">
        <v>478</v>
      </c>
      <c r="D320" t="s">
        <v>36</v>
      </c>
      <c r="E320">
        <v>51</v>
      </c>
      <c r="F320">
        <v>2236</v>
      </c>
      <c r="G320" t="s">
        <v>479</v>
      </c>
      <c r="H320">
        <v>24</v>
      </c>
      <c r="I320" t="s">
        <v>25</v>
      </c>
      <c r="J320">
        <v>20</v>
      </c>
      <c r="K320" t="s">
        <v>25</v>
      </c>
      <c r="L320">
        <v>8</v>
      </c>
      <c r="M320">
        <v>65087</v>
      </c>
      <c r="N320">
        <v>4</v>
      </c>
    </row>
    <row r="321" spans="1:14" x14ac:dyDescent="0.2">
      <c r="A321" s="3">
        <f t="shared" si="5"/>
        <v>1503</v>
      </c>
      <c r="B321" t="str">
        <f>"00015030012"</f>
        <v>00015030012</v>
      </c>
      <c r="C321" t="s">
        <v>480</v>
      </c>
      <c r="D321" t="s">
        <v>36</v>
      </c>
      <c r="E321">
        <v>51</v>
      </c>
      <c r="F321">
        <v>2236</v>
      </c>
      <c r="G321" t="s">
        <v>479</v>
      </c>
      <c r="H321">
        <v>24</v>
      </c>
      <c r="I321" t="s">
        <v>25</v>
      </c>
      <c r="J321">
        <v>20</v>
      </c>
      <c r="K321" t="s">
        <v>25</v>
      </c>
      <c r="L321">
        <v>8</v>
      </c>
      <c r="M321">
        <v>65089</v>
      </c>
      <c r="N321">
        <v>4</v>
      </c>
    </row>
    <row r="322" spans="1:14" x14ac:dyDescent="0.2">
      <c r="A322" s="3">
        <f t="shared" si="5"/>
        <v>1504</v>
      </c>
      <c r="B322" t="str">
        <f>"00015040012"</f>
        <v>00015040012</v>
      </c>
      <c r="C322" t="s">
        <v>481</v>
      </c>
      <c r="D322" t="s">
        <v>42</v>
      </c>
      <c r="E322">
        <v>51</v>
      </c>
      <c r="F322">
        <v>227</v>
      </c>
      <c r="G322" t="s">
        <v>482</v>
      </c>
      <c r="H322">
        <v>24</v>
      </c>
      <c r="I322" t="s">
        <v>25</v>
      </c>
      <c r="J322">
        <v>20</v>
      </c>
      <c r="K322" t="s">
        <v>25</v>
      </c>
      <c r="L322">
        <v>8</v>
      </c>
      <c r="M322">
        <v>65144</v>
      </c>
      <c r="N322">
        <v>4</v>
      </c>
    </row>
    <row r="323" spans="1:14" x14ac:dyDescent="0.2">
      <c r="A323" s="3">
        <f t="shared" si="5"/>
        <v>1506</v>
      </c>
      <c r="B323" t="str">
        <f>"00015060014"</f>
        <v>00015060014</v>
      </c>
      <c r="C323" t="s">
        <v>483</v>
      </c>
      <c r="D323" t="s">
        <v>36</v>
      </c>
      <c r="E323">
        <v>51</v>
      </c>
      <c r="F323">
        <v>5927</v>
      </c>
      <c r="G323" t="s">
        <v>484</v>
      </c>
      <c r="H323">
        <v>12</v>
      </c>
      <c r="I323" t="s">
        <v>25</v>
      </c>
      <c r="J323">
        <v>9</v>
      </c>
      <c r="K323" t="s">
        <v>25</v>
      </c>
      <c r="L323">
        <v>8</v>
      </c>
      <c r="M323">
        <v>65128</v>
      </c>
      <c r="N323">
        <v>3</v>
      </c>
    </row>
    <row r="324" spans="1:14" x14ac:dyDescent="0.2">
      <c r="A324" s="3">
        <f t="shared" ref="A324:A387" si="6">(B324-RIGHT(B324,4))/10000</f>
        <v>1507</v>
      </c>
      <c r="B324" t="str">
        <f>"00015070024"</f>
        <v>00015070024</v>
      </c>
      <c r="C324" t="s">
        <v>485</v>
      </c>
      <c r="D324" t="s">
        <v>77</v>
      </c>
      <c r="E324">
        <v>51</v>
      </c>
      <c r="F324">
        <v>3428</v>
      </c>
      <c r="G324" t="s">
        <v>206</v>
      </c>
      <c r="H324">
        <v>32</v>
      </c>
      <c r="I324" t="s">
        <v>25</v>
      </c>
      <c r="J324">
        <v>26</v>
      </c>
      <c r="K324" t="s">
        <v>25</v>
      </c>
      <c r="L324">
        <v>9</v>
      </c>
      <c r="M324">
        <v>62230</v>
      </c>
      <c r="N324">
        <v>6</v>
      </c>
    </row>
    <row r="325" spans="1:14" x14ac:dyDescent="0.2">
      <c r="A325" s="3">
        <f t="shared" si="6"/>
        <v>1513</v>
      </c>
      <c r="B325" t="str">
        <f>"00015130016"</f>
        <v>00015130016</v>
      </c>
      <c r="C325" t="s">
        <v>486</v>
      </c>
      <c r="D325" t="s">
        <v>36</v>
      </c>
      <c r="E325">
        <v>51</v>
      </c>
      <c r="F325">
        <v>2236</v>
      </c>
      <c r="G325" t="s">
        <v>479</v>
      </c>
      <c r="H325">
        <v>12</v>
      </c>
      <c r="I325" t="s">
        <v>25</v>
      </c>
      <c r="J325">
        <v>9</v>
      </c>
      <c r="K325" t="s">
        <v>25</v>
      </c>
      <c r="L325">
        <v>8</v>
      </c>
      <c r="M325">
        <v>65122</v>
      </c>
      <c r="N325">
        <v>3</v>
      </c>
    </row>
    <row r="326" spans="1:14" x14ac:dyDescent="0.2">
      <c r="A326" s="3">
        <f t="shared" si="6"/>
        <v>1522</v>
      </c>
      <c r="B326" t="str">
        <f>"00015220006"</f>
        <v>00015220006</v>
      </c>
      <c r="C326" t="s">
        <v>487</v>
      </c>
      <c r="D326" t="s">
        <v>42</v>
      </c>
      <c r="E326">
        <v>51</v>
      </c>
      <c r="F326">
        <v>2131</v>
      </c>
      <c r="G326" t="s">
        <v>241</v>
      </c>
      <c r="H326">
        <v>120</v>
      </c>
      <c r="I326" t="s">
        <v>34</v>
      </c>
      <c r="J326">
        <v>88</v>
      </c>
      <c r="K326" t="s">
        <v>34</v>
      </c>
      <c r="L326">
        <v>8</v>
      </c>
      <c r="M326">
        <v>65111</v>
      </c>
      <c r="N326">
        <v>32</v>
      </c>
    </row>
    <row r="327" spans="1:14" x14ac:dyDescent="0.2">
      <c r="A327" s="3">
        <f t="shared" si="6"/>
        <v>1529</v>
      </c>
      <c r="B327" t="str">
        <f>"00015290006"</f>
        <v>00015290006</v>
      </c>
      <c r="C327" t="s">
        <v>488</v>
      </c>
      <c r="D327" t="s">
        <v>36</v>
      </c>
      <c r="E327">
        <v>51</v>
      </c>
      <c r="F327">
        <v>5927</v>
      </c>
      <c r="G327" t="s">
        <v>484</v>
      </c>
      <c r="H327">
        <v>24</v>
      </c>
      <c r="I327" t="s">
        <v>25</v>
      </c>
      <c r="J327">
        <v>20</v>
      </c>
      <c r="K327" t="s">
        <v>25</v>
      </c>
      <c r="L327">
        <v>8</v>
      </c>
      <c r="M327">
        <v>65100</v>
      </c>
      <c r="N327">
        <v>4</v>
      </c>
    </row>
    <row r="328" spans="1:14" x14ac:dyDescent="0.2">
      <c r="A328" s="3">
        <f t="shared" si="6"/>
        <v>1530</v>
      </c>
      <c r="B328" t="str">
        <f>"00015300016"</f>
        <v>00015300016</v>
      </c>
      <c r="C328" t="s">
        <v>489</v>
      </c>
      <c r="D328" t="s">
        <v>36</v>
      </c>
      <c r="E328">
        <v>51</v>
      </c>
      <c r="F328">
        <v>2236</v>
      </c>
      <c r="G328" t="s">
        <v>479</v>
      </c>
      <c r="H328">
        <v>12</v>
      </c>
      <c r="I328" t="s">
        <v>25</v>
      </c>
      <c r="J328">
        <v>9</v>
      </c>
      <c r="K328" t="s">
        <v>25</v>
      </c>
      <c r="L328">
        <v>8</v>
      </c>
      <c r="M328">
        <v>65104</v>
      </c>
      <c r="N328">
        <v>3</v>
      </c>
    </row>
    <row r="329" spans="1:14" x14ac:dyDescent="0.2">
      <c r="A329" s="3">
        <f t="shared" si="6"/>
        <v>1549</v>
      </c>
      <c r="B329" t="str">
        <f>"00015490008"</f>
        <v>00015490008</v>
      </c>
      <c r="C329" t="s">
        <v>490</v>
      </c>
      <c r="D329" t="s">
        <v>36</v>
      </c>
      <c r="E329">
        <v>46</v>
      </c>
      <c r="F329">
        <v>4281</v>
      </c>
      <c r="G329" t="s">
        <v>491</v>
      </c>
      <c r="H329">
        <v>12</v>
      </c>
      <c r="I329" t="s">
        <v>25</v>
      </c>
      <c r="J329">
        <v>9</v>
      </c>
      <c r="K329" t="s">
        <v>25</v>
      </c>
      <c r="L329">
        <v>8</v>
      </c>
      <c r="M329">
        <v>73105</v>
      </c>
      <c r="N329">
        <v>2</v>
      </c>
    </row>
    <row r="330" spans="1:14" x14ac:dyDescent="0.2">
      <c r="A330" s="3">
        <f t="shared" si="6"/>
        <v>1550</v>
      </c>
      <c r="B330" t="str">
        <f>"00015500012"</f>
        <v>00015500012</v>
      </c>
      <c r="C330" t="s">
        <v>492</v>
      </c>
      <c r="D330" t="s">
        <v>42</v>
      </c>
      <c r="E330">
        <v>61</v>
      </c>
      <c r="F330">
        <v>8228</v>
      </c>
      <c r="G330" t="s">
        <v>493</v>
      </c>
      <c r="H330" t="s">
        <v>44</v>
      </c>
      <c r="I330" t="s">
        <v>45</v>
      </c>
      <c r="J330" t="s">
        <v>44</v>
      </c>
      <c r="K330" t="s">
        <v>45</v>
      </c>
      <c r="L330">
        <v>8</v>
      </c>
      <c r="M330">
        <v>62032</v>
      </c>
      <c r="N330" t="s">
        <v>46</v>
      </c>
    </row>
    <row r="331" spans="1:14" x14ac:dyDescent="0.2">
      <c r="A331" s="3">
        <f t="shared" si="6"/>
        <v>1551</v>
      </c>
      <c r="B331" t="str">
        <f>"00015510012"</f>
        <v>00015510012</v>
      </c>
      <c r="C331" t="s">
        <v>494</v>
      </c>
      <c r="D331" t="s">
        <v>101</v>
      </c>
      <c r="E331">
        <v>30</v>
      </c>
      <c r="F331">
        <v>8242</v>
      </c>
      <c r="G331" t="s">
        <v>495</v>
      </c>
      <c r="H331">
        <v>15</v>
      </c>
      <c r="I331" t="s">
        <v>34</v>
      </c>
      <c r="J331">
        <v>10</v>
      </c>
      <c r="K331" t="s">
        <v>34</v>
      </c>
      <c r="L331">
        <v>8</v>
      </c>
      <c r="M331">
        <v>82128</v>
      </c>
      <c r="N331">
        <v>5</v>
      </c>
    </row>
    <row r="332" spans="1:14" x14ac:dyDescent="0.2">
      <c r="A332" s="3">
        <f t="shared" si="6"/>
        <v>1558</v>
      </c>
      <c r="B332" t="str">
        <f>"00015580010"</f>
        <v>00015580010</v>
      </c>
      <c r="C332" t="s">
        <v>496</v>
      </c>
      <c r="D332" t="s">
        <v>48</v>
      </c>
      <c r="E332">
        <v>31</v>
      </c>
      <c r="F332">
        <v>1694</v>
      </c>
      <c r="G332" t="s">
        <v>497</v>
      </c>
      <c r="H332">
        <v>21</v>
      </c>
      <c r="I332" t="s">
        <v>34</v>
      </c>
      <c r="J332">
        <v>15</v>
      </c>
      <c r="K332" t="s">
        <v>34</v>
      </c>
      <c r="L332">
        <v>8</v>
      </c>
      <c r="M332">
        <v>84245</v>
      </c>
      <c r="N332">
        <v>6</v>
      </c>
    </row>
    <row r="333" spans="1:14" x14ac:dyDescent="0.2">
      <c r="A333" s="3">
        <f t="shared" si="6"/>
        <v>1563</v>
      </c>
      <c r="B333" t="str">
        <f>"00015630006"</f>
        <v>00015630006</v>
      </c>
      <c r="C333" t="s">
        <v>498</v>
      </c>
      <c r="D333" t="s">
        <v>77</v>
      </c>
      <c r="E333">
        <v>51</v>
      </c>
      <c r="F333">
        <v>3428</v>
      </c>
      <c r="G333" t="s">
        <v>206</v>
      </c>
      <c r="H333">
        <v>32</v>
      </c>
      <c r="I333" t="s">
        <v>25</v>
      </c>
      <c r="J333">
        <v>26</v>
      </c>
      <c r="K333" t="s">
        <v>25</v>
      </c>
      <c r="L333">
        <v>9</v>
      </c>
      <c r="M333">
        <v>72215</v>
      </c>
      <c r="N333">
        <v>6</v>
      </c>
    </row>
    <row r="334" spans="1:14" x14ac:dyDescent="0.2">
      <c r="A334" s="3">
        <f t="shared" si="6"/>
        <v>1569</v>
      </c>
      <c r="B334" t="str">
        <f>"00015690012"</f>
        <v>00015690012</v>
      </c>
      <c r="C334" t="s">
        <v>499</v>
      </c>
      <c r="D334" t="s">
        <v>36</v>
      </c>
      <c r="E334">
        <v>51</v>
      </c>
      <c r="F334">
        <v>2236</v>
      </c>
      <c r="G334" t="s">
        <v>479</v>
      </c>
      <c r="H334">
        <v>24</v>
      </c>
      <c r="I334" t="s">
        <v>25</v>
      </c>
      <c r="J334">
        <v>20</v>
      </c>
      <c r="K334" t="s">
        <v>25</v>
      </c>
      <c r="L334">
        <v>8</v>
      </c>
      <c r="M334">
        <v>65093</v>
      </c>
      <c r="N334">
        <v>4</v>
      </c>
    </row>
    <row r="335" spans="1:14" x14ac:dyDescent="0.2">
      <c r="A335" s="3">
        <f t="shared" si="6"/>
        <v>1570</v>
      </c>
      <c r="B335" t="str">
        <f>"00015700012"</f>
        <v>00015700012</v>
      </c>
      <c r="C335" t="s">
        <v>500</v>
      </c>
      <c r="D335" t="s">
        <v>36</v>
      </c>
      <c r="E335">
        <v>51</v>
      </c>
      <c r="F335">
        <v>2236</v>
      </c>
      <c r="G335" t="s">
        <v>479</v>
      </c>
      <c r="H335">
        <v>24</v>
      </c>
      <c r="I335" t="s">
        <v>25</v>
      </c>
      <c r="J335">
        <v>20</v>
      </c>
      <c r="K335" t="s">
        <v>25</v>
      </c>
      <c r="L335">
        <v>8</v>
      </c>
      <c r="M335">
        <v>65096</v>
      </c>
      <c r="N335">
        <v>4</v>
      </c>
    </row>
    <row r="336" spans="1:14" x14ac:dyDescent="0.2">
      <c r="A336" s="3">
        <f t="shared" si="6"/>
        <v>1577</v>
      </c>
      <c r="B336" t="str">
        <f>"00015770010"</f>
        <v>00015770010</v>
      </c>
      <c r="C336" t="s">
        <v>501</v>
      </c>
      <c r="D336" t="s">
        <v>42</v>
      </c>
      <c r="E336">
        <v>49</v>
      </c>
      <c r="F336">
        <v>2131</v>
      </c>
      <c r="G336" t="s">
        <v>241</v>
      </c>
      <c r="H336">
        <v>8</v>
      </c>
      <c r="I336" t="s">
        <v>25</v>
      </c>
      <c r="J336">
        <v>6</v>
      </c>
      <c r="K336" t="s">
        <v>25</v>
      </c>
      <c r="L336">
        <v>8</v>
      </c>
      <c r="M336">
        <v>66049</v>
      </c>
      <c r="N336">
        <v>2</v>
      </c>
    </row>
    <row r="337" spans="1:14" x14ac:dyDescent="0.2">
      <c r="A337" s="3">
        <f t="shared" si="6"/>
        <v>1578</v>
      </c>
      <c r="B337" t="str">
        <f>"00015780024"</f>
        <v>00015780024</v>
      </c>
      <c r="C337" t="s">
        <v>502</v>
      </c>
      <c r="D337" t="s">
        <v>42</v>
      </c>
      <c r="E337">
        <v>49</v>
      </c>
      <c r="F337">
        <v>2131</v>
      </c>
      <c r="G337" t="s">
        <v>241</v>
      </c>
      <c r="H337">
        <v>6</v>
      </c>
      <c r="I337" t="s">
        <v>25</v>
      </c>
      <c r="J337">
        <v>4</v>
      </c>
      <c r="K337" t="s">
        <v>25</v>
      </c>
      <c r="L337">
        <v>8</v>
      </c>
      <c r="M337">
        <v>66036</v>
      </c>
      <c r="N337">
        <v>2</v>
      </c>
    </row>
    <row r="338" spans="1:14" x14ac:dyDescent="0.2">
      <c r="A338" s="3">
        <f t="shared" si="6"/>
        <v>1579</v>
      </c>
      <c r="B338" t="str">
        <f>"00015790024"</f>
        <v>00015790024</v>
      </c>
      <c r="C338" t="s">
        <v>503</v>
      </c>
      <c r="D338" t="s">
        <v>42</v>
      </c>
      <c r="E338">
        <v>49</v>
      </c>
      <c r="F338">
        <v>2131</v>
      </c>
      <c r="G338" t="s">
        <v>241</v>
      </c>
      <c r="H338">
        <v>6</v>
      </c>
      <c r="I338" t="s">
        <v>25</v>
      </c>
      <c r="J338">
        <v>4</v>
      </c>
      <c r="K338" t="s">
        <v>25</v>
      </c>
      <c r="L338">
        <v>8</v>
      </c>
      <c r="M338">
        <v>66063</v>
      </c>
      <c r="N338">
        <v>2</v>
      </c>
    </row>
    <row r="339" spans="1:14" x14ac:dyDescent="0.2">
      <c r="A339" s="3">
        <f t="shared" si="6"/>
        <v>1580</v>
      </c>
      <c r="B339" t="str">
        <f>"00015800006"</f>
        <v>00015800006</v>
      </c>
      <c r="C339" t="s">
        <v>504</v>
      </c>
      <c r="D339" t="s">
        <v>42</v>
      </c>
      <c r="E339">
        <v>44</v>
      </c>
      <c r="F339">
        <v>344</v>
      </c>
      <c r="G339" t="s">
        <v>425</v>
      </c>
      <c r="H339" t="s">
        <v>44</v>
      </c>
      <c r="I339" t="s">
        <v>45</v>
      </c>
      <c r="J339" t="s">
        <v>44</v>
      </c>
      <c r="K339" t="s">
        <v>45</v>
      </c>
      <c r="L339">
        <v>8</v>
      </c>
      <c r="M339">
        <v>65212</v>
      </c>
      <c r="N339" t="s">
        <v>46</v>
      </c>
    </row>
    <row r="340" spans="1:14" x14ac:dyDescent="0.2">
      <c r="A340" s="3">
        <f t="shared" si="6"/>
        <v>1602</v>
      </c>
      <c r="B340" t="str">
        <f>"00016020012"</f>
        <v>00016020012</v>
      </c>
      <c r="C340" t="s">
        <v>505</v>
      </c>
      <c r="D340" t="s">
        <v>421</v>
      </c>
      <c r="E340">
        <v>52</v>
      </c>
      <c r="F340">
        <v>1205</v>
      </c>
      <c r="G340" t="s">
        <v>325</v>
      </c>
      <c r="H340">
        <v>24</v>
      </c>
      <c r="I340" t="s">
        <v>25</v>
      </c>
      <c r="J340">
        <v>20</v>
      </c>
      <c r="K340" t="s">
        <v>25</v>
      </c>
      <c r="L340">
        <v>8</v>
      </c>
      <c r="M340">
        <v>65052</v>
      </c>
      <c r="N340">
        <v>4</v>
      </c>
    </row>
    <row r="341" spans="1:14" x14ac:dyDescent="0.2">
      <c r="A341" s="3">
        <f t="shared" si="6"/>
        <v>1607</v>
      </c>
      <c r="B341" t="str">
        <f>"00016070012"</f>
        <v>00016070012</v>
      </c>
      <c r="C341" t="s">
        <v>506</v>
      </c>
      <c r="D341" t="s">
        <v>421</v>
      </c>
      <c r="E341">
        <v>52</v>
      </c>
      <c r="F341">
        <v>5942</v>
      </c>
      <c r="G341" t="s">
        <v>507</v>
      </c>
      <c r="H341">
        <v>24</v>
      </c>
      <c r="I341" t="s">
        <v>25</v>
      </c>
      <c r="J341">
        <v>20</v>
      </c>
      <c r="K341" t="s">
        <v>25</v>
      </c>
      <c r="L341">
        <v>8</v>
      </c>
      <c r="M341">
        <v>62204</v>
      </c>
      <c r="N341">
        <v>4</v>
      </c>
    </row>
    <row r="342" spans="1:14" x14ac:dyDescent="0.2">
      <c r="A342" s="3">
        <f t="shared" si="6"/>
        <v>1608</v>
      </c>
      <c r="B342" t="str">
        <f>"00016080012"</f>
        <v>00016080012</v>
      </c>
      <c r="C342" t="s">
        <v>508</v>
      </c>
      <c r="D342" t="s">
        <v>421</v>
      </c>
      <c r="E342">
        <v>52</v>
      </c>
      <c r="F342">
        <v>8025</v>
      </c>
      <c r="G342" t="s">
        <v>509</v>
      </c>
      <c r="H342">
        <v>12</v>
      </c>
      <c r="I342" t="s">
        <v>25</v>
      </c>
      <c r="J342">
        <v>9</v>
      </c>
      <c r="K342" t="s">
        <v>25</v>
      </c>
      <c r="L342">
        <v>8</v>
      </c>
      <c r="M342">
        <v>62206</v>
      </c>
      <c r="N342">
        <v>3</v>
      </c>
    </row>
    <row r="343" spans="1:14" x14ac:dyDescent="0.2">
      <c r="A343" s="3">
        <f t="shared" si="6"/>
        <v>1608</v>
      </c>
      <c r="B343" t="str">
        <f>"00016080012"</f>
        <v>00016080012</v>
      </c>
      <c r="C343" t="s">
        <v>508</v>
      </c>
      <c r="D343" t="s">
        <v>421</v>
      </c>
      <c r="E343">
        <v>52</v>
      </c>
      <c r="F343">
        <v>5942</v>
      </c>
      <c r="G343" t="s">
        <v>507</v>
      </c>
      <c r="H343">
        <v>24</v>
      </c>
      <c r="I343" t="s">
        <v>25</v>
      </c>
      <c r="J343">
        <v>20</v>
      </c>
      <c r="K343" t="s">
        <v>25</v>
      </c>
      <c r="L343">
        <v>8</v>
      </c>
      <c r="M343">
        <v>62206</v>
      </c>
      <c r="N343">
        <v>3</v>
      </c>
    </row>
    <row r="344" spans="1:14" x14ac:dyDescent="0.2">
      <c r="A344" s="3">
        <f t="shared" si="6"/>
        <v>1608</v>
      </c>
      <c r="B344" t="str">
        <f>"00016080012"</f>
        <v>00016080012</v>
      </c>
      <c r="C344" t="s">
        <v>508</v>
      </c>
      <c r="D344" t="s">
        <v>421</v>
      </c>
      <c r="E344">
        <v>52</v>
      </c>
      <c r="F344">
        <v>1504</v>
      </c>
      <c r="G344" t="s">
        <v>510</v>
      </c>
      <c r="H344">
        <v>24</v>
      </c>
      <c r="I344" t="s">
        <v>25</v>
      </c>
      <c r="J344">
        <v>20</v>
      </c>
      <c r="K344" t="s">
        <v>25</v>
      </c>
      <c r="L344">
        <v>8</v>
      </c>
      <c r="M344">
        <v>62206</v>
      </c>
      <c r="N344">
        <v>3</v>
      </c>
    </row>
    <row r="345" spans="1:14" x14ac:dyDescent="0.2">
      <c r="A345" s="3">
        <f t="shared" si="6"/>
        <v>1608</v>
      </c>
      <c r="B345" t="str">
        <f>"00016080012"</f>
        <v>00016080012</v>
      </c>
      <c r="C345" t="s">
        <v>508</v>
      </c>
      <c r="D345" t="s">
        <v>421</v>
      </c>
      <c r="E345">
        <v>52</v>
      </c>
      <c r="F345">
        <v>3253</v>
      </c>
      <c r="G345" t="s">
        <v>511</v>
      </c>
      <c r="H345">
        <v>12</v>
      </c>
      <c r="I345" t="s">
        <v>25</v>
      </c>
      <c r="J345">
        <v>9</v>
      </c>
      <c r="K345" t="s">
        <v>25</v>
      </c>
      <c r="L345">
        <v>8</v>
      </c>
      <c r="M345">
        <v>62206</v>
      </c>
      <c r="N345">
        <v>3</v>
      </c>
    </row>
    <row r="346" spans="1:14" x14ac:dyDescent="0.2">
      <c r="A346" s="3">
        <f t="shared" si="6"/>
        <v>1611</v>
      </c>
      <c r="B346" t="str">
        <f>"00016110012"</f>
        <v>00016110012</v>
      </c>
      <c r="C346" t="s">
        <v>512</v>
      </c>
      <c r="D346" t="s">
        <v>421</v>
      </c>
      <c r="E346">
        <v>52</v>
      </c>
      <c r="F346">
        <v>1504</v>
      </c>
      <c r="G346" t="s">
        <v>510</v>
      </c>
      <c r="H346">
        <v>24</v>
      </c>
      <c r="I346" t="s">
        <v>25</v>
      </c>
      <c r="J346">
        <v>20</v>
      </c>
      <c r="K346" t="s">
        <v>25</v>
      </c>
      <c r="L346">
        <v>8</v>
      </c>
      <c r="M346">
        <v>62212</v>
      </c>
      <c r="N346">
        <v>4</v>
      </c>
    </row>
    <row r="347" spans="1:14" x14ac:dyDescent="0.2">
      <c r="A347" s="3">
        <f t="shared" si="6"/>
        <v>1611</v>
      </c>
      <c r="B347" t="str">
        <f>"00016110012"</f>
        <v>00016110012</v>
      </c>
      <c r="C347" t="s">
        <v>512</v>
      </c>
      <c r="D347" t="s">
        <v>421</v>
      </c>
      <c r="E347">
        <v>52</v>
      </c>
      <c r="F347">
        <v>3253</v>
      </c>
      <c r="G347" t="s">
        <v>511</v>
      </c>
      <c r="H347">
        <v>24</v>
      </c>
      <c r="I347" t="s">
        <v>25</v>
      </c>
      <c r="J347">
        <v>20</v>
      </c>
      <c r="K347" t="s">
        <v>25</v>
      </c>
      <c r="L347">
        <v>8</v>
      </c>
      <c r="M347">
        <v>62212</v>
      </c>
      <c r="N347">
        <v>4</v>
      </c>
    </row>
    <row r="348" spans="1:14" x14ac:dyDescent="0.2">
      <c r="A348" s="3">
        <f t="shared" si="6"/>
        <v>1615</v>
      </c>
      <c r="B348" t="str">
        <f>"00016150012"</f>
        <v>00016150012</v>
      </c>
      <c r="C348" t="s">
        <v>513</v>
      </c>
      <c r="D348" t="s">
        <v>421</v>
      </c>
      <c r="E348">
        <v>52</v>
      </c>
      <c r="F348">
        <v>1205</v>
      </c>
      <c r="G348" t="s">
        <v>325</v>
      </c>
      <c r="H348">
        <v>24</v>
      </c>
      <c r="I348" t="s">
        <v>25</v>
      </c>
      <c r="J348">
        <v>20</v>
      </c>
      <c r="K348" t="s">
        <v>25</v>
      </c>
      <c r="L348">
        <v>8</v>
      </c>
      <c r="M348">
        <v>62265</v>
      </c>
      <c r="N348">
        <v>4</v>
      </c>
    </row>
    <row r="349" spans="1:14" x14ac:dyDescent="0.2">
      <c r="A349" s="3">
        <f t="shared" si="6"/>
        <v>1615</v>
      </c>
      <c r="B349" t="str">
        <f>"00016150012"</f>
        <v>00016150012</v>
      </c>
      <c r="C349" t="s">
        <v>513</v>
      </c>
      <c r="D349" t="s">
        <v>421</v>
      </c>
      <c r="E349">
        <v>52</v>
      </c>
      <c r="F349">
        <v>3253</v>
      </c>
      <c r="G349" t="s">
        <v>511</v>
      </c>
      <c r="H349">
        <v>24</v>
      </c>
      <c r="I349" t="s">
        <v>25</v>
      </c>
      <c r="J349">
        <v>20</v>
      </c>
      <c r="K349" t="s">
        <v>25</v>
      </c>
      <c r="L349">
        <v>8</v>
      </c>
      <c r="M349">
        <v>62265</v>
      </c>
      <c r="N349">
        <v>4</v>
      </c>
    </row>
    <row r="350" spans="1:14" x14ac:dyDescent="0.2">
      <c r="A350" s="3">
        <f t="shared" si="6"/>
        <v>1623</v>
      </c>
      <c r="B350" t="str">
        <f>"00016230012"</f>
        <v>00016230012</v>
      </c>
      <c r="C350" t="s">
        <v>514</v>
      </c>
      <c r="D350" t="s">
        <v>421</v>
      </c>
      <c r="E350">
        <v>52</v>
      </c>
      <c r="F350">
        <v>1205</v>
      </c>
      <c r="G350" t="s">
        <v>325</v>
      </c>
      <c r="H350">
        <v>24</v>
      </c>
      <c r="I350" t="s">
        <v>25</v>
      </c>
      <c r="J350">
        <v>20</v>
      </c>
      <c r="K350" t="s">
        <v>25</v>
      </c>
      <c r="L350">
        <v>8</v>
      </c>
      <c r="M350">
        <v>62269</v>
      </c>
      <c r="N350">
        <v>4</v>
      </c>
    </row>
    <row r="351" spans="1:14" x14ac:dyDescent="0.2">
      <c r="A351" s="3">
        <f t="shared" si="6"/>
        <v>1623</v>
      </c>
      <c r="B351" t="str">
        <f>"00016230012"</f>
        <v>00016230012</v>
      </c>
      <c r="C351" t="s">
        <v>514</v>
      </c>
      <c r="D351" t="s">
        <v>421</v>
      </c>
      <c r="E351">
        <v>52</v>
      </c>
      <c r="F351">
        <v>3253</v>
      </c>
      <c r="G351" t="s">
        <v>511</v>
      </c>
      <c r="H351">
        <v>24</v>
      </c>
      <c r="I351" t="s">
        <v>25</v>
      </c>
      <c r="J351">
        <v>20</v>
      </c>
      <c r="K351" t="s">
        <v>25</v>
      </c>
      <c r="L351">
        <v>8</v>
      </c>
      <c r="M351">
        <v>62269</v>
      </c>
      <c r="N351">
        <v>4</v>
      </c>
    </row>
    <row r="352" spans="1:14" x14ac:dyDescent="0.2">
      <c r="A352" s="3">
        <f t="shared" si="6"/>
        <v>1624</v>
      </c>
      <c r="B352" t="str">
        <f>"00016240012"</f>
        <v>00016240012</v>
      </c>
      <c r="C352" t="s">
        <v>515</v>
      </c>
      <c r="D352" t="s">
        <v>421</v>
      </c>
      <c r="E352">
        <v>52</v>
      </c>
      <c r="F352">
        <v>8025</v>
      </c>
      <c r="G352" t="s">
        <v>509</v>
      </c>
      <c r="H352">
        <v>24</v>
      </c>
      <c r="I352" t="s">
        <v>25</v>
      </c>
      <c r="J352">
        <v>20</v>
      </c>
      <c r="K352" t="s">
        <v>25</v>
      </c>
      <c r="L352">
        <v>8</v>
      </c>
      <c r="M352">
        <v>62208</v>
      </c>
      <c r="N352">
        <v>4</v>
      </c>
    </row>
    <row r="353" spans="1:14" x14ac:dyDescent="0.2">
      <c r="A353" s="3">
        <f t="shared" si="6"/>
        <v>1624</v>
      </c>
      <c r="B353" t="str">
        <f>"00016240012"</f>
        <v>00016240012</v>
      </c>
      <c r="C353" t="s">
        <v>515</v>
      </c>
      <c r="D353" t="s">
        <v>421</v>
      </c>
      <c r="E353">
        <v>52</v>
      </c>
      <c r="F353">
        <v>5942</v>
      </c>
      <c r="G353" t="s">
        <v>507</v>
      </c>
      <c r="H353">
        <v>24</v>
      </c>
      <c r="I353" t="s">
        <v>25</v>
      </c>
      <c r="J353">
        <v>20</v>
      </c>
      <c r="K353" t="s">
        <v>25</v>
      </c>
      <c r="L353">
        <v>8</v>
      </c>
      <c r="M353">
        <v>62208</v>
      </c>
      <c r="N353">
        <v>4</v>
      </c>
    </row>
    <row r="354" spans="1:14" x14ac:dyDescent="0.2">
      <c r="A354" s="3">
        <f t="shared" si="6"/>
        <v>1624</v>
      </c>
      <c r="B354" t="str">
        <f>"00016240012"</f>
        <v>00016240012</v>
      </c>
      <c r="C354" t="s">
        <v>515</v>
      </c>
      <c r="D354" t="s">
        <v>421</v>
      </c>
      <c r="E354">
        <v>52</v>
      </c>
      <c r="F354">
        <v>1504</v>
      </c>
      <c r="G354" t="s">
        <v>510</v>
      </c>
      <c r="H354">
        <v>30</v>
      </c>
      <c r="I354" t="s">
        <v>25</v>
      </c>
      <c r="J354">
        <v>24</v>
      </c>
      <c r="K354" t="s">
        <v>25</v>
      </c>
      <c r="L354">
        <v>8</v>
      </c>
      <c r="M354">
        <v>62208</v>
      </c>
      <c r="N354">
        <v>4</v>
      </c>
    </row>
    <row r="355" spans="1:14" x14ac:dyDescent="0.2">
      <c r="A355" s="3">
        <f t="shared" si="6"/>
        <v>1624</v>
      </c>
      <c r="B355" t="str">
        <f>"00016240012"</f>
        <v>00016240012</v>
      </c>
      <c r="C355" t="s">
        <v>515</v>
      </c>
      <c r="D355" t="s">
        <v>421</v>
      </c>
      <c r="E355">
        <v>52</v>
      </c>
      <c r="F355">
        <v>3253</v>
      </c>
      <c r="G355" t="s">
        <v>511</v>
      </c>
      <c r="H355">
        <v>24</v>
      </c>
      <c r="I355" t="s">
        <v>25</v>
      </c>
      <c r="J355">
        <v>20</v>
      </c>
      <c r="K355" t="s">
        <v>25</v>
      </c>
      <c r="L355">
        <v>8</v>
      </c>
      <c r="M355">
        <v>62208</v>
      </c>
      <c r="N355">
        <v>4</v>
      </c>
    </row>
    <row r="356" spans="1:14" x14ac:dyDescent="0.2">
      <c r="A356" s="3">
        <f t="shared" si="6"/>
        <v>1630</v>
      </c>
      <c r="B356" t="str">
        <f>"00016300018"</f>
        <v>00016300018</v>
      </c>
      <c r="C356" t="s">
        <v>516</v>
      </c>
      <c r="D356" t="s">
        <v>77</v>
      </c>
      <c r="E356">
        <v>52</v>
      </c>
      <c r="F356">
        <v>4371</v>
      </c>
      <c r="G356" t="s">
        <v>517</v>
      </c>
      <c r="H356">
        <v>60</v>
      </c>
      <c r="I356" t="s">
        <v>34</v>
      </c>
      <c r="J356">
        <v>44</v>
      </c>
      <c r="K356" t="s">
        <v>34</v>
      </c>
      <c r="L356">
        <v>8</v>
      </c>
      <c r="M356">
        <v>66111</v>
      </c>
      <c r="N356">
        <v>16</v>
      </c>
    </row>
    <row r="357" spans="1:14" x14ac:dyDescent="0.2">
      <c r="A357" s="3">
        <f t="shared" si="6"/>
        <v>1632</v>
      </c>
      <c r="B357" t="str">
        <f>"00016320012"</f>
        <v>00016320012</v>
      </c>
      <c r="C357" t="s">
        <v>518</v>
      </c>
      <c r="D357" t="s">
        <v>421</v>
      </c>
      <c r="E357">
        <v>52</v>
      </c>
      <c r="F357">
        <v>1205</v>
      </c>
      <c r="G357" t="s">
        <v>325</v>
      </c>
      <c r="H357">
        <v>24</v>
      </c>
      <c r="I357" t="s">
        <v>25</v>
      </c>
      <c r="J357">
        <v>20</v>
      </c>
      <c r="K357" t="s">
        <v>25</v>
      </c>
      <c r="L357">
        <v>8</v>
      </c>
      <c r="M357">
        <v>65045</v>
      </c>
      <c r="N357">
        <v>4</v>
      </c>
    </row>
    <row r="358" spans="1:14" x14ac:dyDescent="0.2">
      <c r="A358" s="3">
        <f t="shared" si="6"/>
        <v>1632</v>
      </c>
      <c r="B358" t="str">
        <f>"00016320012"</f>
        <v>00016320012</v>
      </c>
      <c r="C358" t="s">
        <v>518</v>
      </c>
      <c r="D358" t="s">
        <v>421</v>
      </c>
      <c r="E358">
        <v>52</v>
      </c>
      <c r="F358">
        <v>5942</v>
      </c>
      <c r="G358" t="s">
        <v>507</v>
      </c>
      <c r="H358">
        <v>36</v>
      </c>
      <c r="I358" t="s">
        <v>25</v>
      </c>
      <c r="J358">
        <v>30</v>
      </c>
      <c r="K358" t="s">
        <v>25</v>
      </c>
      <c r="L358">
        <v>8</v>
      </c>
      <c r="M358">
        <v>65045</v>
      </c>
      <c r="N358">
        <v>4</v>
      </c>
    </row>
    <row r="359" spans="1:14" x14ac:dyDescent="0.2">
      <c r="A359" s="3">
        <f t="shared" si="6"/>
        <v>1632</v>
      </c>
      <c r="B359" t="str">
        <f>"00016320012"</f>
        <v>00016320012</v>
      </c>
      <c r="C359" t="s">
        <v>518</v>
      </c>
      <c r="D359" t="s">
        <v>421</v>
      </c>
      <c r="E359">
        <v>52</v>
      </c>
      <c r="F359">
        <v>3253</v>
      </c>
      <c r="G359" t="s">
        <v>511</v>
      </c>
      <c r="H359">
        <v>24</v>
      </c>
      <c r="I359" t="s">
        <v>25</v>
      </c>
      <c r="J359">
        <v>20</v>
      </c>
      <c r="K359" t="s">
        <v>25</v>
      </c>
      <c r="L359">
        <v>8</v>
      </c>
      <c r="M359">
        <v>65045</v>
      </c>
      <c r="N359">
        <v>4</v>
      </c>
    </row>
    <row r="360" spans="1:14" x14ac:dyDescent="0.2">
      <c r="A360" s="3">
        <f t="shared" si="6"/>
        <v>1638</v>
      </c>
      <c r="B360" t="str">
        <f>"00016380012"</f>
        <v>00016380012</v>
      </c>
      <c r="C360" t="s">
        <v>519</v>
      </c>
      <c r="D360" t="s">
        <v>421</v>
      </c>
      <c r="E360">
        <v>52</v>
      </c>
      <c r="F360">
        <v>1205</v>
      </c>
      <c r="G360" t="s">
        <v>325</v>
      </c>
      <c r="H360">
        <v>12</v>
      </c>
      <c r="I360" t="s">
        <v>25</v>
      </c>
      <c r="J360">
        <v>9</v>
      </c>
      <c r="K360" t="s">
        <v>25</v>
      </c>
      <c r="L360">
        <v>8</v>
      </c>
      <c r="M360">
        <v>65054</v>
      </c>
      <c r="N360">
        <v>3</v>
      </c>
    </row>
    <row r="361" spans="1:14" x14ac:dyDescent="0.2">
      <c r="A361" s="3">
        <f t="shared" si="6"/>
        <v>1639</v>
      </c>
      <c r="B361" t="str">
        <f>"00016390020"</f>
        <v>00016390020</v>
      </c>
      <c r="C361" t="s">
        <v>520</v>
      </c>
      <c r="D361" t="s">
        <v>36</v>
      </c>
      <c r="E361">
        <v>71</v>
      </c>
      <c r="F361">
        <v>1301</v>
      </c>
      <c r="G361" t="s">
        <v>521</v>
      </c>
      <c r="H361">
        <v>108</v>
      </c>
      <c r="I361" t="s">
        <v>34</v>
      </c>
      <c r="J361">
        <v>80</v>
      </c>
      <c r="K361" t="s">
        <v>34</v>
      </c>
      <c r="L361">
        <v>8</v>
      </c>
      <c r="M361">
        <v>74204</v>
      </c>
      <c r="N361">
        <v>28</v>
      </c>
    </row>
    <row r="362" spans="1:14" x14ac:dyDescent="0.2">
      <c r="A362" s="3">
        <f t="shared" si="6"/>
        <v>1640</v>
      </c>
      <c r="B362" t="str">
        <f>"00016400009"</f>
        <v>00016400009</v>
      </c>
      <c r="C362" t="s">
        <v>522</v>
      </c>
      <c r="D362" t="s">
        <v>77</v>
      </c>
      <c r="E362">
        <v>52</v>
      </c>
      <c r="F362">
        <v>4371</v>
      </c>
      <c r="G362" t="s">
        <v>517</v>
      </c>
      <c r="H362">
        <v>60</v>
      </c>
      <c r="I362" t="s">
        <v>34</v>
      </c>
      <c r="J362">
        <v>44</v>
      </c>
      <c r="K362" t="s">
        <v>34</v>
      </c>
      <c r="L362">
        <v>8</v>
      </c>
      <c r="M362">
        <v>66116</v>
      </c>
      <c r="N362">
        <v>16</v>
      </c>
    </row>
    <row r="363" spans="1:14" x14ac:dyDescent="0.2">
      <c r="A363" s="3">
        <f t="shared" si="6"/>
        <v>1643</v>
      </c>
      <c r="B363" t="str">
        <f>"00016430036"</f>
        <v>00016430036</v>
      </c>
      <c r="C363" t="s">
        <v>523</v>
      </c>
      <c r="D363" t="s">
        <v>36</v>
      </c>
      <c r="E363">
        <v>47</v>
      </c>
      <c r="F363">
        <v>389</v>
      </c>
      <c r="G363" t="s">
        <v>37</v>
      </c>
      <c r="H363">
        <v>6</v>
      </c>
      <c r="I363" t="s">
        <v>25</v>
      </c>
      <c r="J363">
        <v>4</v>
      </c>
      <c r="K363" t="s">
        <v>25</v>
      </c>
      <c r="L363">
        <v>8</v>
      </c>
      <c r="M363">
        <v>67023</v>
      </c>
      <c r="N363">
        <v>2</v>
      </c>
    </row>
    <row r="364" spans="1:14" x14ac:dyDescent="0.2">
      <c r="A364" s="3">
        <f t="shared" si="6"/>
        <v>1645</v>
      </c>
      <c r="B364" t="str">
        <f>"00016450016"</f>
        <v>00016450016</v>
      </c>
      <c r="C364" t="s">
        <v>524</v>
      </c>
      <c r="D364" t="s">
        <v>172</v>
      </c>
      <c r="E364">
        <v>43</v>
      </c>
      <c r="F364">
        <v>8140</v>
      </c>
      <c r="G364" t="s">
        <v>525</v>
      </c>
      <c r="H364">
        <v>21</v>
      </c>
      <c r="I364" t="s">
        <v>34</v>
      </c>
      <c r="J364">
        <v>15</v>
      </c>
      <c r="K364" t="s">
        <v>34</v>
      </c>
      <c r="L364">
        <v>8</v>
      </c>
      <c r="M364">
        <v>66094</v>
      </c>
      <c r="N364">
        <v>5</v>
      </c>
    </row>
    <row r="365" spans="1:14" x14ac:dyDescent="0.2">
      <c r="A365" s="3">
        <f t="shared" si="6"/>
        <v>1647</v>
      </c>
      <c r="B365" t="str">
        <f>"00016470012"</f>
        <v>00016470012</v>
      </c>
      <c r="C365" t="s">
        <v>526</v>
      </c>
      <c r="D365" t="s">
        <v>421</v>
      </c>
      <c r="E365">
        <v>52</v>
      </c>
      <c r="F365">
        <v>1205</v>
      </c>
      <c r="G365" t="s">
        <v>325</v>
      </c>
      <c r="H365">
        <v>20</v>
      </c>
      <c r="I365" t="s">
        <v>25</v>
      </c>
      <c r="J365">
        <v>16</v>
      </c>
      <c r="K365" t="s">
        <v>25</v>
      </c>
      <c r="L365">
        <v>8</v>
      </c>
      <c r="M365">
        <v>62217</v>
      </c>
      <c r="N365">
        <v>4</v>
      </c>
    </row>
    <row r="366" spans="1:14" x14ac:dyDescent="0.2">
      <c r="A366" s="3">
        <f t="shared" si="6"/>
        <v>1647</v>
      </c>
      <c r="B366" t="str">
        <f>"00016470012"</f>
        <v>00016470012</v>
      </c>
      <c r="C366" t="s">
        <v>526</v>
      </c>
      <c r="D366" t="s">
        <v>421</v>
      </c>
      <c r="E366">
        <v>52</v>
      </c>
      <c r="F366">
        <v>8025</v>
      </c>
      <c r="G366" t="s">
        <v>509</v>
      </c>
      <c r="H366">
        <v>20</v>
      </c>
      <c r="I366" t="s">
        <v>25</v>
      </c>
      <c r="J366">
        <v>16</v>
      </c>
      <c r="K366" t="s">
        <v>25</v>
      </c>
      <c r="L366">
        <v>8</v>
      </c>
      <c r="M366">
        <v>62217</v>
      </c>
      <c r="N366">
        <v>4</v>
      </c>
    </row>
    <row r="367" spans="1:14" x14ac:dyDescent="0.2">
      <c r="A367" s="3">
        <f t="shared" si="6"/>
        <v>1647</v>
      </c>
      <c r="B367" t="str">
        <f>"00016470012"</f>
        <v>00016470012</v>
      </c>
      <c r="C367" t="s">
        <v>526</v>
      </c>
      <c r="D367" t="s">
        <v>421</v>
      </c>
      <c r="E367">
        <v>52</v>
      </c>
      <c r="F367">
        <v>5942</v>
      </c>
      <c r="G367" t="s">
        <v>507</v>
      </c>
      <c r="H367">
        <v>24</v>
      </c>
      <c r="I367" t="s">
        <v>25</v>
      </c>
      <c r="J367">
        <v>20</v>
      </c>
      <c r="K367" t="s">
        <v>25</v>
      </c>
      <c r="L367">
        <v>8</v>
      </c>
      <c r="M367">
        <v>62217</v>
      </c>
      <c r="N367">
        <v>4</v>
      </c>
    </row>
    <row r="368" spans="1:14" x14ac:dyDescent="0.2">
      <c r="A368" s="3">
        <f t="shared" si="6"/>
        <v>1647</v>
      </c>
      <c r="B368" t="str">
        <f>"00016470012"</f>
        <v>00016470012</v>
      </c>
      <c r="C368" t="s">
        <v>526</v>
      </c>
      <c r="D368" t="s">
        <v>421</v>
      </c>
      <c r="E368">
        <v>52</v>
      </c>
      <c r="F368">
        <v>1504</v>
      </c>
      <c r="G368" t="s">
        <v>510</v>
      </c>
      <c r="H368">
        <v>24</v>
      </c>
      <c r="I368" t="s">
        <v>25</v>
      </c>
      <c r="J368">
        <v>20</v>
      </c>
      <c r="K368" t="s">
        <v>25</v>
      </c>
      <c r="L368">
        <v>8</v>
      </c>
      <c r="M368">
        <v>62217</v>
      </c>
      <c r="N368">
        <v>4</v>
      </c>
    </row>
    <row r="369" spans="1:14" x14ac:dyDescent="0.2">
      <c r="A369" s="3">
        <f t="shared" si="6"/>
        <v>1647</v>
      </c>
      <c r="B369" t="str">
        <f>"00016470012"</f>
        <v>00016470012</v>
      </c>
      <c r="C369" t="s">
        <v>526</v>
      </c>
      <c r="D369" t="s">
        <v>421</v>
      </c>
      <c r="E369">
        <v>52</v>
      </c>
      <c r="F369">
        <v>3253</v>
      </c>
      <c r="G369" t="s">
        <v>511</v>
      </c>
      <c r="H369">
        <v>24</v>
      </c>
      <c r="I369" t="s">
        <v>25</v>
      </c>
      <c r="J369">
        <v>20</v>
      </c>
      <c r="K369" t="s">
        <v>25</v>
      </c>
      <c r="L369">
        <v>8</v>
      </c>
      <c r="M369">
        <v>62217</v>
      </c>
      <c r="N369">
        <v>4</v>
      </c>
    </row>
    <row r="370" spans="1:14" x14ac:dyDescent="0.2">
      <c r="A370" s="3">
        <f t="shared" si="6"/>
        <v>1648</v>
      </c>
      <c r="B370" t="str">
        <f>"00016480004"</f>
        <v>00016480004</v>
      </c>
      <c r="C370" t="s">
        <v>527</v>
      </c>
      <c r="D370" t="s">
        <v>337</v>
      </c>
      <c r="E370">
        <v>33</v>
      </c>
      <c r="F370">
        <v>6968</v>
      </c>
      <c r="G370" t="s">
        <v>410</v>
      </c>
      <c r="H370">
        <v>7</v>
      </c>
      <c r="I370" t="s">
        <v>34</v>
      </c>
      <c r="J370">
        <v>5</v>
      </c>
      <c r="K370" t="s">
        <v>34</v>
      </c>
      <c r="L370">
        <v>8</v>
      </c>
      <c r="M370">
        <v>91117</v>
      </c>
      <c r="N370">
        <v>2</v>
      </c>
    </row>
    <row r="371" spans="1:14" x14ac:dyDescent="0.2">
      <c r="A371" s="3">
        <f t="shared" si="6"/>
        <v>1649</v>
      </c>
      <c r="B371" t="str">
        <f>"00016490012"</f>
        <v>00016490012</v>
      </c>
      <c r="C371" t="s">
        <v>528</v>
      </c>
      <c r="D371" t="s">
        <v>421</v>
      </c>
      <c r="E371">
        <v>52</v>
      </c>
      <c r="F371">
        <v>8025</v>
      </c>
      <c r="G371" t="s">
        <v>509</v>
      </c>
      <c r="H371">
        <v>24</v>
      </c>
      <c r="I371" t="s">
        <v>25</v>
      </c>
      <c r="J371">
        <v>20</v>
      </c>
      <c r="K371" t="s">
        <v>25</v>
      </c>
      <c r="L371">
        <v>8</v>
      </c>
      <c r="M371">
        <v>62228</v>
      </c>
      <c r="N371">
        <v>4</v>
      </c>
    </row>
    <row r="372" spans="1:14" x14ac:dyDescent="0.2">
      <c r="A372" s="3">
        <f t="shared" si="6"/>
        <v>1649</v>
      </c>
      <c r="B372" t="str">
        <f>"00016490012"</f>
        <v>00016490012</v>
      </c>
      <c r="C372" t="s">
        <v>528</v>
      </c>
      <c r="D372" t="s">
        <v>421</v>
      </c>
      <c r="E372">
        <v>52</v>
      </c>
      <c r="F372">
        <v>5942</v>
      </c>
      <c r="G372" t="s">
        <v>507</v>
      </c>
      <c r="H372">
        <v>24</v>
      </c>
      <c r="I372" t="s">
        <v>25</v>
      </c>
      <c r="J372">
        <v>20</v>
      </c>
      <c r="K372" t="s">
        <v>25</v>
      </c>
      <c r="L372">
        <v>8</v>
      </c>
      <c r="M372">
        <v>62228</v>
      </c>
      <c r="N372">
        <v>4</v>
      </c>
    </row>
    <row r="373" spans="1:14" x14ac:dyDescent="0.2">
      <c r="A373" s="3">
        <f t="shared" si="6"/>
        <v>1649</v>
      </c>
      <c r="B373" t="str">
        <f>"00016490012"</f>
        <v>00016490012</v>
      </c>
      <c r="C373" t="s">
        <v>528</v>
      </c>
      <c r="D373" t="s">
        <v>421</v>
      </c>
      <c r="E373">
        <v>52</v>
      </c>
      <c r="F373">
        <v>1504</v>
      </c>
      <c r="G373" t="s">
        <v>510</v>
      </c>
      <c r="H373">
        <v>24</v>
      </c>
      <c r="I373" t="s">
        <v>25</v>
      </c>
      <c r="J373">
        <v>20</v>
      </c>
      <c r="K373" t="s">
        <v>25</v>
      </c>
      <c r="L373">
        <v>8</v>
      </c>
      <c r="M373">
        <v>62228</v>
      </c>
      <c r="N373">
        <v>4</v>
      </c>
    </row>
    <row r="374" spans="1:14" x14ac:dyDescent="0.2">
      <c r="A374" s="3">
        <f t="shared" si="6"/>
        <v>1649</v>
      </c>
      <c r="B374" t="str">
        <f>"00016490012"</f>
        <v>00016490012</v>
      </c>
      <c r="C374" t="s">
        <v>528</v>
      </c>
      <c r="D374" t="s">
        <v>421</v>
      </c>
      <c r="E374">
        <v>52</v>
      </c>
      <c r="F374">
        <v>3253</v>
      </c>
      <c r="G374" t="s">
        <v>511</v>
      </c>
      <c r="H374">
        <v>24</v>
      </c>
      <c r="I374" t="s">
        <v>25</v>
      </c>
      <c r="J374">
        <v>20</v>
      </c>
      <c r="K374" t="s">
        <v>25</v>
      </c>
      <c r="L374">
        <v>8</v>
      </c>
      <c r="M374">
        <v>62228</v>
      </c>
      <c r="N374">
        <v>4</v>
      </c>
    </row>
    <row r="375" spans="1:14" x14ac:dyDescent="0.2">
      <c r="A375" s="3">
        <f t="shared" si="6"/>
        <v>1650</v>
      </c>
      <c r="B375" t="str">
        <f>"00016500012"</f>
        <v>00016500012</v>
      </c>
      <c r="C375" t="s">
        <v>529</v>
      </c>
      <c r="D375" t="s">
        <v>421</v>
      </c>
      <c r="E375">
        <v>52</v>
      </c>
      <c r="F375">
        <v>8025</v>
      </c>
      <c r="G375" t="s">
        <v>509</v>
      </c>
      <c r="H375">
        <v>24</v>
      </c>
      <c r="I375" t="s">
        <v>25</v>
      </c>
      <c r="J375">
        <v>20</v>
      </c>
      <c r="K375" t="s">
        <v>25</v>
      </c>
      <c r="L375">
        <v>8</v>
      </c>
      <c r="M375">
        <v>62221</v>
      </c>
      <c r="N375">
        <v>4</v>
      </c>
    </row>
    <row r="376" spans="1:14" x14ac:dyDescent="0.2">
      <c r="A376" s="3">
        <f t="shared" si="6"/>
        <v>1650</v>
      </c>
      <c r="B376" t="str">
        <f>"00016500012"</f>
        <v>00016500012</v>
      </c>
      <c r="C376" t="s">
        <v>529</v>
      </c>
      <c r="D376" t="s">
        <v>421</v>
      </c>
      <c r="E376">
        <v>52</v>
      </c>
      <c r="F376">
        <v>5942</v>
      </c>
      <c r="G376" t="s">
        <v>507</v>
      </c>
      <c r="H376">
        <v>24</v>
      </c>
      <c r="I376" t="s">
        <v>25</v>
      </c>
      <c r="J376">
        <v>20</v>
      </c>
      <c r="K376" t="s">
        <v>25</v>
      </c>
      <c r="L376">
        <v>8</v>
      </c>
      <c r="M376">
        <v>62221</v>
      </c>
      <c r="N376">
        <v>4</v>
      </c>
    </row>
    <row r="377" spans="1:14" x14ac:dyDescent="0.2">
      <c r="A377" s="3">
        <f t="shared" si="6"/>
        <v>1650</v>
      </c>
      <c r="B377" t="str">
        <f>"00016500012"</f>
        <v>00016500012</v>
      </c>
      <c r="C377" t="s">
        <v>529</v>
      </c>
      <c r="D377" t="s">
        <v>421</v>
      </c>
      <c r="E377">
        <v>52</v>
      </c>
      <c r="F377">
        <v>1504</v>
      </c>
      <c r="G377" t="s">
        <v>510</v>
      </c>
      <c r="H377">
        <v>24</v>
      </c>
      <c r="I377" t="s">
        <v>25</v>
      </c>
      <c r="J377">
        <v>20</v>
      </c>
      <c r="K377" t="s">
        <v>25</v>
      </c>
      <c r="L377">
        <v>8</v>
      </c>
      <c r="M377">
        <v>62221</v>
      </c>
      <c r="N377">
        <v>4</v>
      </c>
    </row>
    <row r="378" spans="1:14" x14ac:dyDescent="0.2">
      <c r="A378" s="3">
        <f t="shared" si="6"/>
        <v>1650</v>
      </c>
      <c r="B378" t="str">
        <f>"00016500012"</f>
        <v>00016500012</v>
      </c>
      <c r="C378" t="s">
        <v>529</v>
      </c>
      <c r="D378" t="s">
        <v>421</v>
      </c>
      <c r="E378">
        <v>52</v>
      </c>
      <c r="F378">
        <v>3253</v>
      </c>
      <c r="G378" t="s">
        <v>511</v>
      </c>
      <c r="H378">
        <v>24</v>
      </c>
      <c r="I378" t="s">
        <v>25</v>
      </c>
      <c r="J378">
        <v>20</v>
      </c>
      <c r="K378" t="s">
        <v>25</v>
      </c>
      <c r="L378">
        <v>8</v>
      </c>
      <c r="M378">
        <v>62221</v>
      </c>
      <c r="N378">
        <v>4</v>
      </c>
    </row>
    <row r="379" spans="1:14" x14ac:dyDescent="0.2">
      <c r="A379" s="3">
        <f t="shared" si="6"/>
        <v>1652</v>
      </c>
      <c r="B379" t="str">
        <f>"00016520012"</f>
        <v>00016520012</v>
      </c>
      <c r="C379" t="s">
        <v>530</v>
      </c>
      <c r="D379" t="s">
        <v>421</v>
      </c>
      <c r="E379">
        <v>52</v>
      </c>
      <c r="F379">
        <v>1205</v>
      </c>
      <c r="G379" t="s">
        <v>325</v>
      </c>
      <c r="H379">
        <v>14</v>
      </c>
      <c r="I379" t="s">
        <v>25</v>
      </c>
      <c r="J379">
        <v>11</v>
      </c>
      <c r="K379" t="s">
        <v>25</v>
      </c>
      <c r="L379">
        <v>8</v>
      </c>
      <c r="M379">
        <v>62201</v>
      </c>
      <c r="N379">
        <v>3</v>
      </c>
    </row>
    <row r="380" spans="1:14" x14ac:dyDescent="0.2">
      <c r="A380" s="3">
        <f t="shared" si="6"/>
        <v>1653</v>
      </c>
      <c r="B380" t="str">
        <f>"00016530012"</f>
        <v>00016530012</v>
      </c>
      <c r="C380" t="s">
        <v>531</v>
      </c>
      <c r="D380" t="s">
        <v>431</v>
      </c>
      <c r="E380">
        <v>52</v>
      </c>
      <c r="F380">
        <v>5983</v>
      </c>
      <c r="G380" t="s">
        <v>532</v>
      </c>
      <c r="H380">
        <v>24</v>
      </c>
      <c r="I380" t="s">
        <v>25</v>
      </c>
      <c r="J380">
        <v>20</v>
      </c>
      <c r="K380" t="s">
        <v>25</v>
      </c>
      <c r="L380">
        <v>8</v>
      </c>
      <c r="M380">
        <v>65001</v>
      </c>
      <c r="N380">
        <v>4</v>
      </c>
    </row>
    <row r="381" spans="1:14" x14ac:dyDescent="0.2">
      <c r="A381" s="3">
        <f t="shared" si="6"/>
        <v>1654</v>
      </c>
      <c r="B381" t="str">
        <f>"00016540012"</f>
        <v>00016540012</v>
      </c>
      <c r="C381" t="s">
        <v>533</v>
      </c>
      <c r="D381" t="s">
        <v>431</v>
      </c>
      <c r="E381">
        <v>52</v>
      </c>
      <c r="F381">
        <v>5983</v>
      </c>
      <c r="G381" t="s">
        <v>532</v>
      </c>
      <c r="H381">
        <v>24</v>
      </c>
      <c r="I381" t="s">
        <v>25</v>
      </c>
      <c r="J381">
        <v>20</v>
      </c>
      <c r="K381" t="s">
        <v>25</v>
      </c>
      <c r="L381">
        <v>8</v>
      </c>
      <c r="M381">
        <v>65010</v>
      </c>
      <c r="N381">
        <v>4</v>
      </c>
    </row>
    <row r="382" spans="1:14" x14ac:dyDescent="0.2">
      <c r="A382" s="3">
        <f t="shared" si="6"/>
        <v>1655</v>
      </c>
      <c r="B382" t="str">
        <f>"00016550012"</f>
        <v>00016550012</v>
      </c>
      <c r="C382" t="s">
        <v>534</v>
      </c>
      <c r="D382" t="s">
        <v>421</v>
      </c>
      <c r="E382">
        <v>52</v>
      </c>
      <c r="F382">
        <v>1205</v>
      </c>
      <c r="G382" t="s">
        <v>325</v>
      </c>
      <c r="H382">
        <v>24</v>
      </c>
      <c r="I382" t="s">
        <v>25</v>
      </c>
      <c r="J382">
        <v>20</v>
      </c>
      <c r="K382" t="s">
        <v>25</v>
      </c>
      <c r="L382">
        <v>8</v>
      </c>
      <c r="M382">
        <v>65058</v>
      </c>
      <c r="N382">
        <v>4</v>
      </c>
    </row>
    <row r="383" spans="1:14" x14ac:dyDescent="0.2">
      <c r="A383" s="3">
        <f t="shared" si="6"/>
        <v>1684</v>
      </c>
      <c r="B383" t="str">
        <f>"00016840012"</f>
        <v>00016840012</v>
      </c>
      <c r="C383" t="s">
        <v>535</v>
      </c>
      <c r="D383" t="s">
        <v>52</v>
      </c>
      <c r="E383">
        <v>83</v>
      </c>
      <c r="F383">
        <v>4838</v>
      </c>
      <c r="G383" t="s">
        <v>536</v>
      </c>
      <c r="H383" t="s">
        <v>44</v>
      </c>
      <c r="I383" t="s">
        <v>45</v>
      </c>
      <c r="J383" t="s">
        <v>44</v>
      </c>
      <c r="K383" t="s">
        <v>45</v>
      </c>
      <c r="L383">
        <v>6</v>
      </c>
      <c r="M383">
        <v>52650</v>
      </c>
      <c r="N383" t="s">
        <v>46</v>
      </c>
    </row>
    <row r="384" spans="1:14" x14ac:dyDescent="0.2">
      <c r="A384" s="3">
        <f t="shared" si="6"/>
        <v>1705</v>
      </c>
      <c r="B384" t="str">
        <f>"00017050006"</f>
        <v>00017050006</v>
      </c>
      <c r="C384" t="s">
        <v>537</v>
      </c>
      <c r="D384" t="s">
        <v>36</v>
      </c>
      <c r="E384">
        <v>51</v>
      </c>
      <c r="F384">
        <v>136</v>
      </c>
      <c r="G384" t="s">
        <v>538</v>
      </c>
      <c r="H384">
        <v>12</v>
      </c>
      <c r="I384" t="s">
        <v>25</v>
      </c>
      <c r="J384">
        <v>9</v>
      </c>
      <c r="K384" t="s">
        <v>25</v>
      </c>
      <c r="L384">
        <v>8</v>
      </c>
      <c r="M384">
        <v>65113</v>
      </c>
      <c r="N384">
        <v>3</v>
      </c>
    </row>
    <row r="385" spans="1:14" x14ac:dyDescent="0.2">
      <c r="A385" s="3">
        <f t="shared" si="6"/>
        <v>1706</v>
      </c>
      <c r="B385" t="str">
        <f>"00017060012"</f>
        <v>00017060012</v>
      </c>
      <c r="C385" t="s">
        <v>539</v>
      </c>
      <c r="D385" t="s">
        <v>421</v>
      </c>
      <c r="E385">
        <v>52</v>
      </c>
      <c r="F385">
        <v>2257</v>
      </c>
      <c r="G385" t="s">
        <v>540</v>
      </c>
      <c r="H385">
        <v>24</v>
      </c>
      <c r="I385" t="s">
        <v>25</v>
      </c>
      <c r="J385">
        <v>20</v>
      </c>
      <c r="K385" t="s">
        <v>25</v>
      </c>
      <c r="L385">
        <v>8</v>
      </c>
      <c r="M385">
        <v>62256</v>
      </c>
      <c r="N385">
        <v>4</v>
      </c>
    </row>
    <row r="386" spans="1:14" x14ac:dyDescent="0.2">
      <c r="A386" s="3">
        <f t="shared" si="6"/>
        <v>1706</v>
      </c>
      <c r="B386" t="str">
        <f>"00017060012"</f>
        <v>00017060012</v>
      </c>
      <c r="C386" t="s">
        <v>539</v>
      </c>
      <c r="D386" t="s">
        <v>421</v>
      </c>
      <c r="E386">
        <v>52</v>
      </c>
      <c r="F386">
        <v>1504</v>
      </c>
      <c r="G386" t="s">
        <v>510</v>
      </c>
      <c r="H386">
        <v>24</v>
      </c>
      <c r="I386" t="s">
        <v>25</v>
      </c>
      <c r="J386">
        <v>20</v>
      </c>
      <c r="K386" t="s">
        <v>25</v>
      </c>
      <c r="L386">
        <v>8</v>
      </c>
      <c r="M386">
        <v>62256</v>
      </c>
      <c r="N386">
        <v>4</v>
      </c>
    </row>
    <row r="387" spans="1:14" x14ac:dyDescent="0.2">
      <c r="A387" s="3">
        <f t="shared" si="6"/>
        <v>1708</v>
      </c>
      <c r="B387" t="str">
        <f>"00017080012"</f>
        <v>00017080012</v>
      </c>
      <c r="C387" t="s">
        <v>500</v>
      </c>
      <c r="D387" t="s">
        <v>36</v>
      </c>
      <c r="E387">
        <v>51</v>
      </c>
      <c r="F387">
        <v>2236</v>
      </c>
      <c r="G387" t="s">
        <v>479</v>
      </c>
      <c r="H387">
        <v>24</v>
      </c>
      <c r="I387" t="s">
        <v>25</v>
      </c>
      <c r="J387">
        <v>20</v>
      </c>
      <c r="K387" t="s">
        <v>25</v>
      </c>
      <c r="L387">
        <v>8</v>
      </c>
      <c r="M387">
        <v>65043</v>
      </c>
      <c r="N387">
        <v>4</v>
      </c>
    </row>
    <row r="388" spans="1:14" x14ac:dyDescent="0.2">
      <c r="A388" s="3">
        <f t="shared" ref="A388:A451" si="7">(B388-RIGHT(B388,4))/10000</f>
        <v>1715</v>
      </c>
      <c r="B388" t="str">
        <f>"00017150024"</f>
        <v>00017150024</v>
      </c>
      <c r="C388" t="s">
        <v>541</v>
      </c>
      <c r="D388" t="s">
        <v>23</v>
      </c>
      <c r="E388">
        <v>62</v>
      </c>
      <c r="F388">
        <v>8104</v>
      </c>
      <c r="G388" t="s">
        <v>328</v>
      </c>
      <c r="H388">
        <v>12</v>
      </c>
      <c r="I388" t="s">
        <v>25</v>
      </c>
      <c r="J388">
        <v>9</v>
      </c>
      <c r="K388" t="s">
        <v>25</v>
      </c>
      <c r="L388">
        <v>6</v>
      </c>
      <c r="M388">
        <v>52643</v>
      </c>
      <c r="N388">
        <v>3</v>
      </c>
    </row>
    <row r="389" spans="1:14" x14ac:dyDescent="0.2">
      <c r="A389" s="3">
        <f t="shared" si="7"/>
        <v>1721</v>
      </c>
      <c r="B389" t="str">
        <f>"00017210012"</f>
        <v>00017210012</v>
      </c>
      <c r="C389" t="s">
        <v>542</v>
      </c>
      <c r="D389" t="s">
        <v>543</v>
      </c>
      <c r="E389">
        <v>52</v>
      </c>
      <c r="F389">
        <v>1205</v>
      </c>
      <c r="G389" t="s">
        <v>325</v>
      </c>
      <c r="H389">
        <v>24</v>
      </c>
      <c r="I389" t="s">
        <v>25</v>
      </c>
      <c r="J389">
        <v>20</v>
      </c>
      <c r="K389" t="s">
        <v>25</v>
      </c>
      <c r="L389">
        <v>6</v>
      </c>
      <c r="M389">
        <v>62254</v>
      </c>
      <c r="N389">
        <v>4</v>
      </c>
    </row>
    <row r="390" spans="1:14" x14ac:dyDescent="0.2">
      <c r="A390" s="3">
        <f t="shared" si="7"/>
        <v>1723</v>
      </c>
      <c r="B390" t="str">
        <f>"00017230012"</f>
        <v>00017230012</v>
      </c>
      <c r="C390" t="s">
        <v>544</v>
      </c>
      <c r="D390" t="s">
        <v>115</v>
      </c>
      <c r="E390">
        <v>52</v>
      </c>
      <c r="F390">
        <v>195</v>
      </c>
      <c r="G390" t="s">
        <v>545</v>
      </c>
      <c r="H390">
        <v>120</v>
      </c>
      <c r="I390" t="s">
        <v>34</v>
      </c>
      <c r="J390">
        <v>88</v>
      </c>
      <c r="K390" t="s">
        <v>34</v>
      </c>
      <c r="L390">
        <v>8</v>
      </c>
      <c r="M390">
        <v>65065</v>
      </c>
      <c r="N390">
        <v>32</v>
      </c>
    </row>
    <row r="391" spans="1:14" x14ac:dyDescent="0.2">
      <c r="A391" s="3">
        <f t="shared" si="7"/>
        <v>1724</v>
      </c>
      <c r="B391" t="str">
        <f>"00017240012"</f>
        <v>00017240012</v>
      </c>
      <c r="C391" t="s">
        <v>546</v>
      </c>
      <c r="D391" t="s">
        <v>115</v>
      </c>
      <c r="E391">
        <v>52</v>
      </c>
      <c r="F391">
        <v>195</v>
      </c>
      <c r="G391" t="s">
        <v>545</v>
      </c>
      <c r="H391">
        <v>120</v>
      </c>
      <c r="I391" t="s">
        <v>34</v>
      </c>
      <c r="J391">
        <v>88</v>
      </c>
      <c r="K391" t="s">
        <v>34</v>
      </c>
      <c r="L391">
        <v>8</v>
      </c>
      <c r="M391">
        <v>65061</v>
      </c>
      <c r="N391">
        <v>32</v>
      </c>
    </row>
    <row r="392" spans="1:14" x14ac:dyDescent="0.2">
      <c r="A392" s="3">
        <f t="shared" si="7"/>
        <v>1725</v>
      </c>
      <c r="B392" t="str">
        <f>"00017250006"</f>
        <v>00017250006</v>
      </c>
      <c r="C392" t="s">
        <v>547</v>
      </c>
      <c r="D392" t="s">
        <v>172</v>
      </c>
      <c r="E392">
        <v>33</v>
      </c>
      <c r="F392">
        <v>3484</v>
      </c>
      <c r="G392" t="s">
        <v>173</v>
      </c>
      <c r="H392">
        <v>8</v>
      </c>
      <c r="I392" t="s">
        <v>34</v>
      </c>
      <c r="J392">
        <v>5</v>
      </c>
      <c r="K392" t="s">
        <v>34</v>
      </c>
      <c r="L392">
        <v>8</v>
      </c>
      <c r="M392">
        <v>85056</v>
      </c>
      <c r="N392">
        <v>3</v>
      </c>
    </row>
    <row r="393" spans="1:14" x14ac:dyDescent="0.2">
      <c r="A393" s="3">
        <f t="shared" si="7"/>
        <v>1803</v>
      </c>
      <c r="B393" t="str">
        <f>"00018030054"</f>
        <v>00018030054</v>
      </c>
      <c r="C393" t="s">
        <v>548</v>
      </c>
      <c r="D393" t="s">
        <v>216</v>
      </c>
      <c r="E393">
        <v>70</v>
      </c>
      <c r="F393">
        <v>3690</v>
      </c>
      <c r="G393" t="s">
        <v>549</v>
      </c>
      <c r="H393">
        <v>7</v>
      </c>
      <c r="I393" t="s">
        <v>25</v>
      </c>
      <c r="J393">
        <v>5</v>
      </c>
      <c r="K393" t="s">
        <v>25</v>
      </c>
      <c r="L393">
        <v>8</v>
      </c>
      <c r="M393">
        <v>74052</v>
      </c>
      <c r="N393">
        <v>2</v>
      </c>
    </row>
    <row r="394" spans="1:14" x14ac:dyDescent="0.2">
      <c r="A394" s="3">
        <f t="shared" si="7"/>
        <v>1804</v>
      </c>
      <c r="B394" t="str">
        <f>"00018040024"</f>
        <v>00018040024</v>
      </c>
      <c r="C394" t="s">
        <v>550</v>
      </c>
      <c r="D394" t="s">
        <v>216</v>
      </c>
      <c r="E394">
        <v>70</v>
      </c>
      <c r="F394">
        <v>278</v>
      </c>
      <c r="G394" t="s">
        <v>551</v>
      </c>
      <c r="H394">
        <v>6</v>
      </c>
      <c r="I394" t="s">
        <v>25</v>
      </c>
      <c r="J394">
        <v>4</v>
      </c>
      <c r="K394" t="s">
        <v>25</v>
      </c>
      <c r="L394">
        <v>8</v>
      </c>
      <c r="M394">
        <v>76012</v>
      </c>
      <c r="N394">
        <v>2</v>
      </c>
    </row>
    <row r="395" spans="1:14" x14ac:dyDescent="0.2">
      <c r="A395" s="3">
        <f t="shared" si="7"/>
        <v>1806</v>
      </c>
      <c r="B395" t="str">
        <f>"00018060027"</f>
        <v>00018060027</v>
      </c>
      <c r="C395" t="s">
        <v>552</v>
      </c>
      <c r="D395" t="s">
        <v>216</v>
      </c>
      <c r="E395">
        <v>70</v>
      </c>
      <c r="F395">
        <v>4355</v>
      </c>
      <c r="G395" t="s">
        <v>553</v>
      </c>
      <c r="H395">
        <v>9</v>
      </c>
      <c r="I395" t="s">
        <v>25</v>
      </c>
      <c r="J395">
        <v>7</v>
      </c>
      <c r="K395" t="s">
        <v>25</v>
      </c>
      <c r="L395">
        <v>8</v>
      </c>
      <c r="M395">
        <v>74072</v>
      </c>
      <c r="N395">
        <v>2</v>
      </c>
    </row>
    <row r="396" spans="1:14" x14ac:dyDescent="0.2">
      <c r="A396" s="3">
        <f t="shared" si="7"/>
        <v>1808</v>
      </c>
      <c r="B396" t="str">
        <f>"00018080008"</f>
        <v>00018080008</v>
      </c>
      <c r="C396" t="s">
        <v>554</v>
      </c>
      <c r="D396" t="s">
        <v>36</v>
      </c>
      <c r="E396">
        <v>70</v>
      </c>
      <c r="F396">
        <v>3222</v>
      </c>
      <c r="G396" t="s">
        <v>555</v>
      </c>
      <c r="H396">
        <v>8</v>
      </c>
      <c r="I396" t="s">
        <v>25</v>
      </c>
      <c r="J396">
        <v>6</v>
      </c>
      <c r="K396" t="s">
        <v>25</v>
      </c>
      <c r="L396">
        <v>8</v>
      </c>
      <c r="M396">
        <v>72045</v>
      </c>
      <c r="N396">
        <v>2</v>
      </c>
    </row>
    <row r="397" spans="1:14" x14ac:dyDescent="0.2">
      <c r="A397" s="3">
        <f t="shared" si="7"/>
        <v>1809</v>
      </c>
      <c r="B397" t="str">
        <f>"00018090024"</f>
        <v>00018090024</v>
      </c>
      <c r="C397" t="s">
        <v>556</v>
      </c>
      <c r="D397" t="s">
        <v>42</v>
      </c>
      <c r="E397">
        <v>70</v>
      </c>
      <c r="F397">
        <v>1647</v>
      </c>
      <c r="G397" t="s">
        <v>557</v>
      </c>
      <c r="H397">
        <v>7</v>
      </c>
      <c r="I397" t="s">
        <v>25</v>
      </c>
      <c r="J397">
        <v>5</v>
      </c>
      <c r="K397" t="s">
        <v>25</v>
      </c>
      <c r="L397">
        <v>8</v>
      </c>
      <c r="M397">
        <v>72236</v>
      </c>
      <c r="N397">
        <v>2</v>
      </c>
    </row>
    <row r="398" spans="1:14" x14ac:dyDescent="0.2">
      <c r="A398" s="3">
        <f t="shared" si="7"/>
        <v>1810</v>
      </c>
      <c r="B398" t="str">
        <f>"00018100024"</f>
        <v>00018100024</v>
      </c>
      <c r="C398" t="s">
        <v>558</v>
      </c>
      <c r="D398" t="s">
        <v>42</v>
      </c>
      <c r="E398">
        <v>70</v>
      </c>
      <c r="F398">
        <v>1647</v>
      </c>
      <c r="G398" t="s">
        <v>557</v>
      </c>
      <c r="H398">
        <v>7</v>
      </c>
      <c r="I398" t="s">
        <v>25</v>
      </c>
      <c r="J398">
        <v>5</v>
      </c>
      <c r="K398" t="s">
        <v>25</v>
      </c>
      <c r="L398">
        <v>8</v>
      </c>
      <c r="M398">
        <v>72232</v>
      </c>
      <c r="N398">
        <v>2</v>
      </c>
    </row>
    <row r="399" spans="1:14" x14ac:dyDescent="0.2">
      <c r="A399" s="3">
        <f t="shared" si="7"/>
        <v>1811</v>
      </c>
      <c r="B399" t="str">
        <f>"00018110007"</f>
        <v>00018110007</v>
      </c>
      <c r="C399" t="s">
        <v>559</v>
      </c>
      <c r="D399" t="s">
        <v>67</v>
      </c>
      <c r="E399">
        <v>72</v>
      </c>
      <c r="F399">
        <v>737</v>
      </c>
      <c r="G399" t="s">
        <v>560</v>
      </c>
      <c r="H399">
        <v>21</v>
      </c>
      <c r="I399" t="s">
        <v>34</v>
      </c>
      <c r="J399">
        <v>15</v>
      </c>
      <c r="K399" t="s">
        <v>34</v>
      </c>
      <c r="L399">
        <v>8</v>
      </c>
      <c r="M399">
        <v>76186</v>
      </c>
      <c r="N399">
        <v>6</v>
      </c>
    </row>
    <row r="400" spans="1:14" x14ac:dyDescent="0.2">
      <c r="A400" s="3">
        <f t="shared" si="7"/>
        <v>1813</v>
      </c>
      <c r="B400" t="str">
        <f>"00018130028"</f>
        <v>00018130028</v>
      </c>
      <c r="C400" t="s">
        <v>561</v>
      </c>
      <c r="D400" t="s">
        <v>42</v>
      </c>
      <c r="E400">
        <v>70</v>
      </c>
      <c r="F400">
        <v>703</v>
      </c>
      <c r="G400" t="s">
        <v>562</v>
      </c>
      <c r="H400">
        <v>7</v>
      </c>
      <c r="I400" t="s">
        <v>25</v>
      </c>
      <c r="J400">
        <v>5</v>
      </c>
      <c r="K400" t="s">
        <v>25</v>
      </c>
      <c r="L400">
        <v>8</v>
      </c>
      <c r="M400">
        <v>74060</v>
      </c>
      <c r="N400">
        <v>2</v>
      </c>
    </row>
    <row r="401" spans="1:14" x14ac:dyDescent="0.2">
      <c r="A401" s="3">
        <f t="shared" si="7"/>
        <v>1820</v>
      </c>
      <c r="B401" t="str">
        <f>"00018200008"</f>
        <v>00018200008</v>
      </c>
      <c r="C401" t="s">
        <v>563</v>
      </c>
      <c r="D401" t="s">
        <v>67</v>
      </c>
      <c r="E401">
        <v>72</v>
      </c>
      <c r="F401">
        <v>198</v>
      </c>
      <c r="G401" t="s">
        <v>564</v>
      </c>
      <c r="H401">
        <v>42</v>
      </c>
      <c r="I401" t="s">
        <v>34</v>
      </c>
      <c r="J401">
        <v>32</v>
      </c>
      <c r="K401" t="s">
        <v>34</v>
      </c>
      <c r="L401">
        <v>8</v>
      </c>
      <c r="M401">
        <v>76254</v>
      </c>
      <c r="N401">
        <v>10</v>
      </c>
    </row>
    <row r="402" spans="1:14" x14ac:dyDescent="0.2">
      <c r="A402" s="3">
        <f t="shared" si="7"/>
        <v>1821</v>
      </c>
      <c r="B402" t="str">
        <f>"00018210016"</f>
        <v>00018210016</v>
      </c>
      <c r="C402" t="s">
        <v>565</v>
      </c>
      <c r="D402" t="s">
        <v>67</v>
      </c>
      <c r="E402">
        <v>72</v>
      </c>
      <c r="F402">
        <v>4641</v>
      </c>
      <c r="G402" t="s">
        <v>566</v>
      </c>
      <c r="H402">
        <v>30</v>
      </c>
      <c r="I402" t="s">
        <v>34</v>
      </c>
      <c r="J402">
        <v>20</v>
      </c>
      <c r="K402" t="s">
        <v>34</v>
      </c>
      <c r="L402">
        <v>8</v>
      </c>
      <c r="M402">
        <v>76125</v>
      </c>
      <c r="N402">
        <v>10</v>
      </c>
    </row>
    <row r="403" spans="1:14" x14ac:dyDescent="0.2">
      <c r="A403" s="3">
        <f t="shared" si="7"/>
        <v>1824</v>
      </c>
      <c r="B403" t="str">
        <f>"00018240015"</f>
        <v>00018240015</v>
      </c>
      <c r="C403" t="s">
        <v>567</v>
      </c>
      <c r="D403" t="s">
        <v>216</v>
      </c>
      <c r="E403">
        <v>70</v>
      </c>
      <c r="F403">
        <v>5822</v>
      </c>
      <c r="G403" t="s">
        <v>568</v>
      </c>
      <c r="H403">
        <v>6</v>
      </c>
      <c r="I403" t="s">
        <v>25</v>
      </c>
      <c r="J403">
        <v>4</v>
      </c>
      <c r="K403" t="s">
        <v>25</v>
      </c>
      <c r="L403">
        <v>8</v>
      </c>
      <c r="M403">
        <v>72054</v>
      </c>
      <c r="N403">
        <v>2</v>
      </c>
    </row>
    <row r="404" spans="1:14" x14ac:dyDescent="0.2">
      <c r="A404" s="3">
        <f t="shared" si="7"/>
        <v>1828</v>
      </c>
      <c r="B404" t="str">
        <f>"00018280020"</f>
        <v>00018280020</v>
      </c>
      <c r="C404" t="s">
        <v>569</v>
      </c>
      <c r="D404" t="s">
        <v>115</v>
      </c>
      <c r="E404">
        <v>70</v>
      </c>
      <c r="F404">
        <v>3112</v>
      </c>
      <c r="G404" t="s">
        <v>245</v>
      </c>
      <c r="H404">
        <v>120</v>
      </c>
      <c r="I404" t="s">
        <v>34</v>
      </c>
      <c r="J404">
        <v>88</v>
      </c>
      <c r="K404" t="s">
        <v>34</v>
      </c>
      <c r="L404">
        <v>8</v>
      </c>
      <c r="M404">
        <v>74056</v>
      </c>
      <c r="N404">
        <v>32</v>
      </c>
    </row>
    <row r="405" spans="1:14" x14ac:dyDescent="0.2">
      <c r="A405" s="3">
        <f t="shared" si="7"/>
        <v>1830</v>
      </c>
      <c r="B405" t="str">
        <f>"00018300020"</f>
        <v>00018300020</v>
      </c>
      <c r="C405" t="s">
        <v>570</v>
      </c>
      <c r="D405" t="s">
        <v>115</v>
      </c>
      <c r="E405">
        <v>70</v>
      </c>
      <c r="F405">
        <v>3112</v>
      </c>
      <c r="G405" t="s">
        <v>245</v>
      </c>
      <c r="H405">
        <v>6</v>
      </c>
      <c r="I405" t="s">
        <v>25</v>
      </c>
      <c r="J405">
        <v>4</v>
      </c>
      <c r="K405" t="s">
        <v>25</v>
      </c>
      <c r="L405">
        <v>8</v>
      </c>
      <c r="M405">
        <v>74047</v>
      </c>
      <c r="N405">
        <v>2</v>
      </c>
    </row>
    <row r="406" spans="1:14" x14ac:dyDescent="0.2">
      <c r="A406" s="3">
        <f t="shared" si="7"/>
        <v>1831</v>
      </c>
      <c r="B406" t="str">
        <f>"00018310020"</f>
        <v>00018310020</v>
      </c>
      <c r="C406" t="s">
        <v>571</v>
      </c>
      <c r="D406" t="s">
        <v>42</v>
      </c>
      <c r="E406">
        <v>70</v>
      </c>
      <c r="F406">
        <v>703</v>
      </c>
      <c r="G406" t="s">
        <v>562</v>
      </c>
      <c r="H406">
        <v>7</v>
      </c>
      <c r="I406" t="s">
        <v>25</v>
      </c>
      <c r="J406">
        <v>5</v>
      </c>
      <c r="K406" t="s">
        <v>25</v>
      </c>
      <c r="L406">
        <v>8</v>
      </c>
      <c r="M406">
        <v>74021</v>
      </c>
      <c r="N406">
        <v>2</v>
      </c>
    </row>
    <row r="407" spans="1:14" x14ac:dyDescent="0.2">
      <c r="A407" s="3">
        <f t="shared" si="7"/>
        <v>1841</v>
      </c>
      <c r="B407" t="str">
        <f>"00018410020"</f>
        <v>00018410020</v>
      </c>
      <c r="C407" t="s">
        <v>572</v>
      </c>
      <c r="D407" t="s">
        <v>42</v>
      </c>
      <c r="E407">
        <v>70</v>
      </c>
      <c r="F407">
        <v>703</v>
      </c>
      <c r="G407" t="s">
        <v>562</v>
      </c>
      <c r="H407">
        <v>6</v>
      </c>
      <c r="I407" t="s">
        <v>25</v>
      </c>
      <c r="J407">
        <v>4</v>
      </c>
      <c r="K407" t="s">
        <v>25</v>
      </c>
      <c r="L407">
        <v>8</v>
      </c>
      <c r="M407">
        <v>72049</v>
      </c>
      <c r="N407">
        <v>2</v>
      </c>
    </row>
    <row r="408" spans="1:14" x14ac:dyDescent="0.2">
      <c r="A408" s="3">
        <f t="shared" si="7"/>
        <v>1847</v>
      </c>
      <c r="B408" t="str">
        <f>"00018470024"</f>
        <v>00018470024</v>
      </c>
      <c r="C408" t="s">
        <v>573</v>
      </c>
      <c r="D408" t="s">
        <v>216</v>
      </c>
      <c r="E408">
        <v>72</v>
      </c>
      <c r="F408">
        <v>1647</v>
      </c>
      <c r="G408" t="s">
        <v>557</v>
      </c>
      <c r="H408">
        <v>49</v>
      </c>
      <c r="I408" t="s">
        <v>34</v>
      </c>
      <c r="J408">
        <v>36</v>
      </c>
      <c r="K408" t="s">
        <v>34</v>
      </c>
      <c r="L408">
        <v>8</v>
      </c>
      <c r="M408">
        <v>76129</v>
      </c>
      <c r="N408">
        <v>13</v>
      </c>
    </row>
    <row r="409" spans="1:14" x14ac:dyDescent="0.2">
      <c r="A409" s="3">
        <f t="shared" si="7"/>
        <v>1848</v>
      </c>
      <c r="B409" t="str">
        <f>"00018480009"</f>
        <v>00018480009</v>
      </c>
      <c r="C409" t="s">
        <v>574</v>
      </c>
      <c r="D409" t="s">
        <v>42</v>
      </c>
      <c r="E409">
        <v>70</v>
      </c>
      <c r="F409">
        <v>2146</v>
      </c>
      <c r="G409" t="s">
        <v>575</v>
      </c>
      <c r="H409">
        <v>6</v>
      </c>
      <c r="I409" t="s">
        <v>25</v>
      </c>
      <c r="J409">
        <v>4</v>
      </c>
      <c r="K409" t="s">
        <v>25</v>
      </c>
      <c r="L409">
        <v>8</v>
      </c>
      <c r="M409">
        <v>74113</v>
      </c>
      <c r="N409">
        <v>2</v>
      </c>
    </row>
    <row r="410" spans="1:14" x14ac:dyDescent="0.2">
      <c r="A410" s="3">
        <f t="shared" si="7"/>
        <v>1854</v>
      </c>
      <c r="B410" t="str">
        <f>"00018540028"</f>
        <v>00018540028</v>
      </c>
      <c r="C410" t="s">
        <v>576</v>
      </c>
      <c r="D410" t="s">
        <v>42</v>
      </c>
      <c r="E410">
        <v>70</v>
      </c>
      <c r="F410">
        <v>703</v>
      </c>
      <c r="G410" t="s">
        <v>562</v>
      </c>
      <c r="H410">
        <v>7</v>
      </c>
      <c r="I410" t="s">
        <v>25</v>
      </c>
      <c r="J410">
        <v>5</v>
      </c>
      <c r="K410" t="s">
        <v>25</v>
      </c>
      <c r="L410">
        <v>8</v>
      </c>
      <c r="M410">
        <v>74069</v>
      </c>
      <c r="N410">
        <v>2</v>
      </c>
    </row>
    <row r="411" spans="1:14" x14ac:dyDescent="0.2">
      <c r="A411" s="3">
        <f t="shared" si="7"/>
        <v>1859</v>
      </c>
      <c r="B411" t="str">
        <f>"00018590012"</f>
        <v>00018590012</v>
      </c>
      <c r="C411" t="s">
        <v>577</v>
      </c>
      <c r="D411" t="s">
        <v>67</v>
      </c>
      <c r="E411">
        <v>72</v>
      </c>
      <c r="F411">
        <v>4641</v>
      </c>
      <c r="G411" t="s">
        <v>566</v>
      </c>
      <c r="H411">
        <v>30</v>
      </c>
      <c r="I411" t="s">
        <v>34</v>
      </c>
      <c r="J411">
        <v>20</v>
      </c>
      <c r="K411" t="s">
        <v>34</v>
      </c>
      <c r="L411">
        <v>8</v>
      </c>
      <c r="M411">
        <v>76149</v>
      </c>
      <c r="N411">
        <v>10</v>
      </c>
    </row>
    <row r="412" spans="1:14" x14ac:dyDescent="0.2">
      <c r="A412" s="3">
        <f t="shared" si="7"/>
        <v>1860</v>
      </c>
      <c r="B412" t="str">
        <f>"00018600020"</f>
        <v>00018600020</v>
      </c>
      <c r="C412" t="s">
        <v>578</v>
      </c>
      <c r="D412" t="s">
        <v>216</v>
      </c>
      <c r="E412">
        <v>70</v>
      </c>
      <c r="F412">
        <v>3690</v>
      </c>
      <c r="G412" t="s">
        <v>549</v>
      </c>
      <c r="H412">
        <v>120</v>
      </c>
      <c r="I412" t="s">
        <v>34</v>
      </c>
      <c r="J412">
        <v>88</v>
      </c>
      <c r="K412" t="s">
        <v>34</v>
      </c>
      <c r="L412">
        <v>8</v>
      </c>
      <c r="M412">
        <v>74027</v>
      </c>
      <c r="N412">
        <v>32</v>
      </c>
    </row>
    <row r="413" spans="1:14" x14ac:dyDescent="0.2">
      <c r="A413" s="3">
        <f t="shared" si="7"/>
        <v>1861</v>
      </c>
      <c r="B413" t="str">
        <f>"00018610020"</f>
        <v>00018610020</v>
      </c>
      <c r="C413" t="s">
        <v>579</v>
      </c>
      <c r="D413" t="s">
        <v>36</v>
      </c>
      <c r="E413">
        <v>72</v>
      </c>
      <c r="F413">
        <v>3734</v>
      </c>
      <c r="G413" t="s">
        <v>580</v>
      </c>
      <c r="H413">
        <v>150</v>
      </c>
      <c r="I413" t="s">
        <v>34</v>
      </c>
      <c r="J413">
        <v>118</v>
      </c>
      <c r="K413" t="s">
        <v>34</v>
      </c>
      <c r="L413">
        <v>8</v>
      </c>
      <c r="M413">
        <v>76103</v>
      </c>
      <c r="N413">
        <v>32</v>
      </c>
    </row>
    <row r="414" spans="1:14" x14ac:dyDescent="0.2">
      <c r="A414" s="3">
        <f t="shared" si="7"/>
        <v>1862</v>
      </c>
      <c r="B414" t="str">
        <f>"00018620020"</f>
        <v>00018620020</v>
      </c>
      <c r="C414" t="s">
        <v>581</v>
      </c>
      <c r="D414" t="s">
        <v>36</v>
      </c>
      <c r="E414">
        <v>72</v>
      </c>
      <c r="F414">
        <v>3734</v>
      </c>
      <c r="G414" t="s">
        <v>580</v>
      </c>
      <c r="H414">
        <v>150</v>
      </c>
      <c r="I414" t="s">
        <v>34</v>
      </c>
      <c r="J414">
        <v>118</v>
      </c>
      <c r="K414" t="s">
        <v>34</v>
      </c>
      <c r="L414">
        <v>8</v>
      </c>
      <c r="M414">
        <v>76107</v>
      </c>
      <c r="N414">
        <v>32</v>
      </c>
    </row>
    <row r="415" spans="1:14" x14ac:dyDescent="0.2">
      <c r="A415" s="3">
        <f t="shared" si="7"/>
        <v>1863</v>
      </c>
      <c r="B415" t="str">
        <f>"00018630016"</f>
        <v>00018630016</v>
      </c>
      <c r="C415" t="s">
        <v>582</v>
      </c>
      <c r="D415" t="s">
        <v>42</v>
      </c>
      <c r="E415">
        <v>70</v>
      </c>
      <c r="F415">
        <v>1647</v>
      </c>
      <c r="G415" t="s">
        <v>557</v>
      </c>
      <c r="H415">
        <v>7</v>
      </c>
      <c r="I415" t="s">
        <v>25</v>
      </c>
      <c r="J415">
        <v>5</v>
      </c>
      <c r="K415" t="s">
        <v>25</v>
      </c>
      <c r="L415">
        <v>8</v>
      </c>
      <c r="M415">
        <v>74087</v>
      </c>
      <c r="N415">
        <v>2</v>
      </c>
    </row>
    <row r="416" spans="1:14" x14ac:dyDescent="0.2">
      <c r="A416" s="3">
        <f t="shared" si="7"/>
        <v>1864</v>
      </c>
      <c r="B416" t="str">
        <f>"00018640020"</f>
        <v>00018640020</v>
      </c>
      <c r="C416" t="s">
        <v>583</v>
      </c>
      <c r="D416" t="s">
        <v>42</v>
      </c>
      <c r="E416">
        <v>70</v>
      </c>
      <c r="F416">
        <v>703</v>
      </c>
      <c r="G416" t="s">
        <v>562</v>
      </c>
      <c r="H416">
        <v>7</v>
      </c>
      <c r="I416" t="s">
        <v>25</v>
      </c>
      <c r="J416">
        <v>5</v>
      </c>
      <c r="K416" t="s">
        <v>25</v>
      </c>
      <c r="L416">
        <v>8</v>
      </c>
      <c r="M416">
        <v>74028</v>
      </c>
      <c r="N416">
        <v>2</v>
      </c>
    </row>
    <row r="417" spans="1:14" x14ac:dyDescent="0.2">
      <c r="A417" s="3">
        <f t="shared" si="7"/>
        <v>1866</v>
      </c>
      <c r="B417" t="str">
        <f>"00018660018"</f>
        <v>00018660018</v>
      </c>
      <c r="C417" t="s">
        <v>584</v>
      </c>
      <c r="D417" t="s">
        <v>42</v>
      </c>
      <c r="E417">
        <v>70</v>
      </c>
      <c r="F417">
        <v>1647</v>
      </c>
      <c r="G417" t="s">
        <v>557</v>
      </c>
      <c r="H417">
        <v>150</v>
      </c>
      <c r="I417" t="s">
        <v>34</v>
      </c>
      <c r="J417">
        <v>118</v>
      </c>
      <c r="K417" t="s">
        <v>34</v>
      </c>
      <c r="L417">
        <v>8</v>
      </c>
      <c r="M417">
        <v>74074</v>
      </c>
      <c r="N417">
        <v>32</v>
      </c>
    </row>
    <row r="418" spans="1:14" x14ac:dyDescent="0.2">
      <c r="A418" s="3">
        <f t="shared" si="7"/>
        <v>1871</v>
      </c>
      <c r="B418" t="str">
        <f>"00018710015"</f>
        <v>00018710015</v>
      </c>
      <c r="C418" t="s">
        <v>585</v>
      </c>
      <c r="D418" t="s">
        <v>36</v>
      </c>
      <c r="E418">
        <v>70</v>
      </c>
      <c r="F418">
        <v>115</v>
      </c>
      <c r="G418" t="s">
        <v>586</v>
      </c>
      <c r="H418">
        <v>7</v>
      </c>
      <c r="I418" t="s">
        <v>25</v>
      </c>
      <c r="J418">
        <v>5</v>
      </c>
      <c r="K418" t="s">
        <v>25</v>
      </c>
      <c r="L418">
        <v>8</v>
      </c>
      <c r="M418">
        <v>72239</v>
      </c>
      <c r="N418">
        <v>2</v>
      </c>
    </row>
    <row r="419" spans="1:14" x14ac:dyDescent="0.2">
      <c r="A419" s="3">
        <f t="shared" si="7"/>
        <v>1872</v>
      </c>
      <c r="B419" t="str">
        <f>"00018720028"</f>
        <v>00018720028</v>
      </c>
      <c r="C419" t="s">
        <v>587</v>
      </c>
      <c r="D419" t="s">
        <v>216</v>
      </c>
      <c r="E419">
        <v>72</v>
      </c>
      <c r="F419">
        <v>5839</v>
      </c>
      <c r="G419" t="s">
        <v>588</v>
      </c>
      <c r="H419">
        <v>63</v>
      </c>
      <c r="I419" t="s">
        <v>34</v>
      </c>
      <c r="J419">
        <v>50</v>
      </c>
      <c r="K419" t="s">
        <v>34</v>
      </c>
      <c r="L419">
        <v>8</v>
      </c>
      <c r="M419">
        <v>76122</v>
      </c>
      <c r="N419">
        <v>13</v>
      </c>
    </row>
    <row r="420" spans="1:14" x14ac:dyDescent="0.2">
      <c r="A420" s="3">
        <f t="shared" si="7"/>
        <v>1875</v>
      </c>
      <c r="B420" t="str">
        <f>"00018750012"</f>
        <v>00018750012</v>
      </c>
      <c r="C420" t="s">
        <v>589</v>
      </c>
      <c r="D420" t="s">
        <v>42</v>
      </c>
      <c r="E420">
        <v>70</v>
      </c>
      <c r="F420">
        <v>703</v>
      </c>
      <c r="G420" t="s">
        <v>562</v>
      </c>
      <c r="H420">
        <v>7</v>
      </c>
      <c r="I420" t="s">
        <v>25</v>
      </c>
      <c r="J420">
        <v>5</v>
      </c>
      <c r="K420" t="s">
        <v>25</v>
      </c>
      <c r="L420">
        <v>8</v>
      </c>
      <c r="M420">
        <v>74164</v>
      </c>
      <c r="N420">
        <v>2</v>
      </c>
    </row>
    <row r="421" spans="1:14" x14ac:dyDescent="0.2">
      <c r="A421" s="3">
        <f t="shared" si="7"/>
        <v>1876</v>
      </c>
      <c r="B421" t="str">
        <f>"00018760006"</f>
        <v>00018760006</v>
      </c>
      <c r="C421" t="s">
        <v>590</v>
      </c>
      <c r="D421" t="s">
        <v>36</v>
      </c>
      <c r="E421">
        <v>72</v>
      </c>
      <c r="F421">
        <v>7218</v>
      </c>
      <c r="G421" t="s">
        <v>591</v>
      </c>
      <c r="H421">
        <v>6</v>
      </c>
      <c r="I421" t="s">
        <v>25</v>
      </c>
      <c r="J421">
        <v>4</v>
      </c>
      <c r="K421" t="s">
        <v>25</v>
      </c>
      <c r="L421">
        <v>8</v>
      </c>
      <c r="M421">
        <v>76102</v>
      </c>
      <c r="N421">
        <v>2</v>
      </c>
    </row>
    <row r="422" spans="1:14" x14ac:dyDescent="0.2">
      <c r="A422" s="3">
        <f t="shared" si="7"/>
        <v>1886</v>
      </c>
      <c r="B422" t="str">
        <f>"00018860020"</f>
        <v>00018860020</v>
      </c>
      <c r="C422" t="s">
        <v>592</v>
      </c>
      <c r="D422" t="s">
        <v>289</v>
      </c>
      <c r="E422">
        <v>20</v>
      </c>
      <c r="F422">
        <v>8086</v>
      </c>
      <c r="G422" t="s">
        <v>290</v>
      </c>
      <c r="H422">
        <v>13</v>
      </c>
      <c r="I422" t="s">
        <v>25</v>
      </c>
      <c r="J422">
        <v>10</v>
      </c>
      <c r="K422" t="s">
        <v>25</v>
      </c>
      <c r="L422">
        <v>8</v>
      </c>
      <c r="M422">
        <v>88031</v>
      </c>
      <c r="N422">
        <v>3</v>
      </c>
    </row>
    <row r="423" spans="1:14" x14ac:dyDescent="0.2">
      <c r="A423" s="3">
        <f t="shared" si="7"/>
        <v>1886</v>
      </c>
      <c r="B423" t="str">
        <f>"00018860020"</f>
        <v>00018860020</v>
      </c>
      <c r="C423" t="s">
        <v>592</v>
      </c>
      <c r="D423" t="s">
        <v>289</v>
      </c>
      <c r="E423">
        <v>20</v>
      </c>
      <c r="F423">
        <v>445</v>
      </c>
      <c r="G423" t="s">
        <v>593</v>
      </c>
      <c r="H423">
        <v>13</v>
      </c>
      <c r="I423" t="s">
        <v>25</v>
      </c>
      <c r="J423">
        <v>10</v>
      </c>
      <c r="K423" t="s">
        <v>25</v>
      </c>
      <c r="L423">
        <v>8</v>
      </c>
      <c r="M423">
        <v>88031</v>
      </c>
      <c r="N423">
        <v>3</v>
      </c>
    </row>
    <row r="424" spans="1:14" x14ac:dyDescent="0.2">
      <c r="A424" s="3">
        <f t="shared" si="7"/>
        <v>1894</v>
      </c>
      <c r="B424" t="str">
        <f>"00018940018"</f>
        <v>00018940018</v>
      </c>
      <c r="C424" t="s">
        <v>594</v>
      </c>
      <c r="D424" t="s">
        <v>216</v>
      </c>
      <c r="E424">
        <v>70</v>
      </c>
      <c r="F424">
        <v>206</v>
      </c>
      <c r="G424" t="s">
        <v>595</v>
      </c>
      <c r="H424">
        <v>8</v>
      </c>
      <c r="I424" t="s">
        <v>25</v>
      </c>
      <c r="J424">
        <v>6</v>
      </c>
      <c r="K424" t="s">
        <v>25</v>
      </c>
      <c r="L424">
        <v>8</v>
      </c>
      <c r="M424">
        <v>74054</v>
      </c>
      <c r="N424">
        <v>2</v>
      </c>
    </row>
    <row r="425" spans="1:14" x14ac:dyDescent="0.2">
      <c r="A425" s="3">
        <f t="shared" si="7"/>
        <v>1897</v>
      </c>
      <c r="B425" t="str">
        <f>"00018970036"</f>
        <v>00018970036</v>
      </c>
      <c r="C425" t="s">
        <v>596</v>
      </c>
      <c r="D425" t="s">
        <v>216</v>
      </c>
      <c r="E425">
        <v>70</v>
      </c>
      <c r="F425">
        <v>3690</v>
      </c>
      <c r="G425" t="s">
        <v>549</v>
      </c>
      <c r="H425">
        <v>7</v>
      </c>
      <c r="I425" t="s">
        <v>25</v>
      </c>
      <c r="J425">
        <v>5</v>
      </c>
      <c r="K425" t="s">
        <v>25</v>
      </c>
      <c r="L425">
        <v>8</v>
      </c>
      <c r="M425">
        <v>74038</v>
      </c>
      <c r="N425">
        <v>2</v>
      </c>
    </row>
    <row r="426" spans="1:14" x14ac:dyDescent="0.2">
      <c r="A426" s="3">
        <f t="shared" si="7"/>
        <v>1907</v>
      </c>
      <c r="B426" t="str">
        <f>"00019070016"</f>
        <v>00019070016</v>
      </c>
      <c r="C426" t="s">
        <v>597</v>
      </c>
      <c r="D426" t="s">
        <v>115</v>
      </c>
      <c r="E426">
        <v>70</v>
      </c>
      <c r="F426">
        <v>1631</v>
      </c>
      <c r="G426" t="s">
        <v>598</v>
      </c>
      <c r="H426">
        <v>120</v>
      </c>
      <c r="I426" t="s">
        <v>34</v>
      </c>
      <c r="J426">
        <v>88</v>
      </c>
      <c r="K426" t="s">
        <v>34</v>
      </c>
      <c r="L426">
        <v>8</v>
      </c>
      <c r="M426">
        <v>66237</v>
      </c>
      <c r="N426">
        <v>25</v>
      </c>
    </row>
    <row r="427" spans="1:14" x14ac:dyDescent="0.2">
      <c r="A427" s="3">
        <f t="shared" si="7"/>
        <v>1918</v>
      </c>
      <c r="B427" t="str">
        <f>"00019180012"</f>
        <v>00019180012</v>
      </c>
      <c r="C427" t="s">
        <v>599</v>
      </c>
      <c r="D427" t="s">
        <v>543</v>
      </c>
      <c r="E427">
        <v>70</v>
      </c>
      <c r="F427">
        <v>2036</v>
      </c>
      <c r="G427" t="s">
        <v>600</v>
      </c>
      <c r="H427">
        <v>8</v>
      </c>
      <c r="I427" t="s">
        <v>25</v>
      </c>
      <c r="J427">
        <v>6</v>
      </c>
      <c r="K427" t="s">
        <v>25</v>
      </c>
      <c r="L427">
        <v>8</v>
      </c>
      <c r="M427">
        <v>66223</v>
      </c>
      <c r="N427">
        <v>2</v>
      </c>
    </row>
    <row r="428" spans="1:14" x14ac:dyDescent="0.2">
      <c r="A428" s="3">
        <f t="shared" si="7"/>
        <v>1921</v>
      </c>
      <c r="B428" t="str">
        <f>"00019210015"</f>
        <v>00019210015</v>
      </c>
      <c r="C428" t="s">
        <v>601</v>
      </c>
      <c r="D428" t="s">
        <v>42</v>
      </c>
      <c r="E428">
        <v>70</v>
      </c>
      <c r="F428">
        <v>4953</v>
      </c>
      <c r="G428" t="s">
        <v>602</v>
      </c>
      <c r="H428">
        <v>6</v>
      </c>
      <c r="I428" t="s">
        <v>25</v>
      </c>
      <c r="J428">
        <v>4</v>
      </c>
      <c r="K428" t="s">
        <v>25</v>
      </c>
      <c r="L428">
        <v>9</v>
      </c>
      <c r="M428">
        <v>66201</v>
      </c>
      <c r="N428">
        <v>2</v>
      </c>
    </row>
    <row r="429" spans="1:14" x14ac:dyDescent="0.2">
      <c r="A429" s="3">
        <f t="shared" si="7"/>
        <v>1930</v>
      </c>
      <c r="B429" t="str">
        <f>"00019300030"</f>
        <v>00019300030</v>
      </c>
      <c r="C429" t="s">
        <v>603</v>
      </c>
      <c r="D429" t="s">
        <v>604</v>
      </c>
      <c r="E429">
        <v>70</v>
      </c>
      <c r="F429">
        <v>845</v>
      </c>
      <c r="G429" t="s">
        <v>605</v>
      </c>
      <c r="H429">
        <v>7</v>
      </c>
      <c r="I429" t="s">
        <v>25</v>
      </c>
      <c r="J429">
        <v>5</v>
      </c>
      <c r="K429" t="s">
        <v>25</v>
      </c>
      <c r="L429">
        <v>8</v>
      </c>
      <c r="M429">
        <v>72058</v>
      </c>
      <c r="N429">
        <v>2</v>
      </c>
    </row>
    <row r="430" spans="1:14" x14ac:dyDescent="0.2">
      <c r="A430" s="3">
        <f t="shared" si="7"/>
        <v>1933</v>
      </c>
      <c r="B430" t="str">
        <f>"00019330028"</f>
        <v>00019330028</v>
      </c>
      <c r="C430" t="s">
        <v>606</v>
      </c>
      <c r="D430" t="s">
        <v>421</v>
      </c>
      <c r="E430">
        <v>70</v>
      </c>
      <c r="F430">
        <v>1205</v>
      </c>
      <c r="G430" t="s">
        <v>325</v>
      </c>
      <c r="H430">
        <v>150</v>
      </c>
      <c r="I430" t="s">
        <v>34</v>
      </c>
      <c r="J430">
        <v>118</v>
      </c>
      <c r="K430" t="s">
        <v>34</v>
      </c>
      <c r="L430">
        <v>8</v>
      </c>
      <c r="M430">
        <v>66179</v>
      </c>
      <c r="N430">
        <v>32</v>
      </c>
    </row>
    <row r="431" spans="1:14" x14ac:dyDescent="0.2">
      <c r="A431" s="3">
        <f t="shared" si="7"/>
        <v>1936</v>
      </c>
      <c r="B431" t="str">
        <f>"00019360020"</f>
        <v>00019360020</v>
      </c>
      <c r="C431" t="s">
        <v>607</v>
      </c>
      <c r="D431" t="s">
        <v>115</v>
      </c>
      <c r="E431">
        <v>70</v>
      </c>
      <c r="F431">
        <v>1631</v>
      </c>
      <c r="G431" t="s">
        <v>598</v>
      </c>
      <c r="H431">
        <v>120</v>
      </c>
      <c r="I431" t="s">
        <v>34</v>
      </c>
      <c r="J431">
        <v>88</v>
      </c>
      <c r="K431" t="s">
        <v>34</v>
      </c>
      <c r="L431">
        <v>8</v>
      </c>
      <c r="M431">
        <v>66171</v>
      </c>
      <c r="N431">
        <v>24</v>
      </c>
    </row>
    <row r="432" spans="1:14" x14ac:dyDescent="0.2">
      <c r="A432" s="3">
        <f t="shared" si="7"/>
        <v>1937</v>
      </c>
      <c r="B432" t="str">
        <f>"00019370024"</f>
        <v>00019370024</v>
      </c>
      <c r="C432" t="s">
        <v>608</v>
      </c>
      <c r="D432" t="s">
        <v>42</v>
      </c>
      <c r="E432">
        <v>70</v>
      </c>
      <c r="F432">
        <v>2405</v>
      </c>
      <c r="G432" t="s">
        <v>609</v>
      </c>
      <c r="H432">
        <v>9</v>
      </c>
      <c r="I432" t="s">
        <v>25</v>
      </c>
      <c r="J432">
        <v>7</v>
      </c>
      <c r="K432" t="s">
        <v>25</v>
      </c>
      <c r="L432">
        <v>8</v>
      </c>
      <c r="M432">
        <v>72078</v>
      </c>
      <c r="N432">
        <v>2</v>
      </c>
    </row>
    <row r="433" spans="1:14" x14ac:dyDescent="0.2">
      <c r="A433" s="3">
        <f t="shared" si="7"/>
        <v>1940</v>
      </c>
      <c r="B433" t="str">
        <f>"00019400024"</f>
        <v>00019400024</v>
      </c>
      <c r="C433" t="s">
        <v>610</v>
      </c>
      <c r="D433" t="s">
        <v>42</v>
      </c>
      <c r="E433">
        <v>70</v>
      </c>
      <c r="F433">
        <v>3903</v>
      </c>
      <c r="G433" t="s">
        <v>611</v>
      </c>
      <c r="H433">
        <v>98</v>
      </c>
      <c r="I433" t="s">
        <v>34</v>
      </c>
      <c r="J433">
        <v>74</v>
      </c>
      <c r="K433" t="s">
        <v>34</v>
      </c>
      <c r="L433">
        <v>8</v>
      </c>
      <c r="M433">
        <v>95706</v>
      </c>
      <c r="N433">
        <v>24</v>
      </c>
    </row>
    <row r="434" spans="1:14" x14ac:dyDescent="0.2">
      <c r="A434" s="3">
        <f t="shared" si="7"/>
        <v>1949</v>
      </c>
      <c r="B434" t="str">
        <f>"00019490020"</f>
        <v>00019490020</v>
      </c>
      <c r="C434" t="s">
        <v>612</v>
      </c>
      <c r="D434" t="s">
        <v>115</v>
      </c>
      <c r="E434">
        <v>70</v>
      </c>
      <c r="F434">
        <v>4652</v>
      </c>
      <c r="G434" t="s">
        <v>613</v>
      </c>
      <c r="H434">
        <v>122</v>
      </c>
      <c r="I434" t="s">
        <v>34</v>
      </c>
      <c r="J434">
        <v>90</v>
      </c>
      <c r="K434" t="s">
        <v>34</v>
      </c>
      <c r="L434">
        <v>8</v>
      </c>
      <c r="M434">
        <v>66204</v>
      </c>
      <c r="N434">
        <v>32</v>
      </c>
    </row>
    <row r="435" spans="1:14" x14ac:dyDescent="0.2">
      <c r="A435" s="3">
        <f t="shared" si="7"/>
        <v>1950</v>
      </c>
      <c r="B435" t="str">
        <f>"00019500018"</f>
        <v>00019500018</v>
      </c>
      <c r="C435" t="s">
        <v>614</v>
      </c>
      <c r="D435" t="s">
        <v>115</v>
      </c>
      <c r="E435">
        <v>70</v>
      </c>
      <c r="F435">
        <v>4652</v>
      </c>
      <c r="G435" t="s">
        <v>613</v>
      </c>
      <c r="H435">
        <v>77</v>
      </c>
      <c r="I435" t="s">
        <v>34</v>
      </c>
      <c r="J435">
        <v>60</v>
      </c>
      <c r="K435" t="s">
        <v>34</v>
      </c>
      <c r="L435">
        <v>8</v>
      </c>
      <c r="M435">
        <v>66215</v>
      </c>
      <c r="N435">
        <v>17</v>
      </c>
    </row>
    <row r="436" spans="1:14" x14ac:dyDescent="0.2">
      <c r="A436" s="3">
        <f t="shared" si="7"/>
        <v>1951</v>
      </c>
      <c r="B436" t="str">
        <f>"00019510018"</f>
        <v>00019510018</v>
      </c>
      <c r="C436" t="s">
        <v>615</v>
      </c>
      <c r="D436" t="s">
        <v>115</v>
      </c>
      <c r="E436">
        <v>70</v>
      </c>
      <c r="F436">
        <v>4652</v>
      </c>
      <c r="G436" t="s">
        <v>613</v>
      </c>
      <c r="H436">
        <v>77</v>
      </c>
      <c r="I436" t="s">
        <v>34</v>
      </c>
      <c r="J436">
        <v>60</v>
      </c>
      <c r="K436" t="s">
        <v>34</v>
      </c>
      <c r="L436">
        <v>8</v>
      </c>
      <c r="M436">
        <v>66190</v>
      </c>
      <c r="N436">
        <v>17</v>
      </c>
    </row>
    <row r="437" spans="1:14" x14ac:dyDescent="0.2">
      <c r="A437" s="3">
        <f t="shared" si="7"/>
        <v>1964</v>
      </c>
      <c r="B437" t="str">
        <f>"00019640027"</f>
        <v>00019640027</v>
      </c>
      <c r="C437" t="s">
        <v>616</v>
      </c>
      <c r="D437" t="s">
        <v>115</v>
      </c>
      <c r="E437">
        <v>44</v>
      </c>
      <c r="F437">
        <v>7234</v>
      </c>
      <c r="G437" t="s">
        <v>617</v>
      </c>
      <c r="H437">
        <v>16</v>
      </c>
      <c r="I437" t="s">
        <v>25</v>
      </c>
      <c r="J437">
        <v>13</v>
      </c>
      <c r="K437" t="s">
        <v>25</v>
      </c>
      <c r="L437">
        <v>8</v>
      </c>
      <c r="M437">
        <v>67005</v>
      </c>
      <c r="N437">
        <v>3</v>
      </c>
    </row>
    <row r="438" spans="1:14" x14ac:dyDescent="0.2">
      <c r="A438" s="3">
        <f t="shared" si="7"/>
        <v>1965</v>
      </c>
      <c r="B438" t="str">
        <f>"00019650010"</f>
        <v>00019650010</v>
      </c>
      <c r="C438" t="s">
        <v>618</v>
      </c>
      <c r="D438" t="s">
        <v>32</v>
      </c>
      <c r="E438">
        <v>30</v>
      </c>
      <c r="F438">
        <v>2181</v>
      </c>
      <c r="G438" t="s">
        <v>256</v>
      </c>
      <c r="H438">
        <v>21</v>
      </c>
      <c r="I438" t="s">
        <v>34</v>
      </c>
      <c r="J438">
        <v>15</v>
      </c>
      <c r="K438" t="s">
        <v>34</v>
      </c>
      <c r="L438">
        <v>8</v>
      </c>
      <c r="M438">
        <v>83060</v>
      </c>
      <c r="N438">
        <v>6</v>
      </c>
    </row>
    <row r="439" spans="1:14" x14ac:dyDescent="0.2">
      <c r="A439" s="3">
        <f t="shared" si="7"/>
        <v>1983</v>
      </c>
      <c r="B439" t="str">
        <f>"00019830016"</f>
        <v>00019830016</v>
      </c>
      <c r="C439" t="s">
        <v>619</v>
      </c>
      <c r="D439" t="s">
        <v>115</v>
      </c>
      <c r="E439">
        <v>72</v>
      </c>
      <c r="F439">
        <v>4378</v>
      </c>
      <c r="G439" t="s">
        <v>620</v>
      </c>
      <c r="H439">
        <v>44</v>
      </c>
      <c r="I439" t="s">
        <v>34</v>
      </c>
      <c r="J439">
        <v>33</v>
      </c>
      <c r="K439" t="s">
        <v>34</v>
      </c>
      <c r="L439">
        <v>8</v>
      </c>
      <c r="M439">
        <v>76169</v>
      </c>
      <c r="N439">
        <v>11</v>
      </c>
    </row>
    <row r="440" spans="1:14" x14ac:dyDescent="0.2">
      <c r="A440" s="3">
        <f t="shared" si="7"/>
        <v>2005</v>
      </c>
      <c r="B440" t="str">
        <f>"00020050042"</f>
        <v>00020050042</v>
      </c>
      <c r="C440" t="s">
        <v>621</v>
      </c>
      <c r="D440" t="s">
        <v>622</v>
      </c>
      <c r="E440">
        <v>71</v>
      </c>
      <c r="F440">
        <v>919</v>
      </c>
      <c r="G440" t="s">
        <v>623</v>
      </c>
      <c r="H440">
        <v>16</v>
      </c>
      <c r="I440" t="s">
        <v>25</v>
      </c>
      <c r="J440">
        <v>13</v>
      </c>
      <c r="K440" t="s">
        <v>25</v>
      </c>
      <c r="L440">
        <v>8</v>
      </c>
      <c r="M440">
        <v>74245</v>
      </c>
      <c r="N440">
        <v>3</v>
      </c>
    </row>
    <row r="441" spans="1:14" x14ac:dyDescent="0.2">
      <c r="A441" s="3">
        <f t="shared" si="7"/>
        <v>2007</v>
      </c>
      <c r="B441" t="str">
        <f>"00020070018"</f>
        <v>00020070018</v>
      </c>
      <c r="C441" t="s">
        <v>624</v>
      </c>
      <c r="D441" t="s">
        <v>622</v>
      </c>
      <c r="E441">
        <v>71</v>
      </c>
      <c r="F441">
        <v>4366</v>
      </c>
      <c r="G441" t="s">
        <v>625</v>
      </c>
      <c r="H441">
        <v>12</v>
      </c>
      <c r="I441" t="s">
        <v>25</v>
      </c>
      <c r="J441">
        <v>9</v>
      </c>
      <c r="K441" t="s">
        <v>25</v>
      </c>
      <c r="L441">
        <v>8</v>
      </c>
      <c r="M441">
        <v>74184</v>
      </c>
      <c r="N441">
        <v>3</v>
      </c>
    </row>
    <row r="442" spans="1:14" x14ac:dyDescent="0.2">
      <c r="A442" s="3">
        <f t="shared" si="7"/>
        <v>2033</v>
      </c>
      <c r="B442" t="str">
        <f>"00020330028"</f>
        <v>00020330028</v>
      </c>
      <c r="C442" t="s">
        <v>626</v>
      </c>
      <c r="D442" t="s">
        <v>115</v>
      </c>
      <c r="E442">
        <v>71</v>
      </c>
      <c r="F442">
        <v>1695</v>
      </c>
      <c r="G442" t="s">
        <v>627</v>
      </c>
      <c r="H442">
        <v>150</v>
      </c>
      <c r="I442" t="s">
        <v>34</v>
      </c>
      <c r="J442">
        <v>118</v>
      </c>
      <c r="K442" t="s">
        <v>34</v>
      </c>
      <c r="L442">
        <v>8</v>
      </c>
      <c r="M442">
        <v>74210</v>
      </c>
      <c r="N442">
        <v>32</v>
      </c>
    </row>
    <row r="443" spans="1:14" x14ac:dyDescent="0.2">
      <c r="A443" s="3">
        <f t="shared" si="7"/>
        <v>2038</v>
      </c>
      <c r="B443" t="str">
        <f>"00020380025"</f>
        <v>00020380025</v>
      </c>
      <c r="C443" t="s">
        <v>628</v>
      </c>
      <c r="D443" t="s">
        <v>42</v>
      </c>
      <c r="E443">
        <v>71</v>
      </c>
      <c r="F443">
        <v>330</v>
      </c>
      <c r="G443" t="s">
        <v>629</v>
      </c>
      <c r="H443">
        <v>6</v>
      </c>
      <c r="I443" t="s">
        <v>25</v>
      </c>
      <c r="J443">
        <v>4</v>
      </c>
      <c r="K443" t="s">
        <v>25</v>
      </c>
      <c r="L443">
        <v>8</v>
      </c>
      <c r="M443">
        <v>74186</v>
      </c>
      <c r="N443">
        <v>2</v>
      </c>
    </row>
    <row r="444" spans="1:14" x14ac:dyDescent="0.2">
      <c r="A444" s="3">
        <f t="shared" si="7"/>
        <v>2040</v>
      </c>
      <c r="B444" t="str">
        <f>"00020400024"</f>
        <v>00020400024</v>
      </c>
      <c r="C444" t="s">
        <v>630</v>
      </c>
      <c r="D444" t="s">
        <v>622</v>
      </c>
      <c r="E444">
        <v>71</v>
      </c>
      <c r="F444">
        <v>5011</v>
      </c>
      <c r="G444" t="s">
        <v>631</v>
      </c>
      <c r="H444">
        <v>9</v>
      </c>
      <c r="I444" t="s">
        <v>25</v>
      </c>
      <c r="J444">
        <v>7</v>
      </c>
      <c r="K444" t="s">
        <v>25</v>
      </c>
      <c r="L444">
        <v>8</v>
      </c>
      <c r="M444">
        <v>74179</v>
      </c>
      <c r="N444">
        <v>2</v>
      </c>
    </row>
    <row r="445" spans="1:14" x14ac:dyDescent="0.2">
      <c r="A445" s="3">
        <f t="shared" si="7"/>
        <v>2042</v>
      </c>
      <c r="B445" t="str">
        <f>"00020420020"</f>
        <v>00020420020</v>
      </c>
      <c r="C445" t="s">
        <v>632</v>
      </c>
      <c r="D445" t="s">
        <v>622</v>
      </c>
      <c r="E445">
        <v>71</v>
      </c>
      <c r="F445">
        <v>1095</v>
      </c>
      <c r="G445" t="s">
        <v>633</v>
      </c>
      <c r="H445">
        <v>15</v>
      </c>
      <c r="I445" t="s">
        <v>25</v>
      </c>
      <c r="J445">
        <v>11</v>
      </c>
      <c r="K445" t="s">
        <v>25</v>
      </c>
      <c r="L445">
        <v>8</v>
      </c>
      <c r="M445">
        <v>74243</v>
      </c>
      <c r="N445">
        <v>4</v>
      </c>
    </row>
    <row r="446" spans="1:14" x14ac:dyDescent="0.2">
      <c r="A446" s="3">
        <f t="shared" si="7"/>
        <v>2045</v>
      </c>
      <c r="B446" t="str">
        <f>"00020450019"</f>
        <v>00020450019</v>
      </c>
      <c r="C446" t="s">
        <v>634</v>
      </c>
      <c r="D446" t="s">
        <v>36</v>
      </c>
      <c r="E446">
        <v>71</v>
      </c>
      <c r="F446">
        <v>1301</v>
      </c>
      <c r="G446" t="s">
        <v>521</v>
      </c>
      <c r="H446">
        <v>108</v>
      </c>
      <c r="I446" t="s">
        <v>34</v>
      </c>
      <c r="J446">
        <v>80</v>
      </c>
      <c r="K446" t="s">
        <v>34</v>
      </c>
      <c r="L446">
        <v>8</v>
      </c>
      <c r="M446">
        <v>74217</v>
      </c>
      <c r="N446">
        <v>28</v>
      </c>
    </row>
    <row r="447" spans="1:14" x14ac:dyDescent="0.2">
      <c r="A447" s="3">
        <f t="shared" si="7"/>
        <v>2045</v>
      </c>
      <c r="B447" t="str">
        <f>"00020450152"</f>
        <v>00020450152</v>
      </c>
      <c r="C447" t="s">
        <v>634</v>
      </c>
      <c r="D447" t="s">
        <v>52</v>
      </c>
      <c r="E447">
        <v>71</v>
      </c>
      <c r="F447">
        <v>1301</v>
      </c>
      <c r="G447" t="s">
        <v>521</v>
      </c>
      <c r="H447">
        <v>108</v>
      </c>
      <c r="I447" t="s">
        <v>34</v>
      </c>
      <c r="J447">
        <v>80</v>
      </c>
      <c r="K447" t="s">
        <v>34</v>
      </c>
      <c r="L447">
        <v>5</v>
      </c>
      <c r="M447" t="s">
        <v>65</v>
      </c>
      <c r="N447">
        <v>28</v>
      </c>
    </row>
    <row r="448" spans="1:14" x14ac:dyDescent="0.2">
      <c r="A448" s="3">
        <f t="shared" si="7"/>
        <v>2050</v>
      </c>
      <c r="B448" t="str">
        <f>"00020500012"</f>
        <v>00020500012</v>
      </c>
      <c r="C448" t="s">
        <v>635</v>
      </c>
      <c r="D448" t="s">
        <v>418</v>
      </c>
      <c r="E448">
        <v>71</v>
      </c>
      <c r="F448">
        <v>1482</v>
      </c>
      <c r="G448" t="s">
        <v>636</v>
      </c>
      <c r="H448">
        <v>12</v>
      </c>
      <c r="I448" t="s">
        <v>25</v>
      </c>
      <c r="J448">
        <v>9</v>
      </c>
      <c r="K448" t="s">
        <v>25</v>
      </c>
      <c r="L448">
        <v>8</v>
      </c>
      <c r="M448">
        <v>74014</v>
      </c>
      <c r="N448">
        <v>3</v>
      </c>
    </row>
    <row r="449" spans="1:14" x14ac:dyDescent="0.2">
      <c r="A449" s="3">
        <f t="shared" si="7"/>
        <v>2054</v>
      </c>
      <c r="B449" t="str">
        <f>"00020540020"</f>
        <v>00020540020</v>
      </c>
      <c r="C449" t="s">
        <v>637</v>
      </c>
      <c r="D449" t="s">
        <v>36</v>
      </c>
      <c r="E449">
        <v>71</v>
      </c>
      <c r="F449">
        <v>1301</v>
      </c>
      <c r="G449" t="s">
        <v>521</v>
      </c>
      <c r="H449">
        <v>108</v>
      </c>
      <c r="I449" t="s">
        <v>34</v>
      </c>
      <c r="J449">
        <v>80</v>
      </c>
      <c r="K449" t="s">
        <v>34</v>
      </c>
      <c r="L449">
        <v>8</v>
      </c>
      <c r="M449">
        <v>74201</v>
      </c>
      <c r="N449">
        <v>28</v>
      </c>
    </row>
    <row r="450" spans="1:14" x14ac:dyDescent="0.2">
      <c r="A450" s="3">
        <f t="shared" si="7"/>
        <v>2055</v>
      </c>
      <c r="B450" t="str">
        <f>"00020550014"</f>
        <v>00020550014</v>
      </c>
      <c r="C450" t="s">
        <v>638</v>
      </c>
      <c r="D450" t="s">
        <v>36</v>
      </c>
      <c r="E450">
        <v>71</v>
      </c>
      <c r="F450">
        <v>844</v>
      </c>
      <c r="G450" t="s">
        <v>639</v>
      </c>
      <c r="H450">
        <v>10</v>
      </c>
      <c r="I450" t="s">
        <v>25</v>
      </c>
      <c r="J450">
        <v>7</v>
      </c>
      <c r="K450" t="s">
        <v>25</v>
      </c>
      <c r="L450">
        <v>8</v>
      </c>
      <c r="M450">
        <v>72019</v>
      </c>
      <c r="N450">
        <v>3</v>
      </c>
    </row>
    <row r="451" spans="1:14" x14ac:dyDescent="0.2">
      <c r="A451" s="3">
        <f t="shared" si="7"/>
        <v>2057</v>
      </c>
      <c r="B451" t="str">
        <f>"00020570018"</f>
        <v>00020570018</v>
      </c>
      <c r="C451" t="s">
        <v>640</v>
      </c>
      <c r="D451" t="s">
        <v>115</v>
      </c>
      <c r="E451">
        <v>71</v>
      </c>
      <c r="F451">
        <v>1695</v>
      </c>
      <c r="G451" t="s">
        <v>627</v>
      </c>
      <c r="H451">
        <v>150</v>
      </c>
      <c r="I451" t="s">
        <v>34</v>
      </c>
      <c r="J451">
        <v>118</v>
      </c>
      <c r="K451" t="s">
        <v>34</v>
      </c>
      <c r="L451">
        <v>8</v>
      </c>
      <c r="M451">
        <v>76014</v>
      </c>
      <c r="N451">
        <v>32</v>
      </c>
    </row>
    <row r="452" spans="1:14" x14ac:dyDescent="0.2">
      <c r="A452" s="3">
        <f t="shared" ref="A452:A515" si="8">(B452-RIGHT(B452,4))/10000</f>
        <v>2058</v>
      </c>
      <c r="B452" t="str">
        <f>"00020580016"</f>
        <v>00020580016</v>
      </c>
      <c r="C452" t="s">
        <v>641</v>
      </c>
      <c r="D452" t="s">
        <v>622</v>
      </c>
      <c r="E452">
        <v>71</v>
      </c>
      <c r="F452">
        <v>8052</v>
      </c>
      <c r="G452" t="s">
        <v>642</v>
      </c>
      <c r="H452">
        <v>11</v>
      </c>
      <c r="I452" t="s">
        <v>25</v>
      </c>
      <c r="J452">
        <v>8</v>
      </c>
      <c r="K452" t="s">
        <v>25</v>
      </c>
      <c r="L452">
        <v>8</v>
      </c>
      <c r="M452">
        <v>72012</v>
      </c>
      <c r="N452">
        <v>3</v>
      </c>
    </row>
    <row r="453" spans="1:14" x14ac:dyDescent="0.2">
      <c r="A453" s="3">
        <f t="shared" si="8"/>
        <v>2078</v>
      </c>
      <c r="B453" t="str">
        <f>"00020780030"</f>
        <v>00020780030</v>
      </c>
      <c r="C453" t="s">
        <v>643</v>
      </c>
      <c r="D453" t="s">
        <v>36</v>
      </c>
      <c r="E453">
        <v>71</v>
      </c>
      <c r="F453">
        <v>844</v>
      </c>
      <c r="G453" t="s">
        <v>639</v>
      </c>
      <c r="H453">
        <v>10</v>
      </c>
      <c r="I453" t="s">
        <v>25</v>
      </c>
      <c r="J453">
        <v>7</v>
      </c>
      <c r="K453" t="s">
        <v>25</v>
      </c>
      <c r="L453">
        <v>8</v>
      </c>
      <c r="M453">
        <v>72034</v>
      </c>
      <c r="N453">
        <v>3</v>
      </c>
    </row>
    <row r="454" spans="1:14" x14ac:dyDescent="0.2">
      <c r="A454" s="3">
        <f t="shared" si="8"/>
        <v>2080</v>
      </c>
      <c r="B454" t="str">
        <f>"00020800030"</f>
        <v>00020800030</v>
      </c>
      <c r="C454" t="s">
        <v>644</v>
      </c>
      <c r="D454" t="s">
        <v>36</v>
      </c>
      <c r="E454">
        <v>71</v>
      </c>
      <c r="F454">
        <v>844</v>
      </c>
      <c r="G454" t="s">
        <v>639</v>
      </c>
      <c r="H454">
        <v>10</v>
      </c>
      <c r="I454" t="s">
        <v>25</v>
      </c>
      <c r="J454">
        <v>7</v>
      </c>
      <c r="K454" t="s">
        <v>25</v>
      </c>
      <c r="L454">
        <v>8</v>
      </c>
      <c r="M454">
        <v>72028</v>
      </c>
      <c r="N454">
        <v>3</v>
      </c>
    </row>
    <row r="455" spans="1:14" x14ac:dyDescent="0.2">
      <c r="A455" s="3">
        <f t="shared" si="8"/>
        <v>2091</v>
      </c>
      <c r="B455" t="str">
        <f>"00020910015"</f>
        <v>00020910015</v>
      </c>
      <c r="C455" t="s">
        <v>645</v>
      </c>
      <c r="D455" t="s">
        <v>36</v>
      </c>
      <c r="E455">
        <v>70</v>
      </c>
      <c r="F455">
        <v>115</v>
      </c>
      <c r="G455" t="s">
        <v>586</v>
      </c>
      <c r="H455">
        <v>9</v>
      </c>
      <c r="I455" t="s">
        <v>25</v>
      </c>
      <c r="J455">
        <v>7</v>
      </c>
      <c r="K455" t="s">
        <v>25</v>
      </c>
      <c r="L455">
        <v>8</v>
      </c>
      <c r="M455">
        <v>74025</v>
      </c>
      <c r="N455">
        <v>2</v>
      </c>
    </row>
    <row r="456" spans="1:14" x14ac:dyDescent="0.2">
      <c r="A456" s="3">
        <f t="shared" si="8"/>
        <v>2097</v>
      </c>
      <c r="B456" t="str">
        <f>"00020970003"</f>
        <v>00020970003</v>
      </c>
      <c r="C456" t="s">
        <v>646</v>
      </c>
      <c r="D456" t="s">
        <v>115</v>
      </c>
      <c r="E456">
        <v>62</v>
      </c>
      <c r="F456">
        <v>539</v>
      </c>
      <c r="G456" t="s">
        <v>647</v>
      </c>
      <c r="H456">
        <v>140</v>
      </c>
      <c r="I456" t="s">
        <v>34</v>
      </c>
      <c r="J456">
        <v>112</v>
      </c>
      <c r="K456" t="s">
        <v>34</v>
      </c>
      <c r="L456">
        <v>8</v>
      </c>
      <c r="M456">
        <v>71076</v>
      </c>
      <c r="N456">
        <v>28</v>
      </c>
    </row>
    <row r="457" spans="1:14" x14ac:dyDescent="0.2">
      <c r="A457" s="3">
        <f t="shared" si="8"/>
        <v>2098</v>
      </c>
      <c r="B457" t="str">
        <f>"00020980003"</f>
        <v>00020980003</v>
      </c>
      <c r="C457" t="s">
        <v>648</v>
      </c>
      <c r="D457" t="s">
        <v>115</v>
      </c>
      <c r="E457">
        <v>62</v>
      </c>
      <c r="F457">
        <v>539</v>
      </c>
      <c r="G457" t="s">
        <v>647</v>
      </c>
      <c r="H457">
        <v>140</v>
      </c>
      <c r="I457" t="s">
        <v>34</v>
      </c>
      <c r="J457">
        <v>112</v>
      </c>
      <c r="K457" t="s">
        <v>34</v>
      </c>
      <c r="L457">
        <v>8</v>
      </c>
      <c r="M457">
        <v>71087</v>
      </c>
      <c r="N457">
        <v>28</v>
      </c>
    </row>
    <row r="458" spans="1:14" x14ac:dyDescent="0.2">
      <c r="A458" s="3">
        <f t="shared" si="8"/>
        <v>2099</v>
      </c>
      <c r="B458" t="str">
        <f>"00020990003"</f>
        <v>00020990003</v>
      </c>
      <c r="C458" t="s">
        <v>649</v>
      </c>
      <c r="D458" t="s">
        <v>115</v>
      </c>
      <c r="E458">
        <v>62</v>
      </c>
      <c r="F458">
        <v>539</v>
      </c>
      <c r="G458" t="s">
        <v>647</v>
      </c>
      <c r="H458">
        <v>140</v>
      </c>
      <c r="I458" t="s">
        <v>34</v>
      </c>
      <c r="J458">
        <v>112</v>
      </c>
      <c r="K458" t="s">
        <v>34</v>
      </c>
      <c r="L458">
        <v>8</v>
      </c>
      <c r="M458">
        <v>71096</v>
      </c>
      <c r="N458">
        <v>28</v>
      </c>
    </row>
    <row r="459" spans="1:14" x14ac:dyDescent="0.2">
      <c r="A459" s="3">
        <f t="shared" si="8"/>
        <v>2104</v>
      </c>
      <c r="B459" t="str">
        <f>"00021040016"</f>
        <v>00021040016</v>
      </c>
      <c r="C459" t="s">
        <v>650</v>
      </c>
      <c r="D459" t="s">
        <v>42</v>
      </c>
      <c r="E459">
        <v>46</v>
      </c>
      <c r="F459">
        <v>902</v>
      </c>
      <c r="G459" t="s">
        <v>651</v>
      </c>
      <c r="H459">
        <v>13</v>
      </c>
      <c r="I459" t="s">
        <v>25</v>
      </c>
      <c r="J459">
        <v>10</v>
      </c>
      <c r="K459" t="s">
        <v>25</v>
      </c>
      <c r="L459">
        <v>8</v>
      </c>
      <c r="M459">
        <v>73118</v>
      </c>
      <c r="N459">
        <v>3</v>
      </c>
    </row>
    <row r="460" spans="1:14" x14ac:dyDescent="0.2">
      <c r="A460" s="3">
        <f t="shared" si="8"/>
        <v>2111</v>
      </c>
      <c r="B460" t="str">
        <f>"00021110016"</f>
        <v>00021110016</v>
      </c>
      <c r="C460" t="s">
        <v>652</v>
      </c>
      <c r="D460" t="s">
        <v>42</v>
      </c>
      <c r="E460">
        <v>46</v>
      </c>
      <c r="F460">
        <v>902</v>
      </c>
      <c r="G460" t="s">
        <v>651</v>
      </c>
      <c r="H460">
        <v>13</v>
      </c>
      <c r="I460" t="s">
        <v>25</v>
      </c>
      <c r="J460">
        <v>10</v>
      </c>
      <c r="K460" t="s">
        <v>25</v>
      </c>
      <c r="L460">
        <v>8</v>
      </c>
      <c r="M460">
        <v>73120</v>
      </c>
      <c r="N460">
        <v>3</v>
      </c>
    </row>
    <row r="461" spans="1:14" x14ac:dyDescent="0.2">
      <c r="A461" s="3">
        <f t="shared" si="8"/>
        <v>2113</v>
      </c>
      <c r="B461" t="str">
        <f>"00021130024"</f>
        <v>00021130024</v>
      </c>
      <c r="C461" t="s">
        <v>653</v>
      </c>
      <c r="D461" t="s">
        <v>543</v>
      </c>
      <c r="E461">
        <v>46</v>
      </c>
      <c r="F461">
        <v>1517</v>
      </c>
      <c r="G461" t="s">
        <v>654</v>
      </c>
      <c r="H461">
        <v>18</v>
      </c>
      <c r="I461" t="s">
        <v>25</v>
      </c>
      <c r="J461">
        <v>14</v>
      </c>
      <c r="K461" t="s">
        <v>25</v>
      </c>
      <c r="L461">
        <v>8</v>
      </c>
      <c r="M461">
        <v>73219</v>
      </c>
      <c r="N461">
        <v>4</v>
      </c>
    </row>
    <row r="462" spans="1:14" x14ac:dyDescent="0.2">
      <c r="A462" s="3">
        <f t="shared" si="8"/>
        <v>2119</v>
      </c>
      <c r="B462" t="str">
        <f>"00021190001"</f>
        <v>00021190001</v>
      </c>
      <c r="C462" t="s">
        <v>655</v>
      </c>
      <c r="D462" t="s">
        <v>337</v>
      </c>
      <c r="E462">
        <v>90</v>
      </c>
      <c r="F462">
        <v>8253</v>
      </c>
      <c r="G462" t="s">
        <v>343</v>
      </c>
      <c r="H462">
        <v>11</v>
      </c>
      <c r="I462" t="s">
        <v>34</v>
      </c>
      <c r="J462">
        <v>7</v>
      </c>
      <c r="K462" t="s">
        <v>34</v>
      </c>
      <c r="L462">
        <v>8</v>
      </c>
      <c r="M462">
        <v>91015</v>
      </c>
      <c r="N462">
        <v>3</v>
      </c>
    </row>
    <row r="463" spans="1:14" x14ac:dyDescent="0.2">
      <c r="A463" s="3">
        <f t="shared" si="8"/>
        <v>2126</v>
      </c>
      <c r="B463" t="str">
        <f>"00021260024"</f>
        <v>00021260024</v>
      </c>
      <c r="C463" t="s">
        <v>656</v>
      </c>
      <c r="D463" t="s">
        <v>543</v>
      </c>
      <c r="E463">
        <v>46</v>
      </c>
      <c r="F463">
        <v>1517</v>
      </c>
      <c r="G463" t="s">
        <v>654</v>
      </c>
      <c r="H463">
        <v>18</v>
      </c>
      <c r="I463" t="s">
        <v>25</v>
      </c>
      <c r="J463">
        <v>14</v>
      </c>
      <c r="K463" t="s">
        <v>25</v>
      </c>
      <c r="L463">
        <v>8</v>
      </c>
      <c r="M463">
        <v>73226</v>
      </c>
      <c r="N463">
        <v>4</v>
      </c>
    </row>
    <row r="464" spans="1:14" x14ac:dyDescent="0.2">
      <c r="A464" s="3">
        <f t="shared" si="8"/>
        <v>2133</v>
      </c>
      <c r="B464" t="str">
        <f>"00021330008"</f>
        <v>00021330008</v>
      </c>
      <c r="C464" t="s">
        <v>657</v>
      </c>
      <c r="D464" t="s">
        <v>42</v>
      </c>
      <c r="E464">
        <v>46</v>
      </c>
      <c r="F464">
        <v>902</v>
      </c>
      <c r="G464" t="s">
        <v>651</v>
      </c>
      <c r="H464">
        <v>13</v>
      </c>
      <c r="I464" t="s">
        <v>25</v>
      </c>
      <c r="J464">
        <v>10</v>
      </c>
      <c r="K464" t="s">
        <v>25</v>
      </c>
      <c r="L464">
        <v>8</v>
      </c>
      <c r="M464">
        <v>73151</v>
      </c>
      <c r="N464">
        <v>3</v>
      </c>
    </row>
    <row r="465" spans="1:14" x14ac:dyDescent="0.2">
      <c r="A465" s="3">
        <f t="shared" si="8"/>
        <v>2147</v>
      </c>
      <c r="B465" t="str">
        <f>"00021470008"</f>
        <v>00021470008</v>
      </c>
      <c r="C465" t="s">
        <v>658</v>
      </c>
      <c r="D465" t="s">
        <v>36</v>
      </c>
      <c r="E465">
        <v>46</v>
      </c>
      <c r="F465">
        <v>4281</v>
      </c>
      <c r="G465" t="s">
        <v>491</v>
      </c>
      <c r="H465">
        <v>8</v>
      </c>
      <c r="I465" t="s">
        <v>25</v>
      </c>
      <c r="J465">
        <v>6</v>
      </c>
      <c r="K465" t="s">
        <v>25</v>
      </c>
      <c r="L465">
        <v>8</v>
      </c>
      <c r="M465">
        <v>73082</v>
      </c>
      <c r="N465">
        <v>2</v>
      </c>
    </row>
    <row r="466" spans="1:14" x14ac:dyDescent="0.2">
      <c r="A466" s="3">
        <f t="shared" si="8"/>
        <v>2148</v>
      </c>
      <c r="B466" t="str">
        <f>"00021480008"</f>
        <v>00021480008</v>
      </c>
      <c r="C466" t="s">
        <v>659</v>
      </c>
      <c r="D466" t="s">
        <v>36</v>
      </c>
      <c r="E466">
        <v>46</v>
      </c>
      <c r="F466">
        <v>4281</v>
      </c>
      <c r="G466" t="s">
        <v>491</v>
      </c>
      <c r="H466">
        <v>8</v>
      </c>
      <c r="I466" t="s">
        <v>25</v>
      </c>
      <c r="J466">
        <v>6</v>
      </c>
      <c r="K466" t="s">
        <v>25</v>
      </c>
      <c r="L466">
        <v>8</v>
      </c>
      <c r="M466">
        <v>73094</v>
      </c>
      <c r="N466">
        <v>2</v>
      </c>
    </row>
    <row r="467" spans="1:14" x14ac:dyDescent="0.2">
      <c r="A467" s="3">
        <f t="shared" si="8"/>
        <v>2150</v>
      </c>
      <c r="B467" t="str">
        <f>"00021500010"</f>
        <v>00021500010</v>
      </c>
      <c r="C467" t="s">
        <v>660</v>
      </c>
      <c r="D467" t="s">
        <v>36</v>
      </c>
      <c r="E467">
        <v>46</v>
      </c>
      <c r="F467">
        <v>2074</v>
      </c>
      <c r="G467" t="s">
        <v>661</v>
      </c>
      <c r="H467">
        <v>8</v>
      </c>
      <c r="I467" t="s">
        <v>25</v>
      </c>
      <c r="J467">
        <v>6</v>
      </c>
      <c r="K467" t="s">
        <v>25</v>
      </c>
      <c r="L467">
        <v>8</v>
      </c>
      <c r="M467">
        <v>73147</v>
      </c>
      <c r="N467">
        <v>2</v>
      </c>
    </row>
    <row r="468" spans="1:14" x14ac:dyDescent="0.2">
      <c r="A468" s="3">
        <f t="shared" si="8"/>
        <v>2151</v>
      </c>
      <c r="B468" t="str">
        <f>"00021510010"</f>
        <v>00021510010</v>
      </c>
      <c r="C468" t="s">
        <v>662</v>
      </c>
      <c r="D468" t="s">
        <v>36</v>
      </c>
      <c r="E468">
        <v>46</v>
      </c>
      <c r="F468">
        <v>2074</v>
      </c>
      <c r="G468" t="s">
        <v>661</v>
      </c>
      <c r="H468">
        <v>8</v>
      </c>
      <c r="I468" t="s">
        <v>25</v>
      </c>
      <c r="J468">
        <v>6</v>
      </c>
      <c r="K468" t="s">
        <v>25</v>
      </c>
      <c r="L468">
        <v>8</v>
      </c>
      <c r="M468">
        <v>73127</v>
      </c>
      <c r="N468">
        <v>2</v>
      </c>
    </row>
    <row r="469" spans="1:14" x14ac:dyDescent="0.2">
      <c r="A469" s="3">
        <f t="shared" si="8"/>
        <v>2153</v>
      </c>
      <c r="B469" t="str">
        <f>"00021530010"</f>
        <v>00021530010</v>
      </c>
      <c r="C469" t="s">
        <v>663</v>
      </c>
      <c r="D469" t="s">
        <v>36</v>
      </c>
      <c r="E469">
        <v>46</v>
      </c>
      <c r="F469">
        <v>4281</v>
      </c>
      <c r="G469" t="s">
        <v>491</v>
      </c>
      <c r="H469">
        <v>8</v>
      </c>
      <c r="I469" t="s">
        <v>25</v>
      </c>
      <c r="J469">
        <v>6</v>
      </c>
      <c r="K469" t="s">
        <v>25</v>
      </c>
      <c r="L469">
        <v>8</v>
      </c>
      <c r="M469">
        <v>73111</v>
      </c>
      <c r="N469">
        <v>2</v>
      </c>
    </row>
    <row r="470" spans="1:14" x14ac:dyDescent="0.2">
      <c r="A470" s="3">
        <f t="shared" si="8"/>
        <v>2172</v>
      </c>
      <c r="B470" t="str">
        <f>"00021720001"</f>
        <v>00021720001</v>
      </c>
      <c r="C470" t="s">
        <v>664</v>
      </c>
      <c r="D470" t="s">
        <v>337</v>
      </c>
      <c r="E470">
        <v>92</v>
      </c>
      <c r="F470">
        <v>842</v>
      </c>
      <c r="G470" t="s">
        <v>665</v>
      </c>
      <c r="H470">
        <v>5</v>
      </c>
      <c r="I470" t="s">
        <v>34</v>
      </c>
      <c r="J470">
        <v>3</v>
      </c>
      <c r="K470" t="s">
        <v>34</v>
      </c>
      <c r="L470">
        <v>8</v>
      </c>
      <c r="M470">
        <v>91106</v>
      </c>
      <c r="N470">
        <v>2</v>
      </c>
    </row>
    <row r="471" spans="1:14" x14ac:dyDescent="0.2">
      <c r="A471" s="3">
        <f t="shared" si="8"/>
        <v>2176</v>
      </c>
      <c r="B471" t="str">
        <f>"00021760014"</f>
        <v>00021760014</v>
      </c>
      <c r="C471" t="s">
        <v>666</v>
      </c>
      <c r="D471" t="s">
        <v>32</v>
      </c>
      <c r="E471">
        <v>30</v>
      </c>
      <c r="F471">
        <v>2182</v>
      </c>
      <c r="G471" t="s">
        <v>33</v>
      </c>
      <c r="H471">
        <v>22</v>
      </c>
      <c r="I471" t="s">
        <v>34</v>
      </c>
      <c r="J471">
        <v>16</v>
      </c>
      <c r="K471" t="s">
        <v>34</v>
      </c>
      <c r="L471">
        <v>8</v>
      </c>
      <c r="M471">
        <v>83014</v>
      </c>
      <c r="N471">
        <v>6</v>
      </c>
    </row>
    <row r="472" spans="1:14" x14ac:dyDescent="0.2">
      <c r="A472" s="3">
        <f t="shared" si="8"/>
        <v>2194</v>
      </c>
      <c r="B472" t="str">
        <f>"00021940018"</f>
        <v>00021940018</v>
      </c>
      <c r="C472" t="s">
        <v>667</v>
      </c>
      <c r="D472" t="s">
        <v>42</v>
      </c>
      <c r="E472">
        <v>44</v>
      </c>
      <c r="F472">
        <v>6916</v>
      </c>
      <c r="G472" t="s">
        <v>60</v>
      </c>
      <c r="H472">
        <v>12</v>
      </c>
      <c r="I472" t="s">
        <v>25</v>
      </c>
      <c r="J472">
        <v>9</v>
      </c>
      <c r="K472" t="s">
        <v>25</v>
      </c>
      <c r="L472">
        <v>8</v>
      </c>
      <c r="M472">
        <v>66043</v>
      </c>
      <c r="N472">
        <v>3</v>
      </c>
    </row>
    <row r="473" spans="1:14" x14ac:dyDescent="0.2">
      <c r="A473" s="3">
        <f t="shared" si="8"/>
        <v>2199</v>
      </c>
      <c r="B473" t="str">
        <f>"00021990018"</f>
        <v>00021990018</v>
      </c>
      <c r="C473" t="s">
        <v>668</v>
      </c>
      <c r="D473" t="s">
        <v>36</v>
      </c>
      <c r="E473">
        <v>71</v>
      </c>
      <c r="F473">
        <v>1301</v>
      </c>
      <c r="G473" t="s">
        <v>521</v>
      </c>
      <c r="H473">
        <v>108</v>
      </c>
      <c r="I473" t="s">
        <v>34</v>
      </c>
      <c r="J473">
        <v>80</v>
      </c>
      <c r="K473" t="s">
        <v>34</v>
      </c>
      <c r="L473">
        <v>8</v>
      </c>
      <c r="M473">
        <v>74226</v>
      </c>
      <c r="N473">
        <v>28</v>
      </c>
    </row>
    <row r="474" spans="1:14" x14ac:dyDescent="0.2">
      <c r="A474" s="3">
        <f t="shared" si="8"/>
        <v>2204</v>
      </c>
      <c r="B474" t="str">
        <f>"00022040024"</f>
        <v>00022040024</v>
      </c>
      <c r="C474" t="s">
        <v>669</v>
      </c>
      <c r="D474" t="s">
        <v>216</v>
      </c>
      <c r="E474">
        <v>70</v>
      </c>
      <c r="F474">
        <v>4355</v>
      </c>
      <c r="G474" t="s">
        <v>553</v>
      </c>
      <c r="H474">
        <v>6</v>
      </c>
      <c r="I474" t="s">
        <v>25</v>
      </c>
      <c r="J474">
        <v>4</v>
      </c>
      <c r="K474" t="s">
        <v>25</v>
      </c>
      <c r="L474">
        <v>8</v>
      </c>
      <c r="M474">
        <v>74085</v>
      </c>
      <c r="N474">
        <v>2</v>
      </c>
    </row>
    <row r="475" spans="1:14" x14ac:dyDescent="0.2">
      <c r="A475" s="3">
        <f t="shared" si="8"/>
        <v>2205</v>
      </c>
      <c r="B475" t="str">
        <f>"00022050016"</f>
        <v>00022050016</v>
      </c>
      <c r="C475" t="s">
        <v>670</v>
      </c>
      <c r="D475" t="s">
        <v>216</v>
      </c>
      <c r="E475">
        <v>72</v>
      </c>
      <c r="F475">
        <v>2306</v>
      </c>
      <c r="G475" t="s">
        <v>671</v>
      </c>
      <c r="H475">
        <v>22</v>
      </c>
      <c r="I475" t="s">
        <v>34</v>
      </c>
      <c r="J475">
        <v>16</v>
      </c>
      <c r="K475" t="s">
        <v>34</v>
      </c>
      <c r="L475">
        <v>8</v>
      </c>
      <c r="M475">
        <v>95722</v>
      </c>
      <c r="N475">
        <v>6</v>
      </c>
    </row>
    <row r="476" spans="1:14" x14ac:dyDescent="0.2">
      <c r="A476" s="3">
        <f t="shared" si="8"/>
        <v>2206</v>
      </c>
      <c r="B476" t="str">
        <f>"00022060007"</f>
        <v>00022060007</v>
      </c>
      <c r="C476" t="s">
        <v>672</v>
      </c>
      <c r="D476" t="s">
        <v>48</v>
      </c>
      <c r="E476">
        <v>72</v>
      </c>
      <c r="F476">
        <v>1930</v>
      </c>
      <c r="G476" t="s">
        <v>673</v>
      </c>
      <c r="H476">
        <v>16</v>
      </c>
      <c r="I476" t="s">
        <v>34</v>
      </c>
      <c r="J476">
        <v>10</v>
      </c>
      <c r="K476" t="s">
        <v>34</v>
      </c>
      <c r="L476">
        <v>8</v>
      </c>
      <c r="M476">
        <v>76180</v>
      </c>
      <c r="N476">
        <v>6</v>
      </c>
    </row>
    <row r="477" spans="1:14" x14ac:dyDescent="0.2">
      <c r="A477" s="3">
        <f t="shared" si="8"/>
        <v>2210</v>
      </c>
      <c r="B477" t="str">
        <f>"00022100012"</f>
        <v>00022100012</v>
      </c>
      <c r="C477" t="s">
        <v>674</v>
      </c>
      <c r="D477" t="s">
        <v>622</v>
      </c>
      <c r="E477">
        <v>48</v>
      </c>
      <c r="F477">
        <v>724</v>
      </c>
      <c r="G477" t="s">
        <v>675</v>
      </c>
      <c r="H477">
        <v>15</v>
      </c>
      <c r="I477" t="s">
        <v>25</v>
      </c>
      <c r="J477">
        <v>11</v>
      </c>
      <c r="K477" t="s">
        <v>25</v>
      </c>
      <c r="L477">
        <v>8</v>
      </c>
      <c r="M477">
        <v>73089</v>
      </c>
      <c r="N477">
        <v>4</v>
      </c>
    </row>
    <row r="478" spans="1:14" x14ac:dyDescent="0.2">
      <c r="A478" s="3">
        <f t="shared" si="8"/>
        <v>2213</v>
      </c>
      <c r="B478" t="str">
        <f>"00022130016"</f>
        <v>00022130016</v>
      </c>
      <c r="C478" t="s">
        <v>676</v>
      </c>
      <c r="D478" t="s">
        <v>216</v>
      </c>
      <c r="E478">
        <v>72</v>
      </c>
      <c r="F478">
        <v>5839</v>
      </c>
      <c r="G478" t="s">
        <v>588</v>
      </c>
      <c r="H478">
        <v>63</v>
      </c>
      <c r="I478" t="s">
        <v>34</v>
      </c>
      <c r="J478">
        <v>50</v>
      </c>
      <c r="K478" t="s">
        <v>34</v>
      </c>
      <c r="L478">
        <v>8</v>
      </c>
      <c r="M478">
        <v>76175</v>
      </c>
      <c r="N478">
        <v>13</v>
      </c>
    </row>
    <row r="479" spans="1:14" x14ac:dyDescent="0.2">
      <c r="A479" s="3">
        <f t="shared" si="8"/>
        <v>2215</v>
      </c>
      <c r="B479" t="str">
        <f>"00022150014"</f>
        <v>00022150014</v>
      </c>
      <c r="C479" t="s">
        <v>677</v>
      </c>
      <c r="D479" t="s">
        <v>36</v>
      </c>
      <c r="E479">
        <v>72</v>
      </c>
      <c r="F479">
        <v>1930</v>
      </c>
      <c r="G479" t="s">
        <v>673</v>
      </c>
      <c r="H479">
        <v>10</v>
      </c>
      <c r="I479" t="s">
        <v>25</v>
      </c>
      <c r="J479">
        <v>7</v>
      </c>
      <c r="K479" t="s">
        <v>25</v>
      </c>
      <c r="L479">
        <v>8</v>
      </c>
      <c r="M479">
        <v>95710</v>
      </c>
      <c r="N479">
        <v>3</v>
      </c>
    </row>
    <row r="480" spans="1:14" x14ac:dyDescent="0.2">
      <c r="A480" s="3">
        <f t="shared" si="8"/>
        <v>2216</v>
      </c>
      <c r="B480" t="str">
        <f>"00022160007"</f>
        <v>00022160007</v>
      </c>
      <c r="C480" t="s">
        <v>678</v>
      </c>
      <c r="D480" t="s">
        <v>67</v>
      </c>
      <c r="E480">
        <v>72</v>
      </c>
      <c r="F480">
        <v>2476</v>
      </c>
      <c r="G480" t="s">
        <v>679</v>
      </c>
      <c r="H480">
        <v>23</v>
      </c>
      <c r="I480" t="s">
        <v>34</v>
      </c>
      <c r="J480">
        <v>17</v>
      </c>
      <c r="K480" t="s">
        <v>34</v>
      </c>
      <c r="L480">
        <v>8</v>
      </c>
      <c r="M480">
        <v>76268</v>
      </c>
      <c r="N480">
        <v>6</v>
      </c>
    </row>
    <row r="481" spans="1:14" x14ac:dyDescent="0.2">
      <c r="A481" s="3">
        <f t="shared" si="8"/>
        <v>2221</v>
      </c>
      <c r="B481" t="str">
        <f>"00022210007"</f>
        <v>00022210007</v>
      </c>
      <c r="C481" t="s">
        <v>680</v>
      </c>
      <c r="D481" t="s">
        <v>216</v>
      </c>
      <c r="E481">
        <v>72</v>
      </c>
      <c r="F481">
        <v>2306</v>
      </c>
      <c r="G481" t="s">
        <v>671</v>
      </c>
      <c r="H481">
        <v>22</v>
      </c>
      <c r="I481" t="s">
        <v>34</v>
      </c>
      <c r="J481">
        <v>16</v>
      </c>
      <c r="K481" t="s">
        <v>34</v>
      </c>
      <c r="L481">
        <v>8</v>
      </c>
      <c r="M481">
        <v>76162</v>
      </c>
      <c r="N481">
        <v>6</v>
      </c>
    </row>
    <row r="482" spans="1:14" x14ac:dyDescent="0.2">
      <c r="A482" s="3">
        <f t="shared" si="8"/>
        <v>2222</v>
      </c>
      <c r="B482" t="str">
        <f>"00022220007"</f>
        <v>00022220007</v>
      </c>
      <c r="C482" t="s">
        <v>681</v>
      </c>
      <c r="D482" t="s">
        <v>67</v>
      </c>
      <c r="E482">
        <v>72</v>
      </c>
      <c r="F482">
        <v>2476</v>
      </c>
      <c r="G482" t="s">
        <v>679</v>
      </c>
      <c r="H482">
        <v>23</v>
      </c>
      <c r="I482" t="s">
        <v>34</v>
      </c>
      <c r="J482">
        <v>17</v>
      </c>
      <c r="K482" t="s">
        <v>34</v>
      </c>
      <c r="L482">
        <v>8</v>
      </c>
      <c r="M482">
        <v>76235</v>
      </c>
      <c r="N482">
        <v>6</v>
      </c>
    </row>
    <row r="483" spans="1:14" x14ac:dyDescent="0.2">
      <c r="A483" s="3">
        <f t="shared" si="8"/>
        <v>2227</v>
      </c>
      <c r="B483" t="str">
        <f>"00022270007"</f>
        <v>00022270007</v>
      </c>
      <c r="C483" t="s">
        <v>682</v>
      </c>
      <c r="D483" t="s">
        <v>216</v>
      </c>
      <c r="E483">
        <v>72</v>
      </c>
      <c r="F483">
        <v>2306</v>
      </c>
      <c r="G483" t="s">
        <v>671</v>
      </c>
      <c r="H483">
        <v>22</v>
      </c>
      <c r="I483" t="s">
        <v>34</v>
      </c>
      <c r="J483">
        <v>16</v>
      </c>
      <c r="K483" t="s">
        <v>34</v>
      </c>
      <c r="L483">
        <v>8</v>
      </c>
      <c r="M483">
        <v>76206</v>
      </c>
      <c r="N483">
        <v>6</v>
      </c>
    </row>
    <row r="484" spans="1:14" x14ac:dyDescent="0.2">
      <c r="A484" s="3">
        <f t="shared" si="8"/>
        <v>2228</v>
      </c>
      <c r="B484" t="str">
        <f>"00022280012"</f>
        <v>00022280012</v>
      </c>
      <c r="C484" t="s">
        <v>683</v>
      </c>
      <c r="D484" t="s">
        <v>48</v>
      </c>
      <c r="E484">
        <v>72</v>
      </c>
      <c r="F484">
        <v>3734</v>
      </c>
      <c r="G484" t="s">
        <v>580</v>
      </c>
      <c r="H484">
        <v>40</v>
      </c>
      <c r="I484" t="s">
        <v>34</v>
      </c>
      <c r="J484">
        <v>30</v>
      </c>
      <c r="K484" t="s">
        <v>34</v>
      </c>
      <c r="L484">
        <v>8</v>
      </c>
      <c r="M484">
        <v>76265</v>
      </c>
      <c r="N484">
        <v>10</v>
      </c>
    </row>
    <row r="485" spans="1:14" x14ac:dyDescent="0.2">
      <c r="A485" s="3">
        <f t="shared" si="8"/>
        <v>2230</v>
      </c>
      <c r="B485" t="str">
        <f>"00022300012"</f>
        <v>00022300012</v>
      </c>
      <c r="C485" t="s">
        <v>684</v>
      </c>
      <c r="D485" t="s">
        <v>42</v>
      </c>
      <c r="E485">
        <v>72</v>
      </c>
      <c r="F485">
        <v>703</v>
      </c>
      <c r="G485" t="s">
        <v>562</v>
      </c>
      <c r="H485">
        <v>7</v>
      </c>
      <c r="I485" t="s">
        <v>25</v>
      </c>
      <c r="J485">
        <v>5</v>
      </c>
      <c r="K485" t="s">
        <v>25</v>
      </c>
      <c r="L485">
        <v>8</v>
      </c>
      <c r="M485">
        <v>72041</v>
      </c>
      <c r="N485">
        <v>2</v>
      </c>
    </row>
    <row r="486" spans="1:14" x14ac:dyDescent="0.2">
      <c r="A486" s="3">
        <f t="shared" si="8"/>
        <v>2231</v>
      </c>
      <c r="B486" t="str">
        <f>"00022310012"</f>
        <v>00022310012</v>
      </c>
      <c r="C486" t="s">
        <v>685</v>
      </c>
      <c r="D486" t="s">
        <v>686</v>
      </c>
      <c r="E486">
        <v>47</v>
      </c>
      <c r="F486">
        <v>1417</v>
      </c>
      <c r="G486" t="s">
        <v>687</v>
      </c>
      <c r="H486">
        <v>9</v>
      </c>
      <c r="I486" t="s">
        <v>25</v>
      </c>
      <c r="J486">
        <v>7</v>
      </c>
      <c r="K486" t="s">
        <v>25</v>
      </c>
      <c r="L486">
        <v>8</v>
      </c>
      <c r="M486">
        <v>76069</v>
      </c>
      <c r="N486">
        <v>2</v>
      </c>
    </row>
    <row r="487" spans="1:14" x14ac:dyDescent="0.2">
      <c r="A487" s="3">
        <f t="shared" si="8"/>
        <v>2232</v>
      </c>
      <c r="B487" t="str">
        <f>"00022320012"</f>
        <v>00022320012</v>
      </c>
      <c r="C487" t="s">
        <v>688</v>
      </c>
      <c r="D487" t="s">
        <v>622</v>
      </c>
      <c r="E487">
        <v>48</v>
      </c>
      <c r="F487">
        <v>724</v>
      </c>
      <c r="G487" t="s">
        <v>675</v>
      </c>
      <c r="H487">
        <v>15</v>
      </c>
      <c r="I487" t="s">
        <v>25</v>
      </c>
      <c r="J487">
        <v>11</v>
      </c>
      <c r="K487" t="s">
        <v>25</v>
      </c>
      <c r="L487">
        <v>8</v>
      </c>
      <c r="M487">
        <v>73072</v>
      </c>
      <c r="N487">
        <v>4</v>
      </c>
    </row>
    <row r="488" spans="1:14" x14ac:dyDescent="0.2">
      <c r="A488" s="3">
        <f t="shared" si="8"/>
        <v>2233</v>
      </c>
      <c r="B488" t="str">
        <f>"00022330007"</f>
        <v>00022330007</v>
      </c>
      <c r="C488" t="s">
        <v>689</v>
      </c>
      <c r="D488" t="s">
        <v>67</v>
      </c>
      <c r="E488">
        <v>72</v>
      </c>
      <c r="F488">
        <v>2476</v>
      </c>
      <c r="G488" t="s">
        <v>679</v>
      </c>
      <c r="H488">
        <v>23</v>
      </c>
      <c r="I488" t="s">
        <v>34</v>
      </c>
      <c r="J488">
        <v>17</v>
      </c>
      <c r="K488" t="s">
        <v>34</v>
      </c>
      <c r="L488">
        <v>8</v>
      </c>
      <c r="M488">
        <v>76213</v>
      </c>
      <c r="N488">
        <v>6</v>
      </c>
    </row>
    <row r="489" spans="1:14" x14ac:dyDescent="0.2">
      <c r="A489" s="3">
        <f t="shared" si="8"/>
        <v>2244</v>
      </c>
      <c r="B489" t="str">
        <f>"00022440006"</f>
        <v>00022440006</v>
      </c>
      <c r="C489" t="s">
        <v>690</v>
      </c>
      <c r="D489" t="s">
        <v>115</v>
      </c>
      <c r="E489">
        <v>48</v>
      </c>
      <c r="F489">
        <v>1695</v>
      </c>
      <c r="G489" t="s">
        <v>627</v>
      </c>
      <c r="H489">
        <v>150</v>
      </c>
      <c r="I489" t="s">
        <v>34</v>
      </c>
      <c r="J489">
        <v>118</v>
      </c>
      <c r="K489" t="s">
        <v>34</v>
      </c>
      <c r="L489">
        <v>8</v>
      </c>
      <c r="M489">
        <v>74006</v>
      </c>
      <c r="N489">
        <v>32</v>
      </c>
    </row>
    <row r="490" spans="1:14" x14ac:dyDescent="0.2">
      <c r="A490" s="3">
        <f t="shared" si="8"/>
        <v>2252</v>
      </c>
      <c r="B490" t="str">
        <f>"00022520012"</f>
        <v>00022520012</v>
      </c>
      <c r="C490" t="s">
        <v>691</v>
      </c>
      <c r="D490" t="s">
        <v>622</v>
      </c>
      <c r="E490">
        <v>48</v>
      </c>
      <c r="F490">
        <v>724</v>
      </c>
      <c r="G490" t="s">
        <v>675</v>
      </c>
      <c r="H490">
        <v>15</v>
      </c>
      <c r="I490" t="s">
        <v>25</v>
      </c>
      <c r="J490">
        <v>11</v>
      </c>
      <c r="K490" t="s">
        <v>25</v>
      </c>
      <c r="L490">
        <v>8</v>
      </c>
      <c r="M490">
        <v>73091</v>
      </c>
      <c r="N490">
        <v>4</v>
      </c>
    </row>
    <row r="491" spans="1:14" x14ac:dyDescent="0.2">
      <c r="A491" s="3">
        <f t="shared" si="8"/>
        <v>2256</v>
      </c>
      <c r="B491" t="str">
        <f>"00022560012"</f>
        <v>00022560012</v>
      </c>
      <c r="C491" t="s">
        <v>692</v>
      </c>
      <c r="D491" t="s">
        <v>622</v>
      </c>
      <c r="E491">
        <v>48</v>
      </c>
      <c r="F491">
        <v>724</v>
      </c>
      <c r="G491" t="s">
        <v>675</v>
      </c>
      <c r="H491">
        <v>15</v>
      </c>
      <c r="I491" t="s">
        <v>25</v>
      </c>
      <c r="J491">
        <v>11</v>
      </c>
      <c r="K491" t="s">
        <v>25</v>
      </c>
      <c r="L491">
        <v>8</v>
      </c>
      <c r="M491">
        <v>73080</v>
      </c>
      <c r="N491">
        <v>4</v>
      </c>
    </row>
    <row r="492" spans="1:14" x14ac:dyDescent="0.2">
      <c r="A492" s="3">
        <f t="shared" si="8"/>
        <v>2274</v>
      </c>
      <c r="B492" t="str">
        <f>"00022740016"</f>
        <v>00022740016</v>
      </c>
      <c r="C492" t="s">
        <v>693</v>
      </c>
      <c r="D492" t="s">
        <v>67</v>
      </c>
      <c r="E492">
        <v>72</v>
      </c>
      <c r="F492">
        <v>1840</v>
      </c>
      <c r="G492" t="s">
        <v>694</v>
      </c>
      <c r="H492">
        <v>25</v>
      </c>
      <c r="I492" t="s">
        <v>34</v>
      </c>
      <c r="J492">
        <v>18</v>
      </c>
      <c r="K492" t="s">
        <v>34</v>
      </c>
      <c r="L492">
        <v>8</v>
      </c>
      <c r="M492">
        <v>76154</v>
      </c>
      <c r="N492">
        <v>7</v>
      </c>
    </row>
    <row r="493" spans="1:14" x14ac:dyDescent="0.2">
      <c r="A493" s="3">
        <f t="shared" si="8"/>
        <v>2276</v>
      </c>
      <c r="B493" t="str">
        <f>"00022760010"</f>
        <v>00022760010</v>
      </c>
      <c r="C493" t="s">
        <v>695</v>
      </c>
      <c r="D493" t="s">
        <v>67</v>
      </c>
      <c r="E493">
        <v>72</v>
      </c>
      <c r="F493">
        <v>4810</v>
      </c>
      <c r="G493" t="s">
        <v>696</v>
      </c>
      <c r="H493">
        <v>26</v>
      </c>
      <c r="I493" t="s">
        <v>34</v>
      </c>
      <c r="J493">
        <v>19</v>
      </c>
      <c r="K493" t="s">
        <v>34</v>
      </c>
      <c r="L493">
        <v>8</v>
      </c>
      <c r="M493">
        <v>76219</v>
      </c>
      <c r="N493">
        <v>7</v>
      </c>
    </row>
    <row r="494" spans="1:14" x14ac:dyDescent="0.2">
      <c r="A494" s="3">
        <f t="shared" si="8"/>
        <v>2277</v>
      </c>
      <c r="B494" t="str">
        <f>"00022770012"</f>
        <v>00022770012</v>
      </c>
      <c r="C494" t="s">
        <v>697</v>
      </c>
      <c r="D494" t="s">
        <v>67</v>
      </c>
      <c r="E494">
        <v>72</v>
      </c>
      <c r="F494">
        <v>4810</v>
      </c>
      <c r="G494" t="s">
        <v>696</v>
      </c>
      <c r="H494">
        <v>40</v>
      </c>
      <c r="I494" t="s">
        <v>34</v>
      </c>
      <c r="J494">
        <v>30</v>
      </c>
      <c r="K494" t="s">
        <v>34</v>
      </c>
      <c r="L494">
        <v>8</v>
      </c>
      <c r="M494">
        <v>95747</v>
      </c>
      <c r="N494">
        <v>10</v>
      </c>
    </row>
    <row r="495" spans="1:14" x14ac:dyDescent="0.2">
      <c r="A495" s="3">
        <f t="shared" si="8"/>
        <v>2278</v>
      </c>
      <c r="B495" t="str">
        <f>"00022780012"</f>
        <v>00022780012</v>
      </c>
      <c r="C495" t="s">
        <v>698</v>
      </c>
      <c r="D495" t="s">
        <v>67</v>
      </c>
      <c r="E495">
        <v>72</v>
      </c>
      <c r="F495">
        <v>4810</v>
      </c>
      <c r="G495" t="s">
        <v>696</v>
      </c>
      <c r="H495">
        <v>40</v>
      </c>
      <c r="I495" t="s">
        <v>34</v>
      </c>
      <c r="J495">
        <v>30</v>
      </c>
      <c r="K495" t="s">
        <v>34</v>
      </c>
      <c r="L495">
        <v>8</v>
      </c>
      <c r="M495">
        <v>95704</v>
      </c>
      <c r="N495">
        <v>10</v>
      </c>
    </row>
    <row r="496" spans="1:14" x14ac:dyDescent="0.2">
      <c r="A496" s="3">
        <f t="shared" si="8"/>
        <v>2285</v>
      </c>
      <c r="B496" t="str">
        <f>"00022850001"</f>
        <v>00022850001</v>
      </c>
      <c r="C496" t="s">
        <v>699</v>
      </c>
      <c r="D496" t="s">
        <v>337</v>
      </c>
      <c r="E496">
        <v>91</v>
      </c>
      <c r="F496">
        <v>2062</v>
      </c>
      <c r="G496" t="s">
        <v>338</v>
      </c>
      <c r="H496">
        <v>6</v>
      </c>
      <c r="I496" t="s">
        <v>34</v>
      </c>
      <c r="J496">
        <v>4</v>
      </c>
      <c r="K496" t="s">
        <v>34</v>
      </c>
      <c r="L496">
        <v>8</v>
      </c>
      <c r="M496">
        <v>91089</v>
      </c>
      <c r="N496">
        <v>2</v>
      </c>
    </row>
    <row r="497" spans="1:14" x14ac:dyDescent="0.2">
      <c r="A497" s="3">
        <f t="shared" si="8"/>
        <v>2288</v>
      </c>
      <c r="B497" t="str">
        <f>"00022880234"</f>
        <v>00022880234</v>
      </c>
      <c r="C497" t="s">
        <v>700</v>
      </c>
      <c r="D497" t="s">
        <v>52</v>
      </c>
      <c r="E497">
        <v>71</v>
      </c>
      <c r="F497">
        <v>1887</v>
      </c>
      <c r="G497" t="s">
        <v>701</v>
      </c>
      <c r="H497">
        <v>7</v>
      </c>
      <c r="I497" t="s">
        <v>25</v>
      </c>
      <c r="J497">
        <v>5</v>
      </c>
      <c r="K497" t="s">
        <v>25</v>
      </c>
      <c r="L497">
        <v>6</v>
      </c>
      <c r="M497">
        <v>2665</v>
      </c>
      <c r="N497">
        <v>2</v>
      </c>
    </row>
    <row r="498" spans="1:14" x14ac:dyDescent="0.2">
      <c r="A498" s="3">
        <f t="shared" si="8"/>
        <v>2291</v>
      </c>
      <c r="B498" t="str">
        <f>"00022910012"</f>
        <v>00022910012</v>
      </c>
      <c r="C498" t="s">
        <v>702</v>
      </c>
      <c r="D498" t="s">
        <v>77</v>
      </c>
      <c r="E498">
        <v>45</v>
      </c>
      <c r="F498">
        <v>465</v>
      </c>
      <c r="G498" t="s">
        <v>703</v>
      </c>
      <c r="H498">
        <v>54</v>
      </c>
      <c r="I498" t="s">
        <v>34</v>
      </c>
      <c r="J498">
        <v>40</v>
      </c>
      <c r="K498" t="s">
        <v>34</v>
      </c>
      <c r="L498">
        <v>8</v>
      </c>
      <c r="M498">
        <v>81089</v>
      </c>
      <c r="N498">
        <v>14</v>
      </c>
    </row>
    <row r="499" spans="1:14" x14ac:dyDescent="0.2">
      <c r="A499" s="3">
        <f t="shared" si="8"/>
        <v>2295</v>
      </c>
      <c r="B499" t="str">
        <f>"00022950008"</f>
        <v>00022950008</v>
      </c>
      <c r="C499" t="s">
        <v>704</v>
      </c>
      <c r="D499" t="s">
        <v>172</v>
      </c>
      <c r="E499">
        <v>33</v>
      </c>
      <c r="F499">
        <v>668</v>
      </c>
      <c r="G499" t="s">
        <v>705</v>
      </c>
      <c r="H499">
        <v>7</v>
      </c>
      <c r="I499" t="s">
        <v>34</v>
      </c>
      <c r="J499">
        <v>5</v>
      </c>
      <c r="K499" t="s">
        <v>34</v>
      </c>
      <c r="L499">
        <v>8</v>
      </c>
      <c r="M499">
        <v>85089</v>
      </c>
      <c r="N499">
        <v>2</v>
      </c>
    </row>
    <row r="500" spans="1:14" x14ac:dyDescent="0.2">
      <c r="A500" s="3">
        <f t="shared" si="8"/>
        <v>2306</v>
      </c>
      <c r="B500" t="str">
        <f>"00023060016"</f>
        <v>00023060016</v>
      </c>
      <c r="C500" t="s">
        <v>706</v>
      </c>
      <c r="D500" t="s">
        <v>101</v>
      </c>
      <c r="E500">
        <v>30</v>
      </c>
      <c r="F500">
        <v>247</v>
      </c>
      <c r="G500" t="s">
        <v>707</v>
      </c>
      <c r="H500">
        <v>42</v>
      </c>
      <c r="I500" t="s">
        <v>34</v>
      </c>
      <c r="J500">
        <v>32</v>
      </c>
      <c r="K500" t="s">
        <v>34</v>
      </c>
      <c r="L500">
        <v>8</v>
      </c>
      <c r="M500">
        <v>82204</v>
      </c>
      <c r="N500">
        <v>10</v>
      </c>
    </row>
    <row r="501" spans="1:14" x14ac:dyDescent="0.2">
      <c r="A501" s="3">
        <f t="shared" si="8"/>
        <v>2319</v>
      </c>
      <c r="B501" t="str">
        <f>"00023190012"</f>
        <v>00023190012</v>
      </c>
      <c r="C501" t="s">
        <v>708</v>
      </c>
      <c r="D501" t="s">
        <v>289</v>
      </c>
      <c r="E501">
        <v>20</v>
      </c>
      <c r="F501">
        <v>8086</v>
      </c>
      <c r="G501" t="s">
        <v>290</v>
      </c>
      <c r="H501">
        <v>12</v>
      </c>
      <c r="I501" t="s">
        <v>25</v>
      </c>
      <c r="J501">
        <v>9</v>
      </c>
      <c r="K501" t="s">
        <v>25</v>
      </c>
      <c r="L501">
        <v>8</v>
      </c>
      <c r="M501">
        <v>88046</v>
      </c>
      <c r="N501">
        <v>3</v>
      </c>
    </row>
    <row r="502" spans="1:14" x14ac:dyDescent="0.2">
      <c r="A502" s="3">
        <f t="shared" si="8"/>
        <v>2319</v>
      </c>
      <c r="B502" t="str">
        <f>"00023190012"</f>
        <v>00023190012</v>
      </c>
      <c r="C502" t="s">
        <v>708</v>
      </c>
      <c r="D502" t="s">
        <v>289</v>
      </c>
      <c r="E502">
        <v>20</v>
      </c>
      <c r="F502">
        <v>329</v>
      </c>
      <c r="G502" t="s">
        <v>252</v>
      </c>
      <c r="H502">
        <v>12</v>
      </c>
      <c r="I502" t="s">
        <v>25</v>
      </c>
      <c r="J502">
        <v>9</v>
      </c>
      <c r="K502" t="s">
        <v>25</v>
      </c>
      <c r="L502">
        <v>8</v>
      </c>
      <c r="M502">
        <v>88046</v>
      </c>
      <c r="N502">
        <v>3</v>
      </c>
    </row>
    <row r="503" spans="1:14" x14ac:dyDescent="0.2">
      <c r="A503" s="3">
        <f t="shared" si="8"/>
        <v>2334</v>
      </c>
      <c r="B503" t="str">
        <f>"00023340033"</f>
        <v>00023340033</v>
      </c>
      <c r="C503" t="s">
        <v>709</v>
      </c>
      <c r="D503" t="s">
        <v>604</v>
      </c>
      <c r="E503">
        <v>47</v>
      </c>
      <c r="F503">
        <v>1797</v>
      </c>
      <c r="G503" t="s">
        <v>710</v>
      </c>
      <c r="H503">
        <v>12</v>
      </c>
      <c r="I503" t="s">
        <v>25</v>
      </c>
      <c r="J503">
        <v>9</v>
      </c>
      <c r="K503" t="s">
        <v>25</v>
      </c>
      <c r="L503">
        <v>8</v>
      </c>
      <c r="M503">
        <v>66091</v>
      </c>
      <c r="N503">
        <v>3</v>
      </c>
    </row>
    <row r="504" spans="1:14" x14ac:dyDescent="0.2">
      <c r="A504" s="3">
        <f t="shared" si="8"/>
        <v>2345</v>
      </c>
      <c r="B504" t="str">
        <f>"00023450001"</f>
        <v>00023450001</v>
      </c>
      <c r="C504" t="s">
        <v>711</v>
      </c>
      <c r="D504" t="s">
        <v>52</v>
      </c>
      <c r="E504">
        <v>997</v>
      </c>
      <c r="F504">
        <v>9990</v>
      </c>
      <c r="G504" t="s">
        <v>247</v>
      </c>
      <c r="H504" t="s">
        <v>44</v>
      </c>
      <c r="I504" t="s">
        <v>45</v>
      </c>
      <c r="J504" t="s">
        <v>44</v>
      </c>
      <c r="K504" t="s">
        <v>45</v>
      </c>
      <c r="L504">
        <v>7</v>
      </c>
      <c r="M504" t="s">
        <v>65</v>
      </c>
      <c r="N504" t="s">
        <v>46</v>
      </c>
    </row>
    <row r="505" spans="1:14" x14ac:dyDescent="0.2">
      <c r="A505" s="3">
        <f t="shared" si="8"/>
        <v>2347</v>
      </c>
      <c r="B505" t="str">
        <f>"00023470012"</f>
        <v>00023470012</v>
      </c>
      <c r="C505" t="s">
        <v>712</v>
      </c>
      <c r="D505" t="s">
        <v>289</v>
      </c>
      <c r="E505">
        <v>20</v>
      </c>
      <c r="F505">
        <v>8086</v>
      </c>
      <c r="G505" t="s">
        <v>290</v>
      </c>
      <c r="H505">
        <v>12</v>
      </c>
      <c r="I505" t="s">
        <v>25</v>
      </c>
      <c r="J505">
        <v>9</v>
      </c>
      <c r="K505" t="s">
        <v>25</v>
      </c>
      <c r="L505">
        <v>8</v>
      </c>
      <c r="M505">
        <v>88019</v>
      </c>
      <c r="N505">
        <v>3</v>
      </c>
    </row>
    <row r="506" spans="1:14" x14ac:dyDescent="0.2">
      <c r="A506" s="3">
        <f t="shared" si="8"/>
        <v>2347</v>
      </c>
      <c r="B506" t="str">
        <f>"00023470012"</f>
        <v>00023470012</v>
      </c>
      <c r="C506" t="s">
        <v>712</v>
      </c>
      <c r="D506" t="s">
        <v>289</v>
      </c>
      <c r="E506">
        <v>20</v>
      </c>
      <c r="F506">
        <v>2841</v>
      </c>
      <c r="G506" t="s">
        <v>713</v>
      </c>
      <c r="H506">
        <v>12</v>
      </c>
      <c r="I506" t="s">
        <v>25</v>
      </c>
      <c r="J506">
        <v>9</v>
      </c>
      <c r="K506" t="s">
        <v>25</v>
      </c>
      <c r="L506">
        <v>8</v>
      </c>
      <c r="M506">
        <v>88019</v>
      </c>
      <c r="N506">
        <v>3</v>
      </c>
    </row>
    <row r="507" spans="1:14" x14ac:dyDescent="0.2">
      <c r="A507" s="3">
        <f t="shared" si="8"/>
        <v>2352</v>
      </c>
      <c r="B507" t="str">
        <f>"00023520012"</f>
        <v>00023520012</v>
      </c>
      <c r="C507" t="s">
        <v>714</v>
      </c>
      <c r="D507" t="s">
        <v>289</v>
      </c>
      <c r="E507">
        <v>20</v>
      </c>
      <c r="F507">
        <v>8086</v>
      </c>
      <c r="G507" t="s">
        <v>290</v>
      </c>
      <c r="H507">
        <v>16</v>
      </c>
      <c r="I507" t="s">
        <v>25</v>
      </c>
      <c r="J507">
        <v>13</v>
      </c>
      <c r="K507" t="s">
        <v>25</v>
      </c>
      <c r="L507">
        <v>8</v>
      </c>
      <c r="M507">
        <v>87040</v>
      </c>
      <c r="N507">
        <v>3</v>
      </c>
    </row>
    <row r="508" spans="1:14" x14ac:dyDescent="0.2">
      <c r="A508" s="3">
        <f t="shared" si="8"/>
        <v>2352</v>
      </c>
      <c r="B508" t="str">
        <f>"00023520012"</f>
        <v>00023520012</v>
      </c>
      <c r="C508" t="s">
        <v>714</v>
      </c>
      <c r="D508" t="s">
        <v>289</v>
      </c>
      <c r="E508">
        <v>20</v>
      </c>
      <c r="F508">
        <v>2504</v>
      </c>
      <c r="G508" t="s">
        <v>715</v>
      </c>
      <c r="H508">
        <v>16</v>
      </c>
      <c r="I508" t="s">
        <v>25</v>
      </c>
      <c r="J508">
        <v>13</v>
      </c>
      <c r="K508" t="s">
        <v>25</v>
      </c>
      <c r="L508">
        <v>8</v>
      </c>
      <c r="M508">
        <v>87040</v>
      </c>
      <c r="N508">
        <v>3</v>
      </c>
    </row>
    <row r="509" spans="1:14" x14ac:dyDescent="0.2">
      <c r="A509" s="3">
        <f t="shared" si="8"/>
        <v>2353</v>
      </c>
      <c r="B509" t="str">
        <f>"00023530024"</f>
        <v>00023530024</v>
      </c>
      <c r="C509" t="s">
        <v>716</v>
      </c>
      <c r="D509" t="s">
        <v>622</v>
      </c>
      <c r="E509">
        <v>70</v>
      </c>
      <c r="F509">
        <v>919</v>
      </c>
      <c r="G509" t="s">
        <v>623</v>
      </c>
      <c r="H509">
        <v>6</v>
      </c>
      <c r="I509" t="s">
        <v>25</v>
      </c>
      <c r="J509">
        <v>4</v>
      </c>
      <c r="K509" t="s">
        <v>25</v>
      </c>
      <c r="L509">
        <v>8</v>
      </c>
      <c r="M509">
        <v>72074</v>
      </c>
      <c r="N509">
        <v>2</v>
      </c>
    </row>
    <row r="510" spans="1:14" x14ac:dyDescent="0.2">
      <c r="A510" s="3">
        <f t="shared" si="8"/>
        <v>2358</v>
      </c>
      <c r="B510" t="str">
        <f>"00023580004"</f>
        <v>00023580004</v>
      </c>
      <c r="C510" t="s">
        <v>717</v>
      </c>
      <c r="D510" t="s">
        <v>36</v>
      </c>
      <c r="E510">
        <v>81</v>
      </c>
      <c r="F510">
        <v>389</v>
      </c>
      <c r="G510" t="s">
        <v>37</v>
      </c>
      <c r="H510">
        <v>9</v>
      </c>
      <c r="I510" t="s">
        <v>25</v>
      </c>
      <c r="J510">
        <v>7</v>
      </c>
      <c r="K510" t="s">
        <v>25</v>
      </c>
      <c r="L510">
        <v>8</v>
      </c>
      <c r="M510">
        <v>69171</v>
      </c>
      <c r="N510">
        <v>2</v>
      </c>
    </row>
    <row r="511" spans="1:14" x14ac:dyDescent="0.2">
      <c r="A511" s="3">
        <f t="shared" si="8"/>
        <v>2359</v>
      </c>
      <c r="B511" t="str">
        <f>"00023590004"</f>
        <v>00023590004</v>
      </c>
      <c r="C511" t="s">
        <v>718</v>
      </c>
      <c r="D511" t="s">
        <v>36</v>
      </c>
      <c r="E511">
        <v>81</v>
      </c>
      <c r="F511">
        <v>389</v>
      </c>
      <c r="G511" t="s">
        <v>37</v>
      </c>
      <c r="H511">
        <v>9</v>
      </c>
      <c r="I511" t="s">
        <v>25</v>
      </c>
      <c r="J511">
        <v>7</v>
      </c>
      <c r="K511" t="s">
        <v>25</v>
      </c>
      <c r="L511">
        <v>8</v>
      </c>
      <c r="M511">
        <v>69164</v>
      </c>
      <c r="N511">
        <v>2</v>
      </c>
    </row>
    <row r="512" spans="1:14" x14ac:dyDescent="0.2">
      <c r="A512" s="3">
        <f t="shared" si="8"/>
        <v>2364</v>
      </c>
      <c r="B512" t="str">
        <f>"00023640015"</f>
        <v>00023640015</v>
      </c>
      <c r="C512" t="s">
        <v>719</v>
      </c>
      <c r="D512" t="s">
        <v>101</v>
      </c>
      <c r="E512">
        <v>30</v>
      </c>
      <c r="F512">
        <v>8003</v>
      </c>
      <c r="G512" t="s">
        <v>164</v>
      </c>
      <c r="H512">
        <v>60</v>
      </c>
      <c r="I512" t="s">
        <v>34</v>
      </c>
      <c r="J512">
        <v>44</v>
      </c>
      <c r="K512" t="s">
        <v>34</v>
      </c>
      <c r="L512">
        <v>8</v>
      </c>
      <c r="M512">
        <v>82252</v>
      </c>
      <c r="N512">
        <v>16</v>
      </c>
    </row>
    <row r="513" spans="1:14" x14ac:dyDescent="0.2">
      <c r="A513" s="3">
        <f t="shared" si="8"/>
        <v>2367</v>
      </c>
      <c r="B513" t="str">
        <f>"00023670010"</f>
        <v>00023670010</v>
      </c>
      <c r="C513" t="s">
        <v>720</v>
      </c>
      <c r="D513" t="s">
        <v>115</v>
      </c>
      <c r="E513">
        <v>44</v>
      </c>
      <c r="F513">
        <v>7234</v>
      </c>
      <c r="G513" t="s">
        <v>617</v>
      </c>
      <c r="H513">
        <v>24</v>
      </c>
      <c r="I513" t="s">
        <v>25</v>
      </c>
      <c r="J513">
        <v>20</v>
      </c>
      <c r="K513" t="s">
        <v>25</v>
      </c>
      <c r="L513">
        <v>8</v>
      </c>
      <c r="M513">
        <v>67010</v>
      </c>
      <c r="N513">
        <v>4</v>
      </c>
    </row>
    <row r="514" spans="1:14" x14ac:dyDescent="0.2">
      <c r="A514" s="3">
        <f t="shared" si="8"/>
        <v>2390</v>
      </c>
      <c r="B514" t="str">
        <f>"00023900024"</f>
        <v>00023900024</v>
      </c>
      <c r="C514" t="s">
        <v>721</v>
      </c>
      <c r="D514" t="s">
        <v>36</v>
      </c>
      <c r="E514">
        <v>71</v>
      </c>
      <c r="F514">
        <v>1301</v>
      </c>
      <c r="G514" t="s">
        <v>521</v>
      </c>
      <c r="H514">
        <v>108</v>
      </c>
      <c r="I514" t="s">
        <v>34</v>
      </c>
      <c r="J514">
        <v>80</v>
      </c>
      <c r="K514" t="s">
        <v>34</v>
      </c>
      <c r="L514">
        <v>8</v>
      </c>
      <c r="M514">
        <v>76021</v>
      </c>
      <c r="N514">
        <v>28</v>
      </c>
    </row>
    <row r="515" spans="1:14" x14ac:dyDescent="0.2">
      <c r="A515" s="3">
        <f t="shared" si="8"/>
        <v>2393</v>
      </c>
      <c r="B515" t="str">
        <f>"00023930006"</f>
        <v>00023930006</v>
      </c>
      <c r="C515" t="s">
        <v>722</v>
      </c>
      <c r="D515" t="s">
        <v>386</v>
      </c>
      <c r="E515">
        <v>60</v>
      </c>
      <c r="F515">
        <v>2495</v>
      </c>
      <c r="G515" t="s">
        <v>723</v>
      </c>
      <c r="H515" t="s">
        <v>44</v>
      </c>
      <c r="I515" t="s">
        <v>45</v>
      </c>
      <c r="J515" t="s">
        <v>44</v>
      </c>
      <c r="K515" t="s">
        <v>45</v>
      </c>
      <c r="L515">
        <v>8</v>
      </c>
      <c r="M515">
        <v>61017</v>
      </c>
      <c r="N515" t="s">
        <v>46</v>
      </c>
    </row>
    <row r="516" spans="1:14" x14ac:dyDescent="0.2">
      <c r="A516" s="3">
        <f t="shared" ref="A516:A579" si="9">(B516-RIGHT(B516,4))/10000</f>
        <v>2394</v>
      </c>
      <c r="B516" t="str">
        <f>"00023940006"</f>
        <v>00023940006</v>
      </c>
      <c r="C516" t="s">
        <v>724</v>
      </c>
      <c r="D516" t="s">
        <v>172</v>
      </c>
      <c r="E516">
        <v>33</v>
      </c>
      <c r="F516">
        <v>939</v>
      </c>
      <c r="G516" t="s">
        <v>725</v>
      </c>
      <c r="H516">
        <v>10</v>
      </c>
      <c r="I516" t="s">
        <v>34</v>
      </c>
      <c r="J516">
        <v>7</v>
      </c>
      <c r="K516" t="s">
        <v>34</v>
      </c>
      <c r="L516">
        <v>8</v>
      </c>
      <c r="M516">
        <v>85025</v>
      </c>
      <c r="N516">
        <v>3</v>
      </c>
    </row>
    <row r="517" spans="1:14" x14ac:dyDescent="0.2">
      <c r="A517" s="3">
        <f t="shared" si="9"/>
        <v>2397</v>
      </c>
      <c r="B517" t="str">
        <f>"00023970006"</f>
        <v>00023970006</v>
      </c>
      <c r="C517" t="s">
        <v>726</v>
      </c>
      <c r="D517" t="s">
        <v>386</v>
      </c>
      <c r="E517">
        <v>60</v>
      </c>
      <c r="F517">
        <v>858</v>
      </c>
      <c r="G517" t="s">
        <v>727</v>
      </c>
      <c r="H517" t="s">
        <v>44</v>
      </c>
      <c r="I517" t="s">
        <v>45</v>
      </c>
      <c r="J517" t="s">
        <v>44</v>
      </c>
      <c r="K517" t="s">
        <v>45</v>
      </c>
      <c r="L517">
        <v>8</v>
      </c>
      <c r="M517">
        <v>61054</v>
      </c>
      <c r="N517" t="s">
        <v>46</v>
      </c>
    </row>
    <row r="518" spans="1:14" x14ac:dyDescent="0.2">
      <c r="A518" s="3">
        <f t="shared" si="9"/>
        <v>2412</v>
      </c>
      <c r="B518" t="str">
        <f>"00024120006"</f>
        <v>00024120006</v>
      </c>
      <c r="C518" t="s">
        <v>728</v>
      </c>
      <c r="D518" t="s">
        <v>42</v>
      </c>
      <c r="E518">
        <v>51</v>
      </c>
      <c r="F518">
        <v>2131</v>
      </c>
      <c r="G518" t="s">
        <v>241</v>
      </c>
      <c r="H518">
        <v>120</v>
      </c>
      <c r="I518" t="s">
        <v>34</v>
      </c>
      <c r="J518">
        <v>88</v>
      </c>
      <c r="K518" t="s">
        <v>34</v>
      </c>
      <c r="L518">
        <v>8</v>
      </c>
      <c r="M518">
        <v>65115</v>
      </c>
      <c r="N518">
        <v>32</v>
      </c>
    </row>
    <row r="519" spans="1:14" x14ac:dyDescent="0.2">
      <c r="A519" s="3">
        <f t="shared" si="9"/>
        <v>2418</v>
      </c>
      <c r="B519" t="str">
        <f>"00024180001"</f>
        <v>00024180001</v>
      </c>
      <c r="C519" t="s">
        <v>729</v>
      </c>
      <c r="D519" t="s">
        <v>337</v>
      </c>
      <c r="E519">
        <v>91</v>
      </c>
      <c r="F519">
        <v>2062</v>
      </c>
      <c r="G519" t="s">
        <v>338</v>
      </c>
      <c r="H519">
        <v>17</v>
      </c>
      <c r="I519" t="s">
        <v>34</v>
      </c>
      <c r="J519">
        <v>11</v>
      </c>
      <c r="K519" t="s">
        <v>34</v>
      </c>
      <c r="L519">
        <v>8</v>
      </c>
      <c r="M519">
        <v>91084</v>
      </c>
      <c r="N519">
        <v>4</v>
      </c>
    </row>
    <row r="520" spans="1:14" x14ac:dyDescent="0.2">
      <c r="A520" s="3">
        <f t="shared" si="9"/>
        <v>2429</v>
      </c>
      <c r="B520" t="str">
        <f>"00024290012"</f>
        <v>00024290012</v>
      </c>
      <c r="C520" t="s">
        <v>730</v>
      </c>
      <c r="D520" t="s">
        <v>115</v>
      </c>
      <c r="E520">
        <v>70</v>
      </c>
      <c r="F520">
        <v>1695</v>
      </c>
      <c r="G520" t="s">
        <v>627</v>
      </c>
      <c r="H520">
        <v>6</v>
      </c>
      <c r="I520" t="s">
        <v>25</v>
      </c>
      <c r="J520">
        <v>4</v>
      </c>
      <c r="K520" t="s">
        <v>25</v>
      </c>
      <c r="L520">
        <v>8</v>
      </c>
      <c r="M520">
        <v>74017</v>
      </c>
      <c r="N520">
        <v>2</v>
      </c>
    </row>
    <row r="521" spans="1:14" x14ac:dyDescent="0.2">
      <c r="A521" s="3">
        <f t="shared" si="9"/>
        <v>2449</v>
      </c>
      <c r="B521" t="str">
        <f>"00024490012"</f>
        <v>00024490012</v>
      </c>
      <c r="C521" t="s">
        <v>731</v>
      </c>
      <c r="D521" t="s">
        <v>42</v>
      </c>
      <c r="E521">
        <v>82</v>
      </c>
      <c r="F521">
        <v>4287</v>
      </c>
      <c r="G521" t="s">
        <v>445</v>
      </c>
      <c r="H521" t="s">
        <v>44</v>
      </c>
      <c r="I521" t="s">
        <v>45</v>
      </c>
      <c r="J521" t="s">
        <v>44</v>
      </c>
      <c r="K521" t="s">
        <v>45</v>
      </c>
      <c r="L521">
        <v>8</v>
      </c>
      <c r="M521">
        <v>70190</v>
      </c>
      <c r="N521" t="s">
        <v>46</v>
      </c>
    </row>
    <row r="522" spans="1:14" x14ac:dyDescent="0.2">
      <c r="A522" s="3">
        <f t="shared" si="9"/>
        <v>2450</v>
      </c>
      <c r="B522" t="str">
        <f>"00024500012"</f>
        <v>00024500012</v>
      </c>
      <c r="C522" t="s">
        <v>732</v>
      </c>
      <c r="D522" t="s">
        <v>42</v>
      </c>
      <c r="E522">
        <v>82</v>
      </c>
      <c r="F522">
        <v>4287</v>
      </c>
      <c r="G522" t="s">
        <v>445</v>
      </c>
      <c r="H522" t="s">
        <v>44</v>
      </c>
      <c r="I522" t="s">
        <v>45</v>
      </c>
      <c r="J522" t="s">
        <v>44</v>
      </c>
      <c r="K522" t="s">
        <v>45</v>
      </c>
      <c r="L522">
        <v>8</v>
      </c>
      <c r="M522">
        <v>70175</v>
      </c>
      <c r="N522" t="s">
        <v>46</v>
      </c>
    </row>
    <row r="523" spans="1:14" x14ac:dyDescent="0.2">
      <c r="A523" s="3">
        <f t="shared" si="9"/>
        <v>2451</v>
      </c>
      <c r="B523" t="str">
        <f>"00024510012"</f>
        <v>00024510012</v>
      </c>
      <c r="C523" t="s">
        <v>733</v>
      </c>
      <c r="D523" t="s">
        <v>42</v>
      </c>
      <c r="E523">
        <v>82</v>
      </c>
      <c r="F523">
        <v>4287</v>
      </c>
      <c r="G523" t="s">
        <v>445</v>
      </c>
      <c r="H523" t="s">
        <v>44</v>
      </c>
      <c r="I523" t="s">
        <v>45</v>
      </c>
      <c r="J523" t="s">
        <v>44</v>
      </c>
      <c r="K523" t="s">
        <v>45</v>
      </c>
      <c r="L523">
        <v>8</v>
      </c>
      <c r="M523">
        <v>70124</v>
      </c>
      <c r="N523" t="s">
        <v>46</v>
      </c>
    </row>
    <row r="524" spans="1:14" x14ac:dyDescent="0.2">
      <c r="A524" s="3">
        <f t="shared" si="9"/>
        <v>2465</v>
      </c>
      <c r="B524" t="str">
        <f>"00024650004"</f>
        <v>00024650004</v>
      </c>
      <c r="C524" t="s">
        <v>734</v>
      </c>
      <c r="D524" t="s">
        <v>23</v>
      </c>
      <c r="E524">
        <v>62</v>
      </c>
      <c r="F524">
        <v>8104</v>
      </c>
      <c r="G524" t="s">
        <v>328</v>
      </c>
      <c r="H524">
        <v>140</v>
      </c>
      <c r="I524" t="s">
        <v>34</v>
      </c>
      <c r="J524">
        <v>112</v>
      </c>
      <c r="K524" t="s">
        <v>34</v>
      </c>
      <c r="L524">
        <v>8</v>
      </c>
      <c r="M524">
        <v>95113</v>
      </c>
      <c r="N524">
        <v>28</v>
      </c>
    </row>
    <row r="525" spans="1:14" x14ac:dyDescent="0.2">
      <c r="A525" s="3">
        <f t="shared" si="9"/>
        <v>2471</v>
      </c>
      <c r="B525" t="str">
        <f>"00024710001"</f>
        <v>00024710001</v>
      </c>
      <c r="C525" t="s">
        <v>735</v>
      </c>
      <c r="D525" t="s">
        <v>115</v>
      </c>
      <c r="E525">
        <v>63</v>
      </c>
      <c r="F525">
        <v>5821</v>
      </c>
      <c r="G525" t="s">
        <v>736</v>
      </c>
      <c r="H525">
        <v>8</v>
      </c>
      <c r="I525" t="s">
        <v>25</v>
      </c>
      <c r="J525">
        <v>6</v>
      </c>
      <c r="K525" t="s">
        <v>25</v>
      </c>
      <c r="L525">
        <v>8</v>
      </c>
      <c r="M525">
        <v>95440</v>
      </c>
      <c r="N525">
        <v>2</v>
      </c>
    </row>
    <row r="526" spans="1:14" x14ac:dyDescent="0.2">
      <c r="A526" s="3">
        <f t="shared" si="9"/>
        <v>2505</v>
      </c>
      <c r="B526" t="str">
        <f>"00025050016"</f>
        <v>00025050016</v>
      </c>
      <c r="C526" t="s">
        <v>737</v>
      </c>
      <c r="D526" t="s">
        <v>320</v>
      </c>
      <c r="E526">
        <v>20</v>
      </c>
      <c r="F526">
        <v>8086</v>
      </c>
      <c r="G526" t="s">
        <v>290</v>
      </c>
      <c r="H526">
        <v>16</v>
      </c>
      <c r="I526" t="s">
        <v>25</v>
      </c>
      <c r="J526">
        <v>13</v>
      </c>
      <c r="K526" t="s">
        <v>25</v>
      </c>
      <c r="L526">
        <v>8</v>
      </c>
      <c r="M526">
        <v>88013</v>
      </c>
      <c r="N526">
        <v>3</v>
      </c>
    </row>
    <row r="527" spans="1:14" x14ac:dyDescent="0.2">
      <c r="A527" s="3">
        <f t="shared" si="9"/>
        <v>2505</v>
      </c>
      <c r="B527" t="str">
        <f>"00025050016"</f>
        <v>00025050016</v>
      </c>
      <c r="C527" t="s">
        <v>737</v>
      </c>
      <c r="D527" t="s">
        <v>320</v>
      </c>
      <c r="E527">
        <v>20</v>
      </c>
      <c r="F527">
        <v>1767</v>
      </c>
      <c r="G527" t="s">
        <v>738</v>
      </c>
      <c r="H527">
        <v>16</v>
      </c>
      <c r="I527" t="s">
        <v>25</v>
      </c>
      <c r="J527">
        <v>13</v>
      </c>
      <c r="K527" t="s">
        <v>25</v>
      </c>
      <c r="L527">
        <v>8</v>
      </c>
      <c r="M527">
        <v>88013</v>
      </c>
      <c r="N527">
        <v>3</v>
      </c>
    </row>
    <row r="528" spans="1:14" x14ac:dyDescent="0.2">
      <c r="A528" s="3">
        <f t="shared" si="9"/>
        <v>2517</v>
      </c>
      <c r="B528" t="str">
        <f>"00025170008"</f>
        <v>00025170008</v>
      </c>
      <c r="C528" t="s">
        <v>739</v>
      </c>
      <c r="D528" t="s">
        <v>289</v>
      </c>
      <c r="E528">
        <v>20</v>
      </c>
      <c r="F528">
        <v>8086</v>
      </c>
      <c r="G528" t="s">
        <v>290</v>
      </c>
      <c r="H528">
        <v>8</v>
      </c>
      <c r="I528" t="s">
        <v>25</v>
      </c>
      <c r="J528">
        <v>6</v>
      </c>
      <c r="K528" t="s">
        <v>25</v>
      </c>
      <c r="L528">
        <v>8</v>
      </c>
      <c r="M528">
        <v>87085</v>
      </c>
      <c r="N528">
        <v>2</v>
      </c>
    </row>
    <row r="529" spans="1:14" x14ac:dyDescent="0.2">
      <c r="A529" s="3">
        <f t="shared" si="9"/>
        <v>2517</v>
      </c>
      <c r="B529" t="str">
        <f>"00025170008"</f>
        <v>00025170008</v>
      </c>
      <c r="C529" t="s">
        <v>739</v>
      </c>
      <c r="D529" t="s">
        <v>289</v>
      </c>
      <c r="E529">
        <v>20</v>
      </c>
      <c r="F529">
        <v>8072</v>
      </c>
      <c r="G529" t="s">
        <v>322</v>
      </c>
      <c r="H529">
        <v>8</v>
      </c>
      <c r="I529" t="s">
        <v>25</v>
      </c>
      <c r="J529">
        <v>6</v>
      </c>
      <c r="K529" t="s">
        <v>25</v>
      </c>
      <c r="L529">
        <v>8</v>
      </c>
      <c r="M529">
        <v>87085</v>
      </c>
      <c r="N529">
        <v>2</v>
      </c>
    </row>
    <row r="530" spans="1:14" x14ac:dyDescent="0.2">
      <c r="A530" s="3">
        <f t="shared" si="9"/>
        <v>2541</v>
      </c>
      <c r="B530" t="str">
        <f>"00025410010"</f>
        <v>00025410010</v>
      </c>
      <c r="C530" t="s">
        <v>740</v>
      </c>
      <c r="D530" t="s">
        <v>289</v>
      </c>
      <c r="E530">
        <v>20</v>
      </c>
      <c r="F530">
        <v>8086</v>
      </c>
      <c r="G530" t="s">
        <v>290</v>
      </c>
      <c r="H530">
        <v>14</v>
      </c>
      <c r="I530" t="s">
        <v>25</v>
      </c>
      <c r="J530">
        <v>11</v>
      </c>
      <c r="K530" t="s">
        <v>25</v>
      </c>
      <c r="L530">
        <v>8</v>
      </c>
      <c r="M530">
        <v>89001</v>
      </c>
      <c r="N530">
        <v>3</v>
      </c>
    </row>
    <row r="531" spans="1:14" x14ac:dyDescent="0.2">
      <c r="A531" s="3">
        <f t="shared" si="9"/>
        <v>2541</v>
      </c>
      <c r="B531" t="str">
        <f>"00025410010"</f>
        <v>00025410010</v>
      </c>
      <c r="C531" t="s">
        <v>740</v>
      </c>
      <c r="D531" t="s">
        <v>289</v>
      </c>
      <c r="E531">
        <v>20</v>
      </c>
      <c r="F531">
        <v>2044</v>
      </c>
      <c r="G531" t="s">
        <v>741</v>
      </c>
      <c r="H531">
        <v>14</v>
      </c>
      <c r="I531" t="s">
        <v>25</v>
      </c>
      <c r="J531">
        <v>11</v>
      </c>
      <c r="K531" t="s">
        <v>25</v>
      </c>
      <c r="L531">
        <v>8</v>
      </c>
      <c r="M531">
        <v>89001</v>
      </c>
      <c r="N531">
        <v>3</v>
      </c>
    </row>
    <row r="532" spans="1:14" x14ac:dyDescent="0.2">
      <c r="A532" s="3">
        <f t="shared" si="9"/>
        <v>2542</v>
      </c>
      <c r="B532" t="str">
        <f>"00025420009"</f>
        <v>00025420009</v>
      </c>
      <c r="C532" t="s">
        <v>742</v>
      </c>
      <c r="D532" t="s">
        <v>52</v>
      </c>
      <c r="E532">
        <v>20</v>
      </c>
      <c r="F532">
        <v>8086</v>
      </c>
      <c r="G532" t="s">
        <v>290</v>
      </c>
      <c r="H532">
        <v>9</v>
      </c>
      <c r="I532" t="s">
        <v>25</v>
      </c>
      <c r="J532">
        <v>7</v>
      </c>
      <c r="K532" t="s">
        <v>25</v>
      </c>
      <c r="L532">
        <v>6</v>
      </c>
      <c r="M532">
        <v>99755</v>
      </c>
      <c r="N532">
        <v>2</v>
      </c>
    </row>
    <row r="533" spans="1:14" x14ac:dyDescent="0.2">
      <c r="A533" s="3">
        <f t="shared" si="9"/>
        <v>2542</v>
      </c>
      <c r="B533" t="str">
        <f>"00025420009"</f>
        <v>00025420009</v>
      </c>
      <c r="C533" t="s">
        <v>742</v>
      </c>
      <c r="D533" t="s">
        <v>52</v>
      </c>
      <c r="E533">
        <v>20</v>
      </c>
      <c r="F533">
        <v>8256</v>
      </c>
      <c r="G533" t="s">
        <v>743</v>
      </c>
      <c r="H533">
        <v>9</v>
      </c>
      <c r="I533" t="s">
        <v>25</v>
      </c>
      <c r="J533">
        <v>7</v>
      </c>
      <c r="K533" t="s">
        <v>25</v>
      </c>
      <c r="L533">
        <v>6</v>
      </c>
      <c r="M533">
        <v>99755</v>
      </c>
      <c r="N533">
        <v>2</v>
      </c>
    </row>
    <row r="534" spans="1:14" x14ac:dyDescent="0.2">
      <c r="A534" s="3">
        <f t="shared" si="9"/>
        <v>2543</v>
      </c>
      <c r="B534" t="str">
        <f>"00025430008"</f>
        <v>00025430008</v>
      </c>
      <c r="C534" t="s">
        <v>744</v>
      </c>
      <c r="D534" t="s">
        <v>289</v>
      </c>
      <c r="E534">
        <v>20</v>
      </c>
      <c r="F534">
        <v>8086</v>
      </c>
      <c r="G534" t="s">
        <v>290</v>
      </c>
      <c r="H534">
        <v>8</v>
      </c>
      <c r="I534" t="s">
        <v>25</v>
      </c>
      <c r="J534">
        <v>6</v>
      </c>
      <c r="K534" t="s">
        <v>25</v>
      </c>
      <c r="L534">
        <v>8</v>
      </c>
      <c r="M534">
        <v>88001</v>
      </c>
      <c r="N534">
        <v>2</v>
      </c>
    </row>
    <row r="535" spans="1:14" x14ac:dyDescent="0.2">
      <c r="A535" s="3">
        <f t="shared" si="9"/>
        <v>2543</v>
      </c>
      <c r="B535" t="str">
        <f>"00025430008"</f>
        <v>00025430008</v>
      </c>
      <c r="C535" t="s">
        <v>744</v>
      </c>
      <c r="D535" t="s">
        <v>289</v>
      </c>
      <c r="E535">
        <v>20</v>
      </c>
      <c r="F535">
        <v>8072</v>
      </c>
      <c r="G535" t="s">
        <v>322</v>
      </c>
      <c r="H535">
        <v>8</v>
      </c>
      <c r="I535" t="s">
        <v>25</v>
      </c>
      <c r="J535">
        <v>6</v>
      </c>
      <c r="K535" t="s">
        <v>25</v>
      </c>
      <c r="L535">
        <v>8</v>
      </c>
      <c r="M535">
        <v>88001</v>
      </c>
      <c r="N535">
        <v>2</v>
      </c>
    </row>
    <row r="536" spans="1:14" x14ac:dyDescent="0.2">
      <c r="A536" s="3">
        <f t="shared" si="9"/>
        <v>2547</v>
      </c>
      <c r="B536" t="str">
        <f>"00025470012"</f>
        <v>00025470012</v>
      </c>
      <c r="C536" t="s">
        <v>745</v>
      </c>
      <c r="D536" t="s">
        <v>289</v>
      </c>
      <c r="E536">
        <v>20</v>
      </c>
      <c r="F536">
        <v>8086</v>
      </c>
      <c r="G536" t="s">
        <v>290</v>
      </c>
      <c r="H536">
        <v>15</v>
      </c>
      <c r="I536" t="s">
        <v>25</v>
      </c>
      <c r="J536">
        <v>11</v>
      </c>
      <c r="K536" t="s">
        <v>25</v>
      </c>
      <c r="L536">
        <v>8</v>
      </c>
      <c r="M536">
        <v>86062</v>
      </c>
      <c r="N536">
        <v>4</v>
      </c>
    </row>
    <row r="537" spans="1:14" x14ac:dyDescent="0.2">
      <c r="A537" s="3">
        <f t="shared" si="9"/>
        <v>2547</v>
      </c>
      <c r="B537" t="str">
        <f>"00025470012"</f>
        <v>00025470012</v>
      </c>
      <c r="C537" t="s">
        <v>745</v>
      </c>
      <c r="D537" t="s">
        <v>289</v>
      </c>
      <c r="E537">
        <v>20</v>
      </c>
      <c r="F537">
        <v>8130</v>
      </c>
      <c r="G537" t="s">
        <v>318</v>
      </c>
      <c r="H537">
        <v>15</v>
      </c>
      <c r="I537" t="s">
        <v>25</v>
      </c>
      <c r="J537">
        <v>11</v>
      </c>
      <c r="K537" t="s">
        <v>25</v>
      </c>
      <c r="L537">
        <v>8</v>
      </c>
      <c r="M537">
        <v>86062</v>
      </c>
      <c r="N537">
        <v>4</v>
      </c>
    </row>
    <row r="538" spans="1:14" x14ac:dyDescent="0.2">
      <c r="A538" s="3">
        <f t="shared" si="9"/>
        <v>2548</v>
      </c>
      <c r="B538" t="str">
        <f>"00025480012"</f>
        <v>00025480012</v>
      </c>
      <c r="C538" t="s">
        <v>746</v>
      </c>
      <c r="D538" t="s">
        <v>320</v>
      </c>
      <c r="E538">
        <v>20</v>
      </c>
      <c r="F538">
        <v>8086</v>
      </c>
      <c r="G538" t="s">
        <v>290</v>
      </c>
      <c r="H538">
        <v>12</v>
      </c>
      <c r="I538" t="s">
        <v>25</v>
      </c>
      <c r="J538">
        <v>9</v>
      </c>
      <c r="K538" t="s">
        <v>25</v>
      </c>
      <c r="L538">
        <v>8</v>
      </c>
      <c r="M538">
        <v>88049</v>
      </c>
      <c r="N538">
        <v>3</v>
      </c>
    </row>
    <row r="539" spans="1:14" x14ac:dyDescent="0.2">
      <c r="A539" s="3">
        <f t="shared" si="9"/>
        <v>2548</v>
      </c>
      <c r="B539" t="str">
        <f>"00025480012"</f>
        <v>00025480012</v>
      </c>
      <c r="C539" t="s">
        <v>746</v>
      </c>
      <c r="D539" t="s">
        <v>320</v>
      </c>
      <c r="E539">
        <v>20</v>
      </c>
      <c r="F539">
        <v>5930</v>
      </c>
      <c r="G539" t="s">
        <v>747</v>
      </c>
      <c r="H539">
        <v>12</v>
      </c>
      <c r="I539" t="s">
        <v>25</v>
      </c>
      <c r="J539">
        <v>9</v>
      </c>
      <c r="K539" t="s">
        <v>25</v>
      </c>
      <c r="L539">
        <v>8</v>
      </c>
      <c r="M539">
        <v>88049</v>
      </c>
      <c r="N539">
        <v>3</v>
      </c>
    </row>
    <row r="540" spans="1:14" x14ac:dyDescent="0.2">
      <c r="A540" s="3">
        <f t="shared" si="9"/>
        <v>2554</v>
      </c>
      <c r="B540" t="str">
        <f>"00025540008"</f>
        <v>00025540008</v>
      </c>
      <c r="C540" t="s">
        <v>748</v>
      </c>
      <c r="D540" t="s">
        <v>289</v>
      </c>
      <c r="E540">
        <v>20</v>
      </c>
      <c r="F540">
        <v>8086</v>
      </c>
      <c r="G540" t="s">
        <v>290</v>
      </c>
      <c r="H540">
        <v>8</v>
      </c>
      <c r="I540" t="s">
        <v>25</v>
      </c>
      <c r="J540">
        <v>6</v>
      </c>
      <c r="K540" t="s">
        <v>25</v>
      </c>
      <c r="L540">
        <v>8</v>
      </c>
      <c r="M540">
        <v>87074</v>
      </c>
      <c r="N540">
        <v>2</v>
      </c>
    </row>
    <row r="541" spans="1:14" x14ac:dyDescent="0.2">
      <c r="A541" s="3">
        <f t="shared" si="9"/>
        <v>2554</v>
      </c>
      <c r="B541" t="str">
        <f>"00025540008"</f>
        <v>00025540008</v>
      </c>
      <c r="C541" t="s">
        <v>748</v>
      </c>
      <c r="D541" t="s">
        <v>289</v>
      </c>
      <c r="E541">
        <v>20</v>
      </c>
      <c r="F541">
        <v>8072</v>
      </c>
      <c r="G541" t="s">
        <v>322</v>
      </c>
      <c r="H541">
        <v>8</v>
      </c>
      <c r="I541" t="s">
        <v>25</v>
      </c>
      <c r="J541">
        <v>6</v>
      </c>
      <c r="K541" t="s">
        <v>25</v>
      </c>
      <c r="L541">
        <v>8</v>
      </c>
      <c r="M541">
        <v>87074</v>
      </c>
      <c r="N541">
        <v>2</v>
      </c>
    </row>
    <row r="542" spans="1:14" x14ac:dyDescent="0.2">
      <c r="A542" s="3">
        <f t="shared" si="9"/>
        <v>2557</v>
      </c>
      <c r="B542" t="str">
        <f>"00025570014"</f>
        <v>00025570014</v>
      </c>
      <c r="C542" t="s">
        <v>749</v>
      </c>
      <c r="D542" t="s">
        <v>289</v>
      </c>
      <c r="E542">
        <v>20</v>
      </c>
      <c r="F542">
        <v>8086</v>
      </c>
      <c r="G542" t="s">
        <v>290</v>
      </c>
      <c r="H542">
        <v>120</v>
      </c>
      <c r="I542" t="s">
        <v>34</v>
      </c>
      <c r="J542">
        <v>88</v>
      </c>
      <c r="K542" t="s">
        <v>34</v>
      </c>
      <c r="L542">
        <v>8</v>
      </c>
      <c r="M542">
        <v>87062</v>
      </c>
      <c r="N542">
        <v>32</v>
      </c>
    </row>
    <row r="543" spans="1:14" x14ac:dyDescent="0.2">
      <c r="A543" s="3">
        <f t="shared" si="9"/>
        <v>2557</v>
      </c>
      <c r="B543" t="str">
        <f>"00025570014"</f>
        <v>00025570014</v>
      </c>
      <c r="C543" t="s">
        <v>749</v>
      </c>
      <c r="D543" t="s">
        <v>289</v>
      </c>
      <c r="E543">
        <v>20</v>
      </c>
      <c r="F543">
        <v>5026</v>
      </c>
      <c r="G543" t="s">
        <v>750</v>
      </c>
      <c r="H543">
        <v>120</v>
      </c>
      <c r="I543" t="s">
        <v>34</v>
      </c>
      <c r="J543">
        <v>88</v>
      </c>
      <c r="K543" t="s">
        <v>34</v>
      </c>
      <c r="L543">
        <v>8</v>
      </c>
      <c r="M543">
        <v>87062</v>
      </c>
      <c r="N543">
        <v>32</v>
      </c>
    </row>
    <row r="544" spans="1:14" x14ac:dyDescent="0.2">
      <c r="A544" s="3">
        <f t="shared" si="9"/>
        <v>2560</v>
      </c>
      <c r="B544" t="str">
        <f>"00025600006"</f>
        <v>00025600006</v>
      </c>
      <c r="C544" t="s">
        <v>751</v>
      </c>
      <c r="D544" t="s">
        <v>48</v>
      </c>
      <c r="E544">
        <v>30</v>
      </c>
      <c r="F544">
        <v>3601</v>
      </c>
      <c r="G544" t="s">
        <v>408</v>
      </c>
      <c r="H544">
        <v>20</v>
      </c>
      <c r="I544" t="s">
        <v>34</v>
      </c>
      <c r="J544">
        <v>14</v>
      </c>
      <c r="K544" t="s">
        <v>34</v>
      </c>
      <c r="L544">
        <v>8</v>
      </c>
      <c r="M544">
        <v>83144</v>
      </c>
      <c r="N544">
        <v>6</v>
      </c>
    </row>
    <row r="545" spans="1:14" x14ac:dyDescent="0.2">
      <c r="A545" s="3">
        <f t="shared" si="9"/>
        <v>2569</v>
      </c>
      <c r="B545" t="str">
        <f>"00025690012"</f>
        <v>00025690012</v>
      </c>
      <c r="C545" t="s">
        <v>752</v>
      </c>
      <c r="D545" t="s">
        <v>289</v>
      </c>
      <c r="E545">
        <v>20</v>
      </c>
      <c r="F545">
        <v>8086</v>
      </c>
      <c r="G545" t="s">
        <v>290</v>
      </c>
      <c r="H545">
        <v>8</v>
      </c>
      <c r="I545" t="s">
        <v>25</v>
      </c>
      <c r="J545">
        <v>6</v>
      </c>
      <c r="K545" t="s">
        <v>25</v>
      </c>
      <c r="L545">
        <v>8</v>
      </c>
      <c r="M545">
        <v>87077</v>
      </c>
      <c r="N545">
        <v>2</v>
      </c>
    </row>
    <row r="546" spans="1:14" x14ac:dyDescent="0.2">
      <c r="A546" s="3">
        <f t="shared" si="9"/>
        <v>2569</v>
      </c>
      <c r="B546" t="str">
        <f>"00025690012"</f>
        <v>00025690012</v>
      </c>
      <c r="C546" t="s">
        <v>752</v>
      </c>
      <c r="D546" t="s">
        <v>289</v>
      </c>
      <c r="E546">
        <v>20</v>
      </c>
      <c r="F546">
        <v>8072</v>
      </c>
      <c r="G546" t="s">
        <v>322</v>
      </c>
      <c r="H546">
        <v>8</v>
      </c>
      <c r="I546" t="s">
        <v>25</v>
      </c>
      <c r="J546">
        <v>6</v>
      </c>
      <c r="K546" t="s">
        <v>25</v>
      </c>
      <c r="L546">
        <v>8</v>
      </c>
      <c r="M546">
        <v>87077</v>
      </c>
      <c r="N546">
        <v>2</v>
      </c>
    </row>
    <row r="547" spans="1:14" x14ac:dyDescent="0.2">
      <c r="A547" s="3">
        <f t="shared" si="9"/>
        <v>2591</v>
      </c>
      <c r="B547" t="str">
        <f>"00025910010"</f>
        <v>00025910010</v>
      </c>
      <c r="C547" t="s">
        <v>753</v>
      </c>
      <c r="D547" t="s">
        <v>320</v>
      </c>
      <c r="E547">
        <v>20</v>
      </c>
      <c r="F547">
        <v>8086</v>
      </c>
      <c r="G547" t="s">
        <v>290</v>
      </c>
      <c r="H547">
        <v>12</v>
      </c>
      <c r="I547" t="s">
        <v>25</v>
      </c>
      <c r="J547">
        <v>9</v>
      </c>
      <c r="K547" t="s">
        <v>25</v>
      </c>
      <c r="L547">
        <v>8</v>
      </c>
      <c r="M547">
        <v>86061</v>
      </c>
      <c r="N547">
        <v>3</v>
      </c>
    </row>
    <row r="548" spans="1:14" x14ac:dyDescent="0.2">
      <c r="A548" s="3">
        <f t="shared" si="9"/>
        <v>2591</v>
      </c>
      <c r="B548" t="str">
        <f>"00025910010"</f>
        <v>00025910010</v>
      </c>
      <c r="C548" t="s">
        <v>753</v>
      </c>
      <c r="D548" t="s">
        <v>320</v>
      </c>
      <c r="E548">
        <v>20</v>
      </c>
      <c r="F548">
        <v>2740</v>
      </c>
      <c r="G548" t="s">
        <v>754</v>
      </c>
      <c r="H548">
        <v>12</v>
      </c>
      <c r="I548" t="s">
        <v>25</v>
      </c>
      <c r="J548">
        <v>9</v>
      </c>
      <c r="K548" t="s">
        <v>25</v>
      </c>
      <c r="L548">
        <v>8</v>
      </c>
      <c r="M548">
        <v>86061</v>
      </c>
      <c r="N548">
        <v>3</v>
      </c>
    </row>
    <row r="549" spans="1:14" x14ac:dyDescent="0.2">
      <c r="A549" s="3">
        <f t="shared" si="9"/>
        <v>2601</v>
      </c>
      <c r="B549" t="str">
        <f>"00026010068"</f>
        <v>00026010068</v>
      </c>
      <c r="C549" t="s">
        <v>755</v>
      </c>
      <c r="D549" t="s">
        <v>604</v>
      </c>
      <c r="E549">
        <v>81</v>
      </c>
      <c r="F549">
        <v>732</v>
      </c>
      <c r="G549" t="s">
        <v>756</v>
      </c>
      <c r="H549">
        <v>18</v>
      </c>
      <c r="I549" t="s">
        <v>25</v>
      </c>
      <c r="J549">
        <v>14</v>
      </c>
      <c r="K549" t="s">
        <v>25</v>
      </c>
      <c r="L549">
        <v>8</v>
      </c>
      <c r="M549">
        <v>69170</v>
      </c>
      <c r="N549">
        <v>4</v>
      </c>
    </row>
    <row r="550" spans="1:14" x14ac:dyDescent="0.2">
      <c r="A550" s="3">
        <f t="shared" si="9"/>
        <v>2602</v>
      </c>
      <c r="B550" t="str">
        <f>"00026020018"</f>
        <v>00026020018</v>
      </c>
      <c r="C550" t="s">
        <v>757</v>
      </c>
      <c r="D550" t="s">
        <v>604</v>
      </c>
      <c r="E550">
        <v>81</v>
      </c>
      <c r="F550">
        <v>732</v>
      </c>
      <c r="G550" t="s">
        <v>756</v>
      </c>
      <c r="H550">
        <v>18</v>
      </c>
      <c r="I550" t="s">
        <v>25</v>
      </c>
      <c r="J550">
        <v>14</v>
      </c>
      <c r="K550" t="s">
        <v>25</v>
      </c>
      <c r="L550">
        <v>8</v>
      </c>
      <c r="M550">
        <v>69120</v>
      </c>
      <c r="N550">
        <v>4</v>
      </c>
    </row>
    <row r="551" spans="1:14" x14ac:dyDescent="0.2">
      <c r="A551" s="3">
        <f t="shared" si="9"/>
        <v>2607</v>
      </c>
      <c r="B551" t="str">
        <f>"00026070006"</f>
        <v>00026070006</v>
      </c>
      <c r="C551" t="s">
        <v>758</v>
      </c>
      <c r="D551" t="s">
        <v>604</v>
      </c>
      <c r="E551">
        <v>81</v>
      </c>
      <c r="F551">
        <v>1724</v>
      </c>
      <c r="G551" t="s">
        <v>759</v>
      </c>
      <c r="H551">
        <v>18</v>
      </c>
      <c r="I551" t="s">
        <v>25</v>
      </c>
      <c r="J551">
        <v>14</v>
      </c>
      <c r="K551" t="s">
        <v>25</v>
      </c>
      <c r="L551">
        <v>8</v>
      </c>
      <c r="M551">
        <v>69118</v>
      </c>
      <c r="N551">
        <v>4</v>
      </c>
    </row>
    <row r="552" spans="1:14" x14ac:dyDescent="0.2">
      <c r="A552" s="3">
        <f t="shared" si="9"/>
        <v>2622</v>
      </c>
      <c r="B552" t="str">
        <f>"00026220006"</f>
        <v>00026220006</v>
      </c>
      <c r="C552" t="s">
        <v>760</v>
      </c>
      <c r="D552" t="s">
        <v>42</v>
      </c>
      <c r="E552">
        <v>83</v>
      </c>
      <c r="F552">
        <v>2131</v>
      </c>
      <c r="G552" t="s">
        <v>241</v>
      </c>
      <c r="H552" t="s">
        <v>44</v>
      </c>
      <c r="I552" t="s">
        <v>45</v>
      </c>
      <c r="J552" t="s">
        <v>44</v>
      </c>
      <c r="K552" t="s">
        <v>45</v>
      </c>
      <c r="L552">
        <v>8</v>
      </c>
      <c r="M552">
        <v>67192</v>
      </c>
      <c r="N552" t="s">
        <v>46</v>
      </c>
    </row>
    <row r="553" spans="1:14" x14ac:dyDescent="0.2">
      <c r="A553" s="3">
        <f t="shared" si="9"/>
        <v>2623</v>
      </c>
      <c r="B553" t="str">
        <f>"00026230008"</f>
        <v>00026230008</v>
      </c>
      <c r="C553" t="s">
        <v>761</v>
      </c>
      <c r="D553" t="s">
        <v>42</v>
      </c>
      <c r="E553">
        <v>83</v>
      </c>
      <c r="F553">
        <v>2131</v>
      </c>
      <c r="G553" t="s">
        <v>241</v>
      </c>
      <c r="H553" t="s">
        <v>44</v>
      </c>
      <c r="I553" t="s">
        <v>45</v>
      </c>
      <c r="J553" t="s">
        <v>44</v>
      </c>
      <c r="K553" t="s">
        <v>45</v>
      </c>
      <c r="L553">
        <v>8</v>
      </c>
      <c r="M553">
        <v>67153</v>
      </c>
      <c r="N553" t="s">
        <v>46</v>
      </c>
    </row>
    <row r="554" spans="1:14" x14ac:dyDescent="0.2">
      <c r="A554" s="3">
        <f t="shared" si="9"/>
        <v>2626</v>
      </c>
      <c r="B554" t="str">
        <f>"00026260016"</f>
        <v>00026260016</v>
      </c>
      <c r="C554" t="s">
        <v>762</v>
      </c>
      <c r="D554" t="s">
        <v>216</v>
      </c>
      <c r="E554">
        <v>71</v>
      </c>
      <c r="F554">
        <v>2250</v>
      </c>
      <c r="G554" t="s">
        <v>763</v>
      </c>
      <c r="H554">
        <v>10</v>
      </c>
      <c r="I554" t="s">
        <v>25</v>
      </c>
      <c r="J554">
        <v>7</v>
      </c>
      <c r="K554" t="s">
        <v>25</v>
      </c>
      <c r="L554">
        <v>8</v>
      </c>
      <c r="M554">
        <v>72017</v>
      </c>
      <c r="N554">
        <v>3</v>
      </c>
    </row>
    <row r="555" spans="1:14" x14ac:dyDescent="0.2">
      <c r="A555" s="3">
        <f t="shared" si="9"/>
        <v>2638</v>
      </c>
      <c r="B555" t="str">
        <f>"00026380048"</f>
        <v>00026380048</v>
      </c>
      <c r="C555" t="s">
        <v>764</v>
      </c>
      <c r="D555" t="s">
        <v>36</v>
      </c>
      <c r="E555">
        <v>82</v>
      </c>
      <c r="F555">
        <v>2131</v>
      </c>
      <c r="G555" t="s">
        <v>241</v>
      </c>
      <c r="H555" t="s">
        <v>44</v>
      </c>
      <c r="I555" t="s">
        <v>45</v>
      </c>
      <c r="J555" t="s">
        <v>44</v>
      </c>
      <c r="K555" t="s">
        <v>45</v>
      </c>
      <c r="L555">
        <v>8</v>
      </c>
      <c r="M555">
        <v>70170</v>
      </c>
      <c r="N555" t="s">
        <v>46</v>
      </c>
    </row>
    <row r="556" spans="1:14" x14ac:dyDescent="0.2">
      <c r="A556" s="3">
        <f t="shared" si="9"/>
        <v>2642</v>
      </c>
      <c r="B556" t="str">
        <f>"00026420020"</f>
        <v>00026420020</v>
      </c>
      <c r="C556" t="s">
        <v>765</v>
      </c>
      <c r="D556" t="s">
        <v>686</v>
      </c>
      <c r="E556">
        <v>81</v>
      </c>
      <c r="F556">
        <v>1117</v>
      </c>
      <c r="G556" t="s">
        <v>766</v>
      </c>
      <c r="H556">
        <v>18</v>
      </c>
      <c r="I556" t="s">
        <v>25</v>
      </c>
      <c r="J556">
        <v>14</v>
      </c>
      <c r="K556" t="s">
        <v>25</v>
      </c>
      <c r="L556">
        <v>8</v>
      </c>
      <c r="M556">
        <v>69087</v>
      </c>
      <c r="N556">
        <v>4</v>
      </c>
    </row>
    <row r="557" spans="1:14" x14ac:dyDescent="0.2">
      <c r="A557" s="3">
        <f t="shared" si="9"/>
        <v>2643</v>
      </c>
      <c r="B557" t="str">
        <f>"00026430020"</f>
        <v>00026430020</v>
      </c>
      <c r="C557" t="s">
        <v>767</v>
      </c>
      <c r="D557" t="s">
        <v>686</v>
      </c>
      <c r="E557">
        <v>81</v>
      </c>
      <c r="F557">
        <v>1117</v>
      </c>
      <c r="G557" t="s">
        <v>766</v>
      </c>
      <c r="H557">
        <v>18</v>
      </c>
      <c r="I557" t="s">
        <v>25</v>
      </c>
      <c r="J557">
        <v>14</v>
      </c>
      <c r="K557" t="s">
        <v>25</v>
      </c>
      <c r="L557">
        <v>8</v>
      </c>
      <c r="M557">
        <v>69093</v>
      </c>
      <c r="N557">
        <v>4</v>
      </c>
    </row>
    <row r="558" spans="1:14" x14ac:dyDescent="0.2">
      <c r="A558" s="3">
        <f t="shared" si="9"/>
        <v>2647</v>
      </c>
      <c r="B558" t="str">
        <f>"00026470006"</f>
        <v>00026470006</v>
      </c>
      <c r="C558" t="s">
        <v>768</v>
      </c>
      <c r="D558" t="s">
        <v>686</v>
      </c>
      <c r="E558">
        <v>81</v>
      </c>
      <c r="F558">
        <v>1117</v>
      </c>
      <c r="G558" t="s">
        <v>766</v>
      </c>
      <c r="H558">
        <v>18</v>
      </c>
      <c r="I558" t="s">
        <v>25</v>
      </c>
      <c r="J558">
        <v>14</v>
      </c>
      <c r="K558" t="s">
        <v>25</v>
      </c>
      <c r="L558">
        <v>8</v>
      </c>
      <c r="M558">
        <v>69105</v>
      </c>
      <c r="N558">
        <v>4</v>
      </c>
    </row>
    <row r="559" spans="1:14" x14ac:dyDescent="0.2">
      <c r="A559" s="3">
        <f t="shared" si="9"/>
        <v>2648</v>
      </c>
      <c r="B559" t="str">
        <f>"00026480010"</f>
        <v>00026480010</v>
      </c>
      <c r="C559" t="s">
        <v>769</v>
      </c>
      <c r="D559" t="s">
        <v>604</v>
      </c>
      <c r="E559">
        <v>81</v>
      </c>
      <c r="F559">
        <v>641</v>
      </c>
      <c r="G559" t="s">
        <v>770</v>
      </c>
      <c r="H559">
        <v>20</v>
      </c>
      <c r="I559" t="s">
        <v>25</v>
      </c>
      <c r="J559">
        <v>16</v>
      </c>
      <c r="K559" t="s">
        <v>25</v>
      </c>
      <c r="L559">
        <v>8</v>
      </c>
      <c r="M559">
        <v>69127</v>
      </c>
      <c r="N559">
        <v>4</v>
      </c>
    </row>
    <row r="560" spans="1:14" x14ac:dyDescent="0.2">
      <c r="A560" s="3">
        <f t="shared" si="9"/>
        <v>2650</v>
      </c>
      <c r="B560" t="str">
        <f>"00026500006"</f>
        <v>00026500006</v>
      </c>
      <c r="C560" t="s">
        <v>771</v>
      </c>
      <c r="D560" t="s">
        <v>686</v>
      </c>
      <c r="E560">
        <v>81</v>
      </c>
      <c r="F560">
        <v>741</v>
      </c>
      <c r="G560" t="s">
        <v>772</v>
      </c>
      <c r="H560">
        <v>18</v>
      </c>
      <c r="I560" t="s">
        <v>25</v>
      </c>
      <c r="J560">
        <v>14</v>
      </c>
      <c r="K560" t="s">
        <v>25</v>
      </c>
      <c r="L560">
        <v>8</v>
      </c>
      <c r="M560">
        <v>69147</v>
      </c>
      <c r="N560">
        <v>4</v>
      </c>
    </row>
    <row r="561" spans="1:14" x14ac:dyDescent="0.2">
      <c r="A561" s="3">
        <f t="shared" si="9"/>
        <v>2654</v>
      </c>
      <c r="B561" t="str">
        <f>"00026540012"</f>
        <v>00026540012</v>
      </c>
      <c r="C561" t="s">
        <v>773</v>
      </c>
      <c r="D561" t="s">
        <v>604</v>
      </c>
      <c r="E561">
        <v>81</v>
      </c>
      <c r="F561">
        <v>641</v>
      </c>
      <c r="G561" t="s">
        <v>770</v>
      </c>
      <c r="H561">
        <v>20</v>
      </c>
      <c r="I561" t="s">
        <v>25</v>
      </c>
      <c r="J561">
        <v>16</v>
      </c>
      <c r="K561" t="s">
        <v>25</v>
      </c>
      <c r="L561">
        <v>8</v>
      </c>
      <c r="M561">
        <v>69177</v>
      </c>
      <c r="N561">
        <v>4</v>
      </c>
    </row>
    <row r="562" spans="1:14" x14ac:dyDescent="0.2">
      <c r="A562" s="3">
        <f t="shared" si="9"/>
        <v>2656</v>
      </c>
      <c r="B562" t="str">
        <f>"00026560012"</f>
        <v>00026560012</v>
      </c>
      <c r="C562" t="s">
        <v>774</v>
      </c>
      <c r="D562" t="s">
        <v>42</v>
      </c>
      <c r="E562">
        <v>70</v>
      </c>
      <c r="F562">
        <v>2146</v>
      </c>
      <c r="G562" t="s">
        <v>575</v>
      </c>
      <c r="H562">
        <v>6</v>
      </c>
      <c r="I562" t="s">
        <v>25</v>
      </c>
      <c r="J562">
        <v>4</v>
      </c>
      <c r="K562" t="s">
        <v>25</v>
      </c>
      <c r="L562">
        <v>8</v>
      </c>
      <c r="M562">
        <v>74063</v>
      </c>
      <c r="N562">
        <v>2</v>
      </c>
    </row>
    <row r="563" spans="1:14" x14ac:dyDescent="0.2">
      <c r="A563" s="3">
        <f t="shared" si="9"/>
        <v>2659</v>
      </c>
      <c r="B563" t="str">
        <f>"00026590018"</f>
        <v>00026590018</v>
      </c>
      <c r="C563" t="s">
        <v>775</v>
      </c>
      <c r="D563" t="s">
        <v>42</v>
      </c>
      <c r="E563">
        <v>82</v>
      </c>
      <c r="F563">
        <v>4287</v>
      </c>
      <c r="G563" t="s">
        <v>445</v>
      </c>
      <c r="H563" t="s">
        <v>44</v>
      </c>
      <c r="I563" t="s">
        <v>45</v>
      </c>
      <c r="J563" t="s">
        <v>44</v>
      </c>
      <c r="K563" t="s">
        <v>45</v>
      </c>
      <c r="L563">
        <v>8</v>
      </c>
      <c r="M563">
        <v>70146</v>
      </c>
      <c r="N563" t="s">
        <v>46</v>
      </c>
    </row>
    <row r="564" spans="1:14" x14ac:dyDescent="0.2">
      <c r="A564" s="3">
        <f t="shared" si="9"/>
        <v>2660</v>
      </c>
      <c r="B564" t="str">
        <f>"00026600016"</f>
        <v>00026600016</v>
      </c>
      <c r="C564" t="s">
        <v>776</v>
      </c>
      <c r="D564" t="s">
        <v>77</v>
      </c>
      <c r="E564">
        <v>30</v>
      </c>
      <c r="F564">
        <v>1340</v>
      </c>
      <c r="G564" t="s">
        <v>777</v>
      </c>
      <c r="H564">
        <v>60</v>
      </c>
      <c r="I564" t="s">
        <v>34</v>
      </c>
      <c r="J564">
        <v>44</v>
      </c>
      <c r="K564" t="s">
        <v>34</v>
      </c>
      <c r="L564">
        <v>8</v>
      </c>
      <c r="M564">
        <v>83008</v>
      </c>
      <c r="N564">
        <v>16</v>
      </c>
    </row>
    <row r="565" spans="1:14" x14ac:dyDescent="0.2">
      <c r="A565" s="3">
        <f t="shared" si="9"/>
        <v>2704</v>
      </c>
      <c r="B565" t="str">
        <f>"00027040044"</f>
        <v>00027040044</v>
      </c>
      <c r="C565" t="s">
        <v>778</v>
      </c>
      <c r="D565" t="s">
        <v>604</v>
      </c>
      <c r="E565">
        <v>71</v>
      </c>
      <c r="F565">
        <v>4814</v>
      </c>
      <c r="G565" t="s">
        <v>779</v>
      </c>
      <c r="H565">
        <v>21</v>
      </c>
      <c r="I565" t="s">
        <v>25</v>
      </c>
      <c r="J565">
        <v>17</v>
      </c>
      <c r="K565" t="s">
        <v>25</v>
      </c>
      <c r="L565">
        <v>8</v>
      </c>
      <c r="M565">
        <v>73028</v>
      </c>
      <c r="N565">
        <v>4</v>
      </c>
    </row>
    <row r="566" spans="1:14" x14ac:dyDescent="0.2">
      <c r="A566" s="3">
        <f t="shared" si="9"/>
        <v>2715</v>
      </c>
      <c r="B566" t="str">
        <f>"00027150060"</f>
        <v>00027150060</v>
      </c>
      <c r="C566" t="s">
        <v>780</v>
      </c>
      <c r="D566" t="s">
        <v>622</v>
      </c>
      <c r="E566">
        <v>71</v>
      </c>
      <c r="F566">
        <v>919</v>
      </c>
      <c r="G566" t="s">
        <v>623</v>
      </c>
      <c r="H566">
        <v>16</v>
      </c>
      <c r="I566" t="s">
        <v>25</v>
      </c>
      <c r="J566">
        <v>13</v>
      </c>
      <c r="K566" t="s">
        <v>25</v>
      </c>
      <c r="L566">
        <v>8</v>
      </c>
      <c r="M566">
        <v>74241</v>
      </c>
      <c r="N566">
        <v>3</v>
      </c>
    </row>
    <row r="567" spans="1:14" x14ac:dyDescent="0.2">
      <c r="A567" s="3">
        <f t="shared" si="9"/>
        <v>2721</v>
      </c>
      <c r="B567" t="str">
        <f>"00027210032"</f>
        <v>00027210032</v>
      </c>
      <c r="C567" t="s">
        <v>781</v>
      </c>
      <c r="D567" t="s">
        <v>115</v>
      </c>
      <c r="E567">
        <v>71</v>
      </c>
      <c r="F567">
        <v>1695</v>
      </c>
      <c r="G567" t="s">
        <v>627</v>
      </c>
      <c r="H567">
        <v>150</v>
      </c>
      <c r="I567" t="s">
        <v>34</v>
      </c>
      <c r="J567">
        <v>118</v>
      </c>
      <c r="K567" t="s">
        <v>34</v>
      </c>
      <c r="L567">
        <v>8</v>
      </c>
      <c r="M567">
        <v>76023</v>
      </c>
      <c r="N567">
        <v>32</v>
      </c>
    </row>
    <row r="568" spans="1:14" x14ac:dyDescent="0.2">
      <c r="A568" s="3">
        <f t="shared" si="9"/>
        <v>2730</v>
      </c>
      <c r="B568" t="str">
        <f>"00027300006"</f>
        <v>00027300006</v>
      </c>
      <c r="C568" t="s">
        <v>782</v>
      </c>
      <c r="D568" t="s">
        <v>216</v>
      </c>
      <c r="E568">
        <v>71</v>
      </c>
      <c r="F568">
        <v>4357</v>
      </c>
      <c r="G568" t="s">
        <v>783</v>
      </c>
      <c r="H568">
        <v>12</v>
      </c>
      <c r="I568" t="s">
        <v>25</v>
      </c>
      <c r="J568">
        <v>9</v>
      </c>
      <c r="K568" t="s">
        <v>25</v>
      </c>
      <c r="L568">
        <v>8</v>
      </c>
      <c r="M568">
        <v>72027</v>
      </c>
      <c r="N568">
        <v>3</v>
      </c>
    </row>
    <row r="569" spans="1:14" x14ac:dyDescent="0.2">
      <c r="A569" s="3">
        <f t="shared" si="9"/>
        <v>2743</v>
      </c>
      <c r="B569" t="str">
        <f>"00027430017"</f>
        <v>00027430017</v>
      </c>
      <c r="C569" t="s">
        <v>784</v>
      </c>
      <c r="D569" t="s">
        <v>36</v>
      </c>
      <c r="E569">
        <v>71</v>
      </c>
      <c r="F569">
        <v>1301</v>
      </c>
      <c r="G569" t="s">
        <v>521</v>
      </c>
      <c r="H569">
        <v>108</v>
      </c>
      <c r="I569" t="s">
        <v>34</v>
      </c>
      <c r="J569">
        <v>80</v>
      </c>
      <c r="K569" t="s">
        <v>34</v>
      </c>
      <c r="L569">
        <v>8</v>
      </c>
      <c r="M569">
        <v>74219</v>
      </c>
      <c r="N569">
        <v>28</v>
      </c>
    </row>
    <row r="570" spans="1:14" x14ac:dyDescent="0.2">
      <c r="A570" s="3">
        <f t="shared" si="9"/>
        <v>2746</v>
      </c>
      <c r="B570" t="str">
        <f>"00027460010"</f>
        <v>00027460010</v>
      </c>
      <c r="C570" t="s">
        <v>785</v>
      </c>
      <c r="D570" t="s">
        <v>115</v>
      </c>
      <c r="E570">
        <v>71</v>
      </c>
      <c r="F570">
        <v>1695</v>
      </c>
      <c r="G570" t="s">
        <v>627</v>
      </c>
      <c r="H570">
        <v>150</v>
      </c>
      <c r="I570" t="s">
        <v>34</v>
      </c>
      <c r="J570">
        <v>118</v>
      </c>
      <c r="K570" t="s">
        <v>34</v>
      </c>
      <c r="L570">
        <v>8</v>
      </c>
      <c r="M570">
        <v>74258</v>
      </c>
      <c r="N570">
        <v>32</v>
      </c>
    </row>
    <row r="571" spans="1:14" x14ac:dyDescent="0.2">
      <c r="A571" s="3">
        <f t="shared" si="9"/>
        <v>2748</v>
      </c>
      <c r="B571" t="str">
        <f>"00027480010"</f>
        <v>00027480010</v>
      </c>
      <c r="C571" t="s">
        <v>786</v>
      </c>
      <c r="D571" t="s">
        <v>115</v>
      </c>
      <c r="E571">
        <v>71</v>
      </c>
      <c r="F571">
        <v>1695</v>
      </c>
      <c r="G571" t="s">
        <v>627</v>
      </c>
      <c r="H571">
        <v>150</v>
      </c>
      <c r="I571" t="s">
        <v>34</v>
      </c>
      <c r="J571">
        <v>118</v>
      </c>
      <c r="K571" t="s">
        <v>34</v>
      </c>
      <c r="L571">
        <v>8</v>
      </c>
      <c r="M571">
        <v>76006</v>
      </c>
      <c r="N571">
        <v>32</v>
      </c>
    </row>
    <row r="572" spans="1:14" x14ac:dyDescent="0.2">
      <c r="A572" s="3">
        <f t="shared" si="9"/>
        <v>2754</v>
      </c>
      <c r="B572" t="str">
        <f>"00027540014"</f>
        <v>00027540014</v>
      </c>
      <c r="C572" t="s">
        <v>787</v>
      </c>
      <c r="D572" t="s">
        <v>36</v>
      </c>
      <c r="E572">
        <v>71</v>
      </c>
      <c r="F572">
        <v>2168</v>
      </c>
      <c r="G572" t="s">
        <v>788</v>
      </c>
      <c r="H572">
        <v>120</v>
      </c>
      <c r="I572" t="s">
        <v>34</v>
      </c>
      <c r="J572">
        <v>88</v>
      </c>
      <c r="K572" t="s">
        <v>34</v>
      </c>
      <c r="L572">
        <v>8</v>
      </c>
      <c r="M572">
        <v>72030</v>
      </c>
      <c r="N572">
        <v>32</v>
      </c>
    </row>
    <row r="573" spans="1:14" x14ac:dyDescent="0.2">
      <c r="A573" s="3">
        <f t="shared" si="9"/>
        <v>2755</v>
      </c>
      <c r="B573" t="str">
        <f>"00027550032"</f>
        <v>00027550032</v>
      </c>
      <c r="C573" t="s">
        <v>789</v>
      </c>
      <c r="D573" t="s">
        <v>42</v>
      </c>
      <c r="E573">
        <v>71</v>
      </c>
      <c r="F573">
        <v>8049</v>
      </c>
      <c r="G573" t="s">
        <v>43</v>
      </c>
      <c r="H573">
        <v>24</v>
      </c>
      <c r="I573" t="s">
        <v>25</v>
      </c>
      <c r="J573">
        <v>20</v>
      </c>
      <c r="K573" t="s">
        <v>25</v>
      </c>
      <c r="L573">
        <v>8</v>
      </c>
      <c r="M573">
        <v>73001</v>
      </c>
      <c r="N573">
        <v>4</v>
      </c>
    </row>
    <row r="574" spans="1:14" x14ac:dyDescent="0.2">
      <c r="A574" s="3">
        <f t="shared" si="9"/>
        <v>2756</v>
      </c>
      <c r="B574" t="str">
        <f>"00027560072"</f>
        <v>00027560072</v>
      </c>
      <c r="C574" t="s">
        <v>790</v>
      </c>
      <c r="D574" t="s">
        <v>115</v>
      </c>
      <c r="E574">
        <v>71</v>
      </c>
      <c r="F574">
        <v>1695</v>
      </c>
      <c r="G574" t="s">
        <v>627</v>
      </c>
      <c r="H574">
        <v>150</v>
      </c>
      <c r="I574" t="s">
        <v>34</v>
      </c>
      <c r="J574">
        <v>118</v>
      </c>
      <c r="K574" t="s">
        <v>34</v>
      </c>
      <c r="L574">
        <v>8</v>
      </c>
      <c r="M574">
        <v>73025</v>
      </c>
      <c r="N574">
        <v>32</v>
      </c>
    </row>
    <row r="575" spans="1:14" x14ac:dyDescent="0.2">
      <c r="A575" s="3">
        <f t="shared" si="9"/>
        <v>2765</v>
      </c>
      <c r="B575" t="str">
        <f>"00027650032"</f>
        <v>00027650032</v>
      </c>
      <c r="C575" t="s">
        <v>791</v>
      </c>
      <c r="D575" t="s">
        <v>622</v>
      </c>
      <c r="E575">
        <v>71</v>
      </c>
      <c r="F575">
        <v>1095</v>
      </c>
      <c r="G575" t="s">
        <v>633</v>
      </c>
      <c r="H575">
        <v>9</v>
      </c>
      <c r="I575" t="s">
        <v>25</v>
      </c>
      <c r="J575">
        <v>7</v>
      </c>
      <c r="K575" t="s">
        <v>25</v>
      </c>
      <c r="L575">
        <v>8</v>
      </c>
      <c r="M575">
        <v>74256</v>
      </c>
      <c r="N575">
        <v>2</v>
      </c>
    </row>
    <row r="576" spans="1:14" x14ac:dyDescent="0.2">
      <c r="A576" s="3">
        <f t="shared" si="9"/>
        <v>2766</v>
      </c>
      <c r="B576" t="str">
        <f>"00027660027"</f>
        <v>00027660027</v>
      </c>
      <c r="C576" t="s">
        <v>792</v>
      </c>
      <c r="D576" t="s">
        <v>622</v>
      </c>
      <c r="E576">
        <v>71</v>
      </c>
      <c r="F576">
        <v>8052</v>
      </c>
      <c r="G576" t="s">
        <v>642</v>
      </c>
      <c r="H576">
        <v>12</v>
      </c>
      <c r="I576" t="s">
        <v>25</v>
      </c>
      <c r="J576">
        <v>9</v>
      </c>
      <c r="K576" t="s">
        <v>25</v>
      </c>
      <c r="L576">
        <v>8</v>
      </c>
      <c r="M576">
        <v>72010</v>
      </c>
      <c r="N576">
        <v>3</v>
      </c>
    </row>
    <row r="577" spans="1:14" x14ac:dyDescent="0.2">
      <c r="A577" s="3">
        <f t="shared" si="9"/>
        <v>2780</v>
      </c>
      <c r="B577" t="str">
        <f>"00027800006"</f>
        <v>00027800006</v>
      </c>
      <c r="C577" t="s">
        <v>793</v>
      </c>
      <c r="D577" t="s">
        <v>386</v>
      </c>
      <c r="E577">
        <v>60</v>
      </c>
      <c r="F577">
        <v>943</v>
      </c>
      <c r="G577" t="s">
        <v>794</v>
      </c>
      <c r="H577" t="s">
        <v>44</v>
      </c>
      <c r="I577" t="s">
        <v>45</v>
      </c>
      <c r="J577" t="s">
        <v>44</v>
      </c>
      <c r="K577" t="s">
        <v>45</v>
      </c>
      <c r="L577">
        <v>8</v>
      </c>
      <c r="M577">
        <v>61221</v>
      </c>
      <c r="N577" t="s">
        <v>46</v>
      </c>
    </row>
    <row r="578" spans="1:14" x14ac:dyDescent="0.2">
      <c r="A578" s="3">
        <f t="shared" si="9"/>
        <v>2785</v>
      </c>
      <c r="B578" t="str">
        <f>"00027850025"</f>
        <v>00027850025</v>
      </c>
      <c r="C578" t="s">
        <v>795</v>
      </c>
      <c r="D578" t="s">
        <v>52</v>
      </c>
      <c r="E578">
        <v>33</v>
      </c>
      <c r="F578">
        <v>1022</v>
      </c>
      <c r="G578" t="s">
        <v>796</v>
      </c>
      <c r="H578">
        <v>60</v>
      </c>
      <c r="I578" t="s">
        <v>34</v>
      </c>
      <c r="J578">
        <v>44</v>
      </c>
      <c r="K578" t="s">
        <v>34</v>
      </c>
      <c r="L578">
        <v>6</v>
      </c>
      <c r="M578">
        <v>3527</v>
      </c>
      <c r="N578">
        <v>16</v>
      </c>
    </row>
    <row r="579" spans="1:14" x14ac:dyDescent="0.2">
      <c r="A579" s="3">
        <f t="shared" si="9"/>
        <v>2804</v>
      </c>
      <c r="B579" t="str">
        <f>"00028040006"</f>
        <v>00028040006</v>
      </c>
      <c r="C579" t="s">
        <v>797</v>
      </c>
      <c r="D579" t="s">
        <v>386</v>
      </c>
      <c r="E579">
        <v>60</v>
      </c>
      <c r="F579">
        <v>314</v>
      </c>
      <c r="G579" t="s">
        <v>798</v>
      </c>
      <c r="H579" t="s">
        <v>44</v>
      </c>
      <c r="I579" t="s">
        <v>45</v>
      </c>
      <c r="J579" t="s">
        <v>44</v>
      </c>
      <c r="K579" t="s">
        <v>45</v>
      </c>
      <c r="L579">
        <v>6</v>
      </c>
      <c r="M579" t="s">
        <v>65</v>
      </c>
      <c r="N579" t="s">
        <v>46</v>
      </c>
    </row>
    <row r="580" spans="1:14" x14ac:dyDescent="0.2">
      <c r="A580" s="3">
        <f t="shared" ref="A580:A643" si="10">(B580-RIGHT(B580,4))/10000</f>
        <v>2813</v>
      </c>
      <c r="B580" t="str">
        <f>"00028130006"</f>
        <v>00028130006</v>
      </c>
      <c r="C580" t="s">
        <v>799</v>
      </c>
      <c r="D580" t="s">
        <v>386</v>
      </c>
      <c r="E580">
        <v>60</v>
      </c>
      <c r="F580">
        <v>2007</v>
      </c>
      <c r="G580" t="s">
        <v>387</v>
      </c>
      <c r="H580" t="s">
        <v>44</v>
      </c>
      <c r="I580" t="s">
        <v>45</v>
      </c>
      <c r="J580" t="s">
        <v>44</v>
      </c>
      <c r="K580" t="s">
        <v>45</v>
      </c>
      <c r="L580">
        <v>8</v>
      </c>
      <c r="M580">
        <v>61193</v>
      </c>
      <c r="N580" t="s">
        <v>46</v>
      </c>
    </row>
    <row r="581" spans="1:14" x14ac:dyDescent="0.2">
      <c r="A581" s="3">
        <f t="shared" si="10"/>
        <v>2817</v>
      </c>
      <c r="B581" t="str">
        <f>"00028170008"</f>
        <v>00028170008</v>
      </c>
      <c r="C581" t="s">
        <v>800</v>
      </c>
      <c r="D581" t="s">
        <v>431</v>
      </c>
      <c r="E581">
        <v>60</v>
      </c>
      <c r="F581">
        <v>3625</v>
      </c>
      <c r="G581" t="s">
        <v>801</v>
      </c>
      <c r="H581" t="s">
        <v>44</v>
      </c>
      <c r="I581" t="s">
        <v>45</v>
      </c>
      <c r="J581" t="s">
        <v>44</v>
      </c>
      <c r="K581" t="s">
        <v>45</v>
      </c>
      <c r="L581">
        <v>8</v>
      </c>
      <c r="M581">
        <v>62113</v>
      </c>
      <c r="N581" t="s">
        <v>46</v>
      </c>
    </row>
    <row r="582" spans="1:14" x14ac:dyDescent="0.2">
      <c r="A582" s="3">
        <f t="shared" si="10"/>
        <v>2819</v>
      </c>
      <c r="B582" t="str">
        <f>"00028190006"</f>
        <v>00028190006</v>
      </c>
      <c r="C582" t="s">
        <v>802</v>
      </c>
      <c r="D582" t="s">
        <v>386</v>
      </c>
      <c r="E582">
        <v>60</v>
      </c>
      <c r="F582">
        <v>7597</v>
      </c>
      <c r="G582" t="s">
        <v>803</v>
      </c>
      <c r="H582" t="s">
        <v>44</v>
      </c>
      <c r="I582" t="s">
        <v>45</v>
      </c>
      <c r="J582" t="s">
        <v>44</v>
      </c>
      <c r="K582" t="s">
        <v>45</v>
      </c>
      <c r="L582">
        <v>8</v>
      </c>
      <c r="M582">
        <v>61032</v>
      </c>
      <c r="N582" t="s">
        <v>46</v>
      </c>
    </row>
    <row r="583" spans="1:14" x14ac:dyDescent="0.2">
      <c r="A583" s="3">
        <f t="shared" si="10"/>
        <v>2820</v>
      </c>
      <c r="B583" t="str">
        <f>"00028200008"</f>
        <v>00028200008</v>
      </c>
      <c r="C583" t="s">
        <v>804</v>
      </c>
      <c r="D583" t="s">
        <v>431</v>
      </c>
      <c r="E583">
        <v>60</v>
      </c>
      <c r="F583">
        <v>3625</v>
      </c>
      <c r="G583" t="s">
        <v>801</v>
      </c>
      <c r="H583" t="s">
        <v>44</v>
      </c>
      <c r="I583" t="s">
        <v>45</v>
      </c>
      <c r="J583" t="s">
        <v>44</v>
      </c>
      <c r="K583" t="s">
        <v>45</v>
      </c>
      <c r="L583">
        <v>8</v>
      </c>
      <c r="M583">
        <v>62116</v>
      </c>
      <c r="N583" t="s">
        <v>46</v>
      </c>
    </row>
    <row r="584" spans="1:14" x14ac:dyDescent="0.2">
      <c r="A584" s="3">
        <f t="shared" si="10"/>
        <v>2821</v>
      </c>
      <c r="B584" t="str">
        <f>"00028210120"</f>
        <v>00028210120</v>
      </c>
      <c r="C584" t="s">
        <v>805</v>
      </c>
      <c r="D584" t="s">
        <v>52</v>
      </c>
      <c r="E584">
        <v>83</v>
      </c>
      <c r="F584">
        <v>2131</v>
      </c>
      <c r="G584" t="s">
        <v>241</v>
      </c>
      <c r="H584" t="s">
        <v>44</v>
      </c>
      <c r="I584" t="s">
        <v>45</v>
      </c>
      <c r="J584" t="s">
        <v>44</v>
      </c>
      <c r="K584" t="s">
        <v>45</v>
      </c>
      <c r="L584">
        <v>6</v>
      </c>
      <c r="M584">
        <v>52647</v>
      </c>
      <c r="N584" t="s">
        <v>46</v>
      </c>
    </row>
    <row r="585" spans="1:14" x14ac:dyDescent="0.2">
      <c r="A585" s="3">
        <f t="shared" si="10"/>
        <v>2827</v>
      </c>
      <c r="B585" t="str">
        <f>"00028270006"</f>
        <v>00028270006</v>
      </c>
      <c r="C585" t="s">
        <v>806</v>
      </c>
      <c r="D585" t="s">
        <v>386</v>
      </c>
      <c r="E585">
        <v>60</v>
      </c>
      <c r="F585">
        <v>3304</v>
      </c>
      <c r="G585" t="s">
        <v>807</v>
      </c>
      <c r="H585" t="s">
        <v>44</v>
      </c>
      <c r="I585" t="s">
        <v>45</v>
      </c>
      <c r="J585" t="s">
        <v>44</v>
      </c>
      <c r="K585" t="s">
        <v>45</v>
      </c>
      <c r="L585">
        <v>8</v>
      </c>
      <c r="M585">
        <v>61208</v>
      </c>
      <c r="N585" t="s">
        <v>46</v>
      </c>
    </row>
    <row r="586" spans="1:14" x14ac:dyDescent="0.2">
      <c r="A586" s="3">
        <f t="shared" si="10"/>
        <v>2829</v>
      </c>
      <c r="B586" t="str">
        <f>"00028290006"</f>
        <v>00028290006</v>
      </c>
      <c r="C586" t="s">
        <v>808</v>
      </c>
      <c r="D586" t="s">
        <v>386</v>
      </c>
      <c r="E586">
        <v>60</v>
      </c>
      <c r="F586">
        <v>185</v>
      </c>
      <c r="G586" t="s">
        <v>809</v>
      </c>
      <c r="H586" t="s">
        <v>44</v>
      </c>
      <c r="I586" t="s">
        <v>45</v>
      </c>
      <c r="J586" t="s">
        <v>44</v>
      </c>
      <c r="K586" t="s">
        <v>45</v>
      </c>
      <c r="L586">
        <v>8</v>
      </c>
      <c r="M586">
        <v>61223</v>
      </c>
      <c r="N586" t="s">
        <v>46</v>
      </c>
    </row>
    <row r="587" spans="1:14" x14ac:dyDescent="0.2">
      <c r="A587" s="3">
        <f t="shared" si="10"/>
        <v>2832</v>
      </c>
      <c r="B587" t="str">
        <f>"00028320006"</f>
        <v>00028320006</v>
      </c>
      <c r="C587" t="s">
        <v>810</v>
      </c>
      <c r="D587" t="s">
        <v>386</v>
      </c>
      <c r="E587">
        <v>60</v>
      </c>
      <c r="F587">
        <v>2112</v>
      </c>
      <c r="G587" t="s">
        <v>811</v>
      </c>
      <c r="H587" t="s">
        <v>44</v>
      </c>
      <c r="I587" t="s">
        <v>45</v>
      </c>
      <c r="J587" t="s">
        <v>44</v>
      </c>
      <c r="K587" t="s">
        <v>45</v>
      </c>
      <c r="L587">
        <v>8</v>
      </c>
      <c r="M587">
        <v>61126</v>
      </c>
      <c r="N587" t="s">
        <v>46</v>
      </c>
    </row>
    <row r="588" spans="1:14" x14ac:dyDescent="0.2">
      <c r="A588" s="3">
        <f t="shared" si="10"/>
        <v>2835</v>
      </c>
      <c r="B588" t="str">
        <f>"00028350006"</f>
        <v>00028350006</v>
      </c>
      <c r="C588" t="s">
        <v>812</v>
      </c>
      <c r="D588" t="s">
        <v>42</v>
      </c>
      <c r="E588">
        <v>61</v>
      </c>
      <c r="F588">
        <v>320</v>
      </c>
      <c r="G588" t="s">
        <v>813</v>
      </c>
      <c r="H588" t="s">
        <v>44</v>
      </c>
      <c r="I588" t="s">
        <v>45</v>
      </c>
      <c r="J588" t="s">
        <v>44</v>
      </c>
      <c r="K588" t="s">
        <v>45</v>
      </c>
      <c r="L588">
        <v>8</v>
      </c>
      <c r="M588">
        <v>62039</v>
      </c>
      <c r="N588" t="s">
        <v>46</v>
      </c>
    </row>
    <row r="589" spans="1:14" x14ac:dyDescent="0.2">
      <c r="A589" s="3">
        <f t="shared" si="10"/>
        <v>2838</v>
      </c>
      <c r="B589" t="str">
        <f>"00028380024"</f>
        <v>00028380024</v>
      </c>
      <c r="C589" t="s">
        <v>814</v>
      </c>
      <c r="D589" t="s">
        <v>52</v>
      </c>
      <c r="E589">
        <v>70</v>
      </c>
      <c r="F589">
        <v>482</v>
      </c>
      <c r="G589" t="s">
        <v>611</v>
      </c>
      <c r="H589">
        <v>120</v>
      </c>
      <c r="I589" t="s">
        <v>34</v>
      </c>
      <c r="J589">
        <v>88</v>
      </c>
      <c r="K589" t="s">
        <v>34</v>
      </c>
      <c r="L589">
        <v>6</v>
      </c>
      <c r="M589">
        <v>1638</v>
      </c>
      <c r="N589">
        <v>32</v>
      </c>
    </row>
    <row r="590" spans="1:14" x14ac:dyDescent="0.2">
      <c r="A590" s="3">
        <f t="shared" si="10"/>
        <v>2939</v>
      </c>
      <c r="B590" t="str">
        <f>"00029390001"</f>
        <v>00029390001</v>
      </c>
      <c r="C590" t="s">
        <v>815</v>
      </c>
      <c r="D590" t="s">
        <v>52</v>
      </c>
      <c r="E590">
        <v>92</v>
      </c>
      <c r="F590">
        <v>3515</v>
      </c>
      <c r="G590" t="s">
        <v>816</v>
      </c>
      <c r="H590">
        <v>20</v>
      </c>
      <c r="I590" t="s">
        <v>34</v>
      </c>
      <c r="J590">
        <v>14</v>
      </c>
      <c r="K590" t="s">
        <v>34</v>
      </c>
      <c r="L590">
        <v>8</v>
      </c>
      <c r="M590" t="s">
        <v>65</v>
      </c>
      <c r="N590">
        <v>6</v>
      </c>
    </row>
    <row r="591" spans="1:14" x14ac:dyDescent="0.2">
      <c r="A591" s="3">
        <f t="shared" si="10"/>
        <v>3042</v>
      </c>
      <c r="B591" t="str">
        <f>"00030420006"</f>
        <v>00030420006</v>
      </c>
      <c r="C591" t="s">
        <v>817</v>
      </c>
      <c r="D591" t="s">
        <v>36</v>
      </c>
      <c r="E591">
        <v>51</v>
      </c>
      <c r="F591">
        <v>3443</v>
      </c>
      <c r="G591" t="s">
        <v>818</v>
      </c>
      <c r="H591">
        <v>24</v>
      </c>
      <c r="I591" t="s">
        <v>25</v>
      </c>
      <c r="J591">
        <v>20</v>
      </c>
      <c r="K591" t="s">
        <v>25</v>
      </c>
      <c r="L591">
        <v>9</v>
      </c>
      <c r="M591">
        <v>72223</v>
      </c>
      <c r="N591">
        <v>4</v>
      </c>
    </row>
    <row r="592" spans="1:14" x14ac:dyDescent="0.2">
      <c r="A592" s="3">
        <f t="shared" si="10"/>
        <v>3068</v>
      </c>
      <c r="B592" t="str">
        <f>"00030680001"</f>
        <v>00030680001</v>
      </c>
      <c r="C592" t="s">
        <v>819</v>
      </c>
      <c r="D592" t="s">
        <v>52</v>
      </c>
      <c r="E592">
        <v>92</v>
      </c>
      <c r="F592">
        <v>3515</v>
      </c>
      <c r="G592" t="s">
        <v>816</v>
      </c>
      <c r="H592">
        <v>25</v>
      </c>
      <c r="I592" t="s">
        <v>34</v>
      </c>
      <c r="J592">
        <v>18</v>
      </c>
      <c r="K592" t="s">
        <v>34</v>
      </c>
      <c r="L592">
        <v>8</v>
      </c>
      <c r="M592" t="s">
        <v>65</v>
      </c>
      <c r="N592">
        <v>7</v>
      </c>
    </row>
    <row r="593" spans="1:14" x14ac:dyDescent="0.2">
      <c r="A593" s="3">
        <f t="shared" si="10"/>
        <v>3091</v>
      </c>
      <c r="B593" t="str">
        <f>"00030910056"</f>
        <v>00030910056</v>
      </c>
      <c r="C593" t="s">
        <v>820</v>
      </c>
      <c r="D593" t="s">
        <v>52</v>
      </c>
      <c r="E593">
        <v>51</v>
      </c>
      <c r="F593">
        <v>2131</v>
      </c>
      <c r="G593" t="s">
        <v>241</v>
      </c>
      <c r="H593">
        <v>120</v>
      </c>
      <c r="I593" t="s">
        <v>34</v>
      </c>
      <c r="J593">
        <v>88</v>
      </c>
      <c r="K593" t="s">
        <v>34</v>
      </c>
      <c r="L593">
        <v>6</v>
      </c>
      <c r="M593">
        <v>1636</v>
      </c>
      <c r="N593">
        <v>32</v>
      </c>
    </row>
    <row r="594" spans="1:14" x14ac:dyDescent="0.2">
      <c r="A594" s="3">
        <f t="shared" si="10"/>
        <v>3101</v>
      </c>
      <c r="B594" t="str">
        <f>"00031010005"</f>
        <v>00031010005</v>
      </c>
      <c r="C594" t="s">
        <v>821</v>
      </c>
      <c r="D594" t="s">
        <v>67</v>
      </c>
      <c r="E594">
        <v>33</v>
      </c>
      <c r="F594">
        <v>4206</v>
      </c>
      <c r="G594" t="s">
        <v>822</v>
      </c>
      <c r="H594">
        <v>26</v>
      </c>
      <c r="I594" t="s">
        <v>34</v>
      </c>
      <c r="J594">
        <v>19</v>
      </c>
      <c r="K594" t="s">
        <v>34</v>
      </c>
      <c r="L594">
        <v>8</v>
      </c>
      <c r="M594">
        <v>83204</v>
      </c>
      <c r="N594">
        <v>7</v>
      </c>
    </row>
    <row r="595" spans="1:14" x14ac:dyDescent="0.2">
      <c r="A595" s="3">
        <f t="shared" si="10"/>
        <v>3240</v>
      </c>
      <c r="B595" t="str">
        <f>"00032400020"</f>
        <v>00032400020</v>
      </c>
      <c r="C595" t="s">
        <v>823</v>
      </c>
      <c r="D595" t="s">
        <v>42</v>
      </c>
      <c r="E595">
        <v>82</v>
      </c>
      <c r="F595">
        <v>4678</v>
      </c>
      <c r="G595" t="s">
        <v>55</v>
      </c>
      <c r="H595" t="s">
        <v>44</v>
      </c>
      <c r="I595" t="s">
        <v>45</v>
      </c>
      <c r="J595" t="s">
        <v>44</v>
      </c>
      <c r="K595" t="s">
        <v>45</v>
      </c>
      <c r="L595">
        <v>8</v>
      </c>
      <c r="M595">
        <v>70199</v>
      </c>
      <c r="N595" t="s">
        <v>46</v>
      </c>
    </row>
    <row r="596" spans="1:14" x14ac:dyDescent="0.2">
      <c r="A596" s="3">
        <f t="shared" si="10"/>
        <v>3244</v>
      </c>
      <c r="B596" t="str">
        <f>"00032440012"</f>
        <v>00032440012</v>
      </c>
      <c r="C596" t="s">
        <v>824</v>
      </c>
      <c r="D596" t="s">
        <v>42</v>
      </c>
      <c r="E596">
        <v>44</v>
      </c>
      <c r="F596">
        <v>3849</v>
      </c>
      <c r="G596" t="s">
        <v>825</v>
      </c>
      <c r="H596">
        <v>6</v>
      </c>
      <c r="I596" t="s">
        <v>25</v>
      </c>
      <c r="J596">
        <v>4</v>
      </c>
      <c r="K596" t="s">
        <v>25</v>
      </c>
      <c r="L596">
        <v>8</v>
      </c>
      <c r="M596">
        <v>65241</v>
      </c>
      <c r="N596">
        <v>2</v>
      </c>
    </row>
    <row r="597" spans="1:14" x14ac:dyDescent="0.2">
      <c r="A597" s="3">
        <f t="shared" si="10"/>
        <v>3257</v>
      </c>
      <c r="B597" t="str">
        <f>"00032570024"</f>
        <v>00032570024</v>
      </c>
      <c r="C597" t="s">
        <v>826</v>
      </c>
      <c r="D597" t="s">
        <v>36</v>
      </c>
      <c r="E597">
        <v>82</v>
      </c>
      <c r="F597">
        <v>1696</v>
      </c>
      <c r="G597" t="s">
        <v>827</v>
      </c>
      <c r="H597" t="s">
        <v>44</v>
      </c>
      <c r="I597" t="s">
        <v>45</v>
      </c>
      <c r="J597" t="s">
        <v>44</v>
      </c>
      <c r="K597" t="s">
        <v>45</v>
      </c>
      <c r="L597">
        <v>8</v>
      </c>
      <c r="M597">
        <v>70063</v>
      </c>
      <c r="N597" t="s">
        <v>46</v>
      </c>
    </row>
    <row r="598" spans="1:14" x14ac:dyDescent="0.2">
      <c r="A598" s="3">
        <f t="shared" si="10"/>
        <v>3275</v>
      </c>
      <c r="B598" t="str">
        <f>"00032750024"</f>
        <v>00032750024</v>
      </c>
      <c r="C598" t="s">
        <v>828</v>
      </c>
      <c r="D598" t="s">
        <v>36</v>
      </c>
      <c r="E598">
        <v>82</v>
      </c>
      <c r="F598">
        <v>1696</v>
      </c>
      <c r="G598" t="s">
        <v>827</v>
      </c>
      <c r="H598" t="s">
        <v>44</v>
      </c>
      <c r="I598" t="s">
        <v>45</v>
      </c>
      <c r="J598" t="s">
        <v>44</v>
      </c>
      <c r="K598" t="s">
        <v>45</v>
      </c>
      <c r="L598">
        <v>8</v>
      </c>
      <c r="M598">
        <v>70177</v>
      </c>
      <c r="N598" t="s">
        <v>46</v>
      </c>
    </row>
    <row r="599" spans="1:14" x14ac:dyDescent="0.2">
      <c r="A599" s="3">
        <f t="shared" si="10"/>
        <v>3280</v>
      </c>
      <c r="B599" t="str">
        <f>"00032800004"</f>
        <v>00032800004</v>
      </c>
      <c r="C599" t="s">
        <v>829</v>
      </c>
      <c r="D599" t="s">
        <v>115</v>
      </c>
      <c r="E599">
        <v>70</v>
      </c>
      <c r="F599">
        <v>3112</v>
      </c>
      <c r="G599" t="s">
        <v>245</v>
      </c>
      <c r="H599">
        <v>120</v>
      </c>
      <c r="I599" t="s">
        <v>34</v>
      </c>
      <c r="J599">
        <v>88</v>
      </c>
      <c r="K599" t="s">
        <v>34</v>
      </c>
      <c r="L599">
        <v>8</v>
      </c>
      <c r="M599">
        <v>74098</v>
      </c>
      <c r="N599">
        <v>32</v>
      </c>
    </row>
    <row r="600" spans="1:14" x14ac:dyDescent="0.2">
      <c r="A600" s="3">
        <f t="shared" si="10"/>
        <v>3285</v>
      </c>
      <c r="B600" t="str">
        <f>"00032850016"</f>
        <v>00032850016</v>
      </c>
      <c r="C600" t="s">
        <v>830</v>
      </c>
      <c r="D600" t="s">
        <v>42</v>
      </c>
      <c r="E600">
        <v>44</v>
      </c>
      <c r="F600">
        <v>3849</v>
      </c>
      <c r="G600" t="s">
        <v>825</v>
      </c>
      <c r="H600">
        <v>6</v>
      </c>
      <c r="I600" t="s">
        <v>25</v>
      </c>
      <c r="J600">
        <v>4</v>
      </c>
      <c r="K600" t="s">
        <v>25</v>
      </c>
      <c r="L600">
        <v>8</v>
      </c>
      <c r="M600">
        <v>66005</v>
      </c>
      <c r="N600">
        <v>2</v>
      </c>
    </row>
    <row r="601" spans="1:14" x14ac:dyDescent="0.2">
      <c r="A601" s="3">
        <f t="shared" si="10"/>
        <v>3288</v>
      </c>
      <c r="B601" t="str">
        <f>"00032880024"</f>
        <v>00032880024</v>
      </c>
      <c r="C601" t="s">
        <v>831</v>
      </c>
      <c r="D601" t="s">
        <v>36</v>
      </c>
      <c r="E601">
        <v>71</v>
      </c>
      <c r="F601">
        <v>1301</v>
      </c>
      <c r="G601" t="s">
        <v>521</v>
      </c>
      <c r="H601">
        <v>108</v>
      </c>
      <c r="I601" t="s">
        <v>34</v>
      </c>
      <c r="J601">
        <v>80</v>
      </c>
      <c r="K601" t="s">
        <v>34</v>
      </c>
      <c r="L601">
        <v>8</v>
      </c>
      <c r="M601">
        <v>74182</v>
      </c>
      <c r="N601">
        <v>28</v>
      </c>
    </row>
    <row r="602" spans="1:14" x14ac:dyDescent="0.2">
      <c r="A602" s="3">
        <f t="shared" si="10"/>
        <v>3300</v>
      </c>
      <c r="B602" t="str">
        <f>"00033000006"</f>
        <v>00033000006</v>
      </c>
      <c r="C602" t="s">
        <v>832</v>
      </c>
      <c r="D602" t="s">
        <v>67</v>
      </c>
      <c r="E602">
        <v>36</v>
      </c>
      <c r="F602">
        <v>4937</v>
      </c>
      <c r="G602" t="s">
        <v>68</v>
      </c>
      <c r="H602">
        <v>22</v>
      </c>
      <c r="I602" t="s">
        <v>34</v>
      </c>
      <c r="J602">
        <v>16</v>
      </c>
      <c r="K602" t="s">
        <v>34</v>
      </c>
      <c r="L602">
        <v>8</v>
      </c>
      <c r="M602">
        <v>81061</v>
      </c>
      <c r="N602">
        <v>6</v>
      </c>
    </row>
    <row r="603" spans="1:14" x14ac:dyDescent="0.2">
      <c r="A603" s="3">
        <f t="shared" si="10"/>
        <v>3318</v>
      </c>
      <c r="B603" t="str">
        <f>"00033180016"</f>
        <v>00033180016</v>
      </c>
      <c r="C603" t="s">
        <v>833</v>
      </c>
      <c r="D603" t="s">
        <v>67</v>
      </c>
      <c r="E603">
        <v>32</v>
      </c>
      <c r="F603">
        <v>1605</v>
      </c>
      <c r="G603" t="s">
        <v>128</v>
      </c>
      <c r="H603">
        <v>21</v>
      </c>
      <c r="I603" t="s">
        <v>34</v>
      </c>
      <c r="J603">
        <v>15</v>
      </c>
      <c r="K603" t="s">
        <v>34</v>
      </c>
      <c r="L603">
        <v>8</v>
      </c>
      <c r="M603">
        <v>82030</v>
      </c>
      <c r="N603">
        <v>6</v>
      </c>
    </row>
    <row r="604" spans="1:14" x14ac:dyDescent="0.2">
      <c r="A604" s="3">
        <f t="shared" si="10"/>
        <v>3327</v>
      </c>
      <c r="B604" t="str">
        <f>"00033270003"</f>
        <v>00033270003</v>
      </c>
      <c r="C604" t="s">
        <v>834</v>
      </c>
      <c r="D604" t="s">
        <v>67</v>
      </c>
      <c r="E604">
        <v>31</v>
      </c>
      <c r="F604">
        <v>3453</v>
      </c>
      <c r="G604" t="s">
        <v>91</v>
      </c>
      <c r="H604">
        <v>19</v>
      </c>
      <c r="I604" t="s">
        <v>34</v>
      </c>
      <c r="J604">
        <v>14</v>
      </c>
      <c r="K604" t="s">
        <v>34</v>
      </c>
      <c r="L604">
        <v>8</v>
      </c>
      <c r="M604">
        <v>80197</v>
      </c>
      <c r="N604">
        <v>5</v>
      </c>
    </row>
    <row r="605" spans="1:14" x14ac:dyDescent="0.2">
      <c r="A605" s="3">
        <f t="shared" si="10"/>
        <v>3330</v>
      </c>
      <c r="B605" t="str">
        <f>"00033300003"</f>
        <v>00033300003</v>
      </c>
      <c r="C605" t="s">
        <v>835</v>
      </c>
      <c r="D605" t="s">
        <v>67</v>
      </c>
      <c r="E605">
        <v>31</v>
      </c>
      <c r="F605">
        <v>4272</v>
      </c>
      <c r="G605" t="s">
        <v>836</v>
      </c>
      <c r="H605">
        <v>18</v>
      </c>
      <c r="I605" t="s">
        <v>34</v>
      </c>
      <c r="J605">
        <v>13</v>
      </c>
      <c r="K605" t="s">
        <v>34</v>
      </c>
      <c r="L605">
        <v>8</v>
      </c>
      <c r="M605">
        <v>81017</v>
      </c>
      <c r="N605">
        <v>5</v>
      </c>
    </row>
    <row r="606" spans="1:14" x14ac:dyDescent="0.2">
      <c r="A606" s="3">
        <f t="shared" si="10"/>
        <v>3331</v>
      </c>
      <c r="B606" t="str">
        <f>"00033310005"</f>
        <v>00033310005</v>
      </c>
      <c r="C606" t="s">
        <v>837</v>
      </c>
      <c r="D606" t="s">
        <v>70</v>
      </c>
      <c r="E606">
        <v>32</v>
      </c>
      <c r="F606">
        <v>8136</v>
      </c>
      <c r="G606" t="s">
        <v>838</v>
      </c>
      <c r="H606">
        <v>90</v>
      </c>
      <c r="I606" t="s">
        <v>34</v>
      </c>
      <c r="J606">
        <v>69</v>
      </c>
      <c r="K606" t="s">
        <v>34</v>
      </c>
      <c r="L606">
        <v>9</v>
      </c>
      <c r="M606">
        <v>81138</v>
      </c>
      <c r="N606">
        <v>21</v>
      </c>
    </row>
    <row r="607" spans="1:14" x14ac:dyDescent="0.2">
      <c r="A607" s="3">
        <f t="shared" si="10"/>
        <v>3334</v>
      </c>
      <c r="B607" t="str">
        <f>"00033340040"</f>
        <v>00033340040</v>
      </c>
      <c r="C607" t="s">
        <v>839</v>
      </c>
      <c r="D607" t="s">
        <v>77</v>
      </c>
      <c r="E607">
        <v>32</v>
      </c>
      <c r="F607">
        <v>1009</v>
      </c>
      <c r="G607" t="s">
        <v>840</v>
      </c>
      <c r="H607">
        <v>45</v>
      </c>
      <c r="I607" t="s">
        <v>34</v>
      </c>
      <c r="J607">
        <v>34</v>
      </c>
      <c r="K607" t="s">
        <v>34</v>
      </c>
      <c r="L607">
        <v>9</v>
      </c>
      <c r="M607">
        <v>82061</v>
      </c>
      <c r="N607">
        <v>13</v>
      </c>
    </row>
    <row r="608" spans="1:14" x14ac:dyDescent="0.2">
      <c r="A608" s="3">
        <f t="shared" si="10"/>
        <v>3338</v>
      </c>
      <c r="B608" t="str">
        <f>"00033380018"</f>
        <v>00033380018</v>
      </c>
      <c r="C608" t="s">
        <v>841</v>
      </c>
      <c r="D608" t="s">
        <v>101</v>
      </c>
      <c r="E608">
        <v>30</v>
      </c>
      <c r="F608">
        <v>8003</v>
      </c>
      <c r="G608" t="s">
        <v>164</v>
      </c>
      <c r="H608">
        <v>60</v>
      </c>
      <c r="I608" t="s">
        <v>34</v>
      </c>
      <c r="J608">
        <v>44</v>
      </c>
      <c r="K608" t="s">
        <v>34</v>
      </c>
      <c r="L608">
        <v>8</v>
      </c>
      <c r="M608">
        <v>82236</v>
      </c>
      <c r="N608">
        <v>16</v>
      </c>
    </row>
    <row r="609" spans="1:14" x14ac:dyDescent="0.2">
      <c r="A609" s="3">
        <f t="shared" si="10"/>
        <v>3339</v>
      </c>
      <c r="B609" t="str">
        <f>"00033390018"</f>
        <v>00033390018</v>
      </c>
      <c r="C609" t="s">
        <v>842</v>
      </c>
      <c r="D609" t="s">
        <v>42</v>
      </c>
      <c r="E609">
        <v>82</v>
      </c>
      <c r="F609">
        <v>4287</v>
      </c>
      <c r="G609" t="s">
        <v>445</v>
      </c>
      <c r="H609" t="s">
        <v>44</v>
      </c>
      <c r="I609" t="s">
        <v>45</v>
      </c>
      <c r="J609" t="s">
        <v>44</v>
      </c>
      <c r="K609" t="s">
        <v>45</v>
      </c>
      <c r="L609">
        <v>8</v>
      </c>
      <c r="M609">
        <v>70237</v>
      </c>
      <c r="N609" t="s">
        <v>46</v>
      </c>
    </row>
    <row r="610" spans="1:14" x14ac:dyDescent="0.2">
      <c r="A610" s="3">
        <f t="shared" si="10"/>
        <v>3341</v>
      </c>
      <c r="B610" t="str">
        <f>"00033410012"</f>
        <v>00033410012</v>
      </c>
      <c r="C610" t="s">
        <v>843</v>
      </c>
      <c r="D610" t="s">
        <v>67</v>
      </c>
      <c r="E610">
        <v>32</v>
      </c>
      <c r="F610">
        <v>4249</v>
      </c>
      <c r="G610" t="s">
        <v>264</v>
      </c>
      <c r="H610">
        <v>25</v>
      </c>
      <c r="I610" t="s">
        <v>34</v>
      </c>
      <c r="J610">
        <v>18</v>
      </c>
      <c r="K610" t="s">
        <v>34</v>
      </c>
      <c r="L610">
        <v>8</v>
      </c>
      <c r="M610">
        <v>81223</v>
      </c>
      <c r="N610">
        <v>7</v>
      </c>
    </row>
    <row r="611" spans="1:14" x14ac:dyDescent="0.2">
      <c r="A611" s="3">
        <f t="shared" si="10"/>
        <v>3350</v>
      </c>
      <c r="B611" t="str">
        <f>"00033500015"</f>
        <v>00033500015</v>
      </c>
      <c r="C611" t="s">
        <v>844</v>
      </c>
      <c r="D611" t="s">
        <v>67</v>
      </c>
      <c r="E611">
        <v>32</v>
      </c>
      <c r="F611">
        <v>4249</v>
      </c>
      <c r="G611" t="s">
        <v>264</v>
      </c>
      <c r="H611">
        <v>25</v>
      </c>
      <c r="I611" t="s">
        <v>34</v>
      </c>
      <c r="J611">
        <v>18</v>
      </c>
      <c r="K611" t="s">
        <v>34</v>
      </c>
      <c r="L611">
        <v>8</v>
      </c>
      <c r="M611">
        <v>81234</v>
      </c>
      <c r="N611">
        <v>7</v>
      </c>
    </row>
    <row r="612" spans="1:14" x14ac:dyDescent="0.2">
      <c r="A612" s="3">
        <f t="shared" si="10"/>
        <v>3352</v>
      </c>
      <c r="B612" t="str">
        <f>"00033520012"</f>
        <v>00033520012</v>
      </c>
      <c r="C612" t="s">
        <v>845</v>
      </c>
      <c r="D612" t="s">
        <v>67</v>
      </c>
      <c r="E612">
        <v>32</v>
      </c>
      <c r="F612">
        <v>3641</v>
      </c>
      <c r="G612" t="s">
        <v>846</v>
      </c>
      <c r="H612">
        <v>30</v>
      </c>
      <c r="I612" t="s">
        <v>34</v>
      </c>
      <c r="J612">
        <v>20</v>
      </c>
      <c r="K612" t="s">
        <v>34</v>
      </c>
      <c r="L612">
        <v>8</v>
      </c>
      <c r="M612">
        <v>82028</v>
      </c>
      <c r="N612">
        <v>10</v>
      </c>
    </row>
    <row r="613" spans="1:14" x14ac:dyDescent="0.2">
      <c r="A613" s="3">
        <f t="shared" si="10"/>
        <v>3357</v>
      </c>
      <c r="B613" t="str">
        <f>"00033570008"</f>
        <v>00033570008</v>
      </c>
      <c r="C613" t="s">
        <v>847</v>
      </c>
      <c r="D613" t="s">
        <v>67</v>
      </c>
      <c r="E613">
        <v>32</v>
      </c>
      <c r="F613">
        <v>1605</v>
      </c>
      <c r="G613" t="s">
        <v>128</v>
      </c>
      <c r="H613">
        <v>30</v>
      </c>
      <c r="I613" t="s">
        <v>34</v>
      </c>
      <c r="J613">
        <v>20</v>
      </c>
      <c r="K613" t="s">
        <v>34</v>
      </c>
      <c r="L613">
        <v>8</v>
      </c>
      <c r="M613">
        <v>81184</v>
      </c>
      <c r="N613">
        <v>10</v>
      </c>
    </row>
    <row r="614" spans="1:14" x14ac:dyDescent="0.2">
      <c r="A614" s="3">
        <f t="shared" si="10"/>
        <v>3365</v>
      </c>
      <c r="B614" t="str">
        <f>"00033650012"</f>
        <v>00033650012</v>
      </c>
      <c r="C614" t="s">
        <v>848</v>
      </c>
      <c r="D614" t="s">
        <v>67</v>
      </c>
      <c r="E614">
        <v>32</v>
      </c>
      <c r="F614">
        <v>4249</v>
      </c>
      <c r="G614" t="s">
        <v>264</v>
      </c>
      <c r="H614">
        <v>26</v>
      </c>
      <c r="I614" t="s">
        <v>34</v>
      </c>
      <c r="J614">
        <v>19</v>
      </c>
      <c r="K614" t="s">
        <v>34</v>
      </c>
      <c r="L614">
        <v>8</v>
      </c>
      <c r="M614">
        <v>81212</v>
      </c>
      <c r="N614">
        <v>7</v>
      </c>
    </row>
    <row r="615" spans="1:14" x14ac:dyDescent="0.2">
      <c r="A615" s="3">
        <f t="shared" si="10"/>
        <v>3367</v>
      </c>
      <c r="B615" t="str">
        <f>"00033670008"</f>
        <v>00033670008</v>
      </c>
      <c r="C615" t="s">
        <v>849</v>
      </c>
      <c r="D615" t="s">
        <v>48</v>
      </c>
      <c r="E615">
        <v>32</v>
      </c>
      <c r="F615">
        <v>8220</v>
      </c>
      <c r="G615" t="s">
        <v>124</v>
      </c>
      <c r="H615">
        <v>18</v>
      </c>
      <c r="I615" t="s">
        <v>34</v>
      </c>
      <c r="J615">
        <v>13</v>
      </c>
      <c r="K615" t="s">
        <v>34</v>
      </c>
      <c r="L615">
        <v>8</v>
      </c>
      <c r="M615">
        <v>82144</v>
      </c>
      <c r="N615">
        <v>5</v>
      </c>
    </row>
    <row r="616" spans="1:14" x14ac:dyDescent="0.2">
      <c r="A616" s="3">
        <f t="shared" si="10"/>
        <v>3370</v>
      </c>
      <c r="B616" t="str">
        <f>"00033700006"</f>
        <v>00033700006</v>
      </c>
      <c r="C616" t="s">
        <v>850</v>
      </c>
      <c r="D616" t="s">
        <v>67</v>
      </c>
      <c r="E616">
        <v>31</v>
      </c>
      <c r="F616">
        <v>2503</v>
      </c>
      <c r="G616" t="s">
        <v>851</v>
      </c>
      <c r="H616">
        <v>17</v>
      </c>
      <c r="I616" t="s">
        <v>34</v>
      </c>
      <c r="J616">
        <v>11</v>
      </c>
      <c r="K616" t="s">
        <v>34</v>
      </c>
      <c r="L616">
        <v>8</v>
      </c>
      <c r="M616">
        <v>80204</v>
      </c>
      <c r="N616">
        <v>6</v>
      </c>
    </row>
    <row r="617" spans="1:14" x14ac:dyDescent="0.2">
      <c r="A617" s="3">
        <f t="shared" si="10"/>
        <v>3371</v>
      </c>
      <c r="B617" t="str">
        <f>"00033710006"</f>
        <v>00033710006</v>
      </c>
      <c r="C617" t="s">
        <v>852</v>
      </c>
      <c r="D617" t="s">
        <v>67</v>
      </c>
      <c r="E617">
        <v>31</v>
      </c>
      <c r="F617">
        <v>2503</v>
      </c>
      <c r="G617" t="s">
        <v>851</v>
      </c>
      <c r="H617">
        <v>17</v>
      </c>
      <c r="I617" t="s">
        <v>34</v>
      </c>
      <c r="J617">
        <v>11</v>
      </c>
      <c r="K617" t="s">
        <v>34</v>
      </c>
      <c r="L617">
        <v>8</v>
      </c>
      <c r="M617">
        <v>80215</v>
      </c>
      <c r="N617">
        <v>6</v>
      </c>
    </row>
    <row r="618" spans="1:14" x14ac:dyDescent="0.2">
      <c r="A618" s="3">
        <f t="shared" si="10"/>
        <v>3372</v>
      </c>
      <c r="B618" t="str">
        <f>"00033720006"</f>
        <v>00033720006</v>
      </c>
      <c r="C618" t="s">
        <v>853</v>
      </c>
      <c r="D618" t="s">
        <v>67</v>
      </c>
      <c r="E618">
        <v>31</v>
      </c>
      <c r="F618">
        <v>2503</v>
      </c>
      <c r="G618" t="s">
        <v>851</v>
      </c>
      <c r="H618">
        <v>17</v>
      </c>
      <c r="I618" t="s">
        <v>34</v>
      </c>
      <c r="J618">
        <v>11</v>
      </c>
      <c r="K618" t="s">
        <v>34</v>
      </c>
      <c r="L618">
        <v>8</v>
      </c>
      <c r="M618">
        <v>80223</v>
      </c>
      <c r="N618">
        <v>6</v>
      </c>
    </row>
    <row r="619" spans="1:14" x14ac:dyDescent="0.2">
      <c r="A619" s="3">
        <f t="shared" si="10"/>
        <v>3373</v>
      </c>
      <c r="B619" t="str">
        <f>"00033730006"</f>
        <v>00033730006</v>
      </c>
      <c r="C619" t="s">
        <v>854</v>
      </c>
      <c r="D619" t="s">
        <v>67</v>
      </c>
      <c r="E619">
        <v>31</v>
      </c>
      <c r="F619">
        <v>2503</v>
      </c>
      <c r="G619" t="s">
        <v>851</v>
      </c>
      <c r="H619">
        <v>17</v>
      </c>
      <c r="I619" t="s">
        <v>34</v>
      </c>
      <c r="J619">
        <v>11</v>
      </c>
      <c r="K619" t="s">
        <v>34</v>
      </c>
      <c r="L619">
        <v>8</v>
      </c>
      <c r="M619">
        <v>80212</v>
      </c>
      <c r="N619">
        <v>6</v>
      </c>
    </row>
    <row r="620" spans="1:14" x14ac:dyDescent="0.2">
      <c r="A620" s="3">
        <f t="shared" si="10"/>
        <v>3375</v>
      </c>
      <c r="B620" t="str">
        <f>"00033750015"</f>
        <v>00033750015</v>
      </c>
      <c r="C620" t="s">
        <v>855</v>
      </c>
      <c r="D620" t="s">
        <v>67</v>
      </c>
      <c r="E620">
        <v>32</v>
      </c>
      <c r="F620">
        <v>4249</v>
      </c>
      <c r="G620" t="s">
        <v>264</v>
      </c>
      <c r="H620">
        <v>24</v>
      </c>
      <c r="I620" t="s">
        <v>34</v>
      </c>
      <c r="J620">
        <v>18</v>
      </c>
      <c r="K620" t="s">
        <v>34</v>
      </c>
      <c r="L620">
        <v>8</v>
      </c>
      <c r="M620">
        <v>82001</v>
      </c>
      <c r="N620">
        <v>6</v>
      </c>
    </row>
    <row r="621" spans="1:14" x14ac:dyDescent="0.2">
      <c r="A621" s="3">
        <f t="shared" si="10"/>
        <v>3381</v>
      </c>
      <c r="B621" t="str">
        <f>"00033810006"</f>
        <v>00033810006</v>
      </c>
      <c r="C621" t="s">
        <v>856</v>
      </c>
      <c r="D621" t="s">
        <v>52</v>
      </c>
      <c r="E621">
        <v>32</v>
      </c>
      <c r="F621">
        <v>2034</v>
      </c>
      <c r="G621" t="s">
        <v>857</v>
      </c>
      <c r="H621">
        <v>25</v>
      </c>
      <c r="I621" t="s">
        <v>34</v>
      </c>
      <c r="J621">
        <v>18</v>
      </c>
      <c r="K621" t="s">
        <v>34</v>
      </c>
      <c r="L621">
        <v>9</v>
      </c>
      <c r="M621">
        <v>85219</v>
      </c>
      <c r="N621">
        <v>7</v>
      </c>
    </row>
    <row r="622" spans="1:14" x14ac:dyDescent="0.2">
      <c r="A622" s="3">
        <f t="shared" si="10"/>
        <v>3384</v>
      </c>
      <c r="B622" t="str">
        <f>"00033840012"</f>
        <v>00033840012</v>
      </c>
      <c r="C622" t="s">
        <v>858</v>
      </c>
      <c r="D622" t="s">
        <v>52</v>
      </c>
      <c r="E622">
        <v>45</v>
      </c>
      <c r="F622">
        <v>465</v>
      </c>
      <c r="G622" t="s">
        <v>703</v>
      </c>
      <c r="H622">
        <v>51</v>
      </c>
      <c r="I622" t="s">
        <v>34</v>
      </c>
      <c r="J622">
        <v>38</v>
      </c>
      <c r="K622" t="s">
        <v>34</v>
      </c>
      <c r="L622">
        <v>6</v>
      </c>
      <c r="M622">
        <v>1631</v>
      </c>
      <c r="N622">
        <v>13</v>
      </c>
    </row>
    <row r="623" spans="1:14" x14ac:dyDescent="0.2">
      <c r="A623" s="3">
        <f t="shared" si="10"/>
        <v>3608</v>
      </c>
      <c r="B623" t="str">
        <f>"00036080014"</f>
        <v>00036080014</v>
      </c>
      <c r="C623" t="s">
        <v>859</v>
      </c>
      <c r="D623" t="s">
        <v>115</v>
      </c>
      <c r="E623">
        <v>70</v>
      </c>
      <c r="F623">
        <v>3112</v>
      </c>
      <c r="G623" t="s">
        <v>245</v>
      </c>
      <c r="H623">
        <v>120</v>
      </c>
      <c r="I623" t="s">
        <v>34</v>
      </c>
      <c r="J623">
        <v>88</v>
      </c>
      <c r="K623" t="s">
        <v>34</v>
      </c>
      <c r="L623">
        <v>8</v>
      </c>
      <c r="M623">
        <v>74148</v>
      </c>
      <c r="N623">
        <v>32</v>
      </c>
    </row>
    <row r="624" spans="1:14" x14ac:dyDescent="0.2">
      <c r="A624" s="3">
        <f t="shared" si="10"/>
        <v>3609</v>
      </c>
      <c r="B624" t="str">
        <f>"00036090030"</f>
        <v>00036090030</v>
      </c>
      <c r="C624" t="s">
        <v>860</v>
      </c>
      <c r="D624" t="s">
        <v>36</v>
      </c>
      <c r="E624">
        <v>71</v>
      </c>
      <c r="F624">
        <v>3112</v>
      </c>
      <c r="G624" t="s">
        <v>245</v>
      </c>
      <c r="H624">
        <v>8</v>
      </c>
      <c r="I624" t="s">
        <v>25</v>
      </c>
      <c r="J624">
        <v>6</v>
      </c>
      <c r="K624" t="s">
        <v>25</v>
      </c>
      <c r="L624">
        <v>8</v>
      </c>
      <c r="M624">
        <v>73016</v>
      </c>
      <c r="N624">
        <v>2</v>
      </c>
    </row>
    <row r="625" spans="1:14" x14ac:dyDescent="0.2">
      <c r="A625" s="3">
        <f t="shared" si="10"/>
        <v>3732</v>
      </c>
      <c r="B625" t="str">
        <f>"00037320032"</f>
        <v>00037320032</v>
      </c>
      <c r="C625" t="s">
        <v>861</v>
      </c>
      <c r="D625" t="s">
        <v>36</v>
      </c>
      <c r="E625">
        <v>71</v>
      </c>
      <c r="F625">
        <v>3112</v>
      </c>
      <c r="G625" t="s">
        <v>245</v>
      </c>
      <c r="H625">
        <v>120</v>
      </c>
      <c r="I625" t="s">
        <v>34</v>
      </c>
      <c r="J625">
        <v>88</v>
      </c>
      <c r="K625" t="s">
        <v>34</v>
      </c>
      <c r="L625">
        <v>8</v>
      </c>
      <c r="M625">
        <v>74214</v>
      </c>
      <c r="N625">
        <v>32</v>
      </c>
    </row>
    <row r="626" spans="1:14" x14ac:dyDescent="0.2">
      <c r="A626" s="3">
        <f t="shared" si="10"/>
        <v>4002</v>
      </c>
      <c r="B626" t="str">
        <f>"00040020015"</f>
        <v>00040020015</v>
      </c>
      <c r="C626" t="s">
        <v>862</v>
      </c>
      <c r="D626" t="s">
        <v>418</v>
      </c>
      <c r="E626">
        <v>62</v>
      </c>
      <c r="F626">
        <v>4236</v>
      </c>
      <c r="G626" t="s">
        <v>863</v>
      </c>
      <c r="H626">
        <v>11</v>
      </c>
      <c r="I626" t="s">
        <v>25</v>
      </c>
      <c r="J626">
        <v>8</v>
      </c>
      <c r="K626" t="s">
        <v>25</v>
      </c>
      <c r="L626">
        <v>8</v>
      </c>
      <c r="M626">
        <v>65259</v>
      </c>
      <c r="N626">
        <v>3</v>
      </c>
    </row>
    <row r="627" spans="1:14" x14ac:dyDescent="0.2">
      <c r="A627" s="3">
        <f t="shared" si="10"/>
        <v>4013</v>
      </c>
      <c r="B627" t="str">
        <f>"00040130001"</f>
        <v>00040130001</v>
      </c>
      <c r="C627" t="s">
        <v>864</v>
      </c>
      <c r="D627" t="s">
        <v>23</v>
      </c>
      <c r="E627">
        <v>62</v>
      </c>
      <c r="F627">
        <v>3796</v>
      </c>
      <c r="G627" t="s">
        <v>24</v>
      </c>
      <c r="H627">
        <v>18</v>
      </c>
      <c r="I627" t="s">
        <v>25</v>
      </c>
      <c r="J627">
        <v>14</v>
      </c>
      <c r="K627" t="s">
        <v>25</v>
      </c>
      <c r="L627">
        <v>8</v>
      </c>
      <c r="M627">
        <v>71258</v>
      </c>
      <c r="N627">
        <v>4</v>
      </c>
    </row>
    <row r="628" spans="1:14" x14ac:dyDescent="0.2">
      <c r="A628" s="3">
        <f t="shared" si="10"/>
        <v>4030</v>
      </c>
      <c r="B628" t="str">
        <f>"00040300003"</f>
        <v>00040300003</v>
      </c>
      <c r="C628" t="s">
        <v>865</v>
      </c>
      <c r="D628" t="s">
        <v>23</v>
      </c>
      <c r="E628">
        <v>62</v>
      </c>
      <c r="F628">
        <v>8104</v>
      </c>
      <c r="G628" t="s">
        <v>328</v>
      </c>
      <c r="H628">
        <v>8</v>
      </c>
      <c r="I628" t="s">
        <v>25</v>
      </c>
      <c r="J628">
        <v>6</v>
      </c>
      <c r="K628" t="s">
        <v>25</v>
      </c>
      <c r="L628">
        <v>8</v>
      </c>
      <c r="M628">
        <v>71127</v>
      </c>
      <c r="N628">
        <v>2</v>
      </c>
    </row>
    <row r="629" spans="1:14" x14ac:dyDescent="0.2">
      <c r="A629" s="3">
        <f t="shared" si="10"/>
        <v>4035</v>
      </c>
      <c r="B629" t="str">
        <f>"00040350006"</f>
        <v>00040350006</v>
      </c>
      <c r="C629" t="s">
        <v>866</v>
      </c>
      <c r="D629" t="s">
        <v>42</v>
      </c>
      <c r="E629">
        <v>62</v>
      </c>
      <c r="F629">
        <v>747</v>
      </c>
      <c r="G629" t="s">
        <v>867</v>
      </c>
      <c r="H629">
        <v>24</v>
      </c>
      <c r="I629" t="s">
        <v>25</v>
      </c>
      <c r="J629">
        <v>20</v>
      </c>
      <c r="K629" t="s">
        <v>25</v>
      </c>
      <c r="L629">
        <v>8</v>
      </c>
      <c r="M629">
        <v>71050</v>
      </c>
      <c r="N629">
        <v>4</v>
      </c>
    </row>
    <row r="630" spans="1:14" x14ac:dyDescent="0.2">
      <c r="A630" s="3">
        <f t="shared" si="10"/>
        <v>4036</v>
      </c>
      <c r="B630" t="str">
        <f>"00040360006"</f>
        <v>00040360006</v>
      </c>
      <c r="C630" t="s">
        <v>868</v>
      </c>
      <c r="D630" t="s">
        <v>42</v>
      </c>
      <c r="E630">
        <v>62</v>
      </c>
      <c r="F630">
        <v>747</v>
      </c>
      <c r="G630" t="s">
        <v>867</v>
      </c>
      <c r="H630">
        <v>24</v>
      </c>
      <c r="I630" t="s">
        <v>25</v>
      </c>
      <c r="J630">
        <v>20</v>
      </c>
      <c r="K630" t="s">
        <v>25</v>
      </c>
      <c r="L630">
        <v>8</v>
      </c>
      <c r="M630">
        <v>71061</v>
      </c>
      <c r="N630">
        <v>4</v>
      </c>
    </row>
    <row r="631" spans="1:14" x14ac:dyDescent="0.2">
      <c r="A631" s="3">
        <f t="shared" si="10"/>
        <v>4037</v>
      </c>
      <c r="B631" t="str">
        <f>"00040370006"</f>
        <v>00040370006</v>
      </c>
      <c r="C631" t="s">
        <v>869</v>
      </c>
      <c r="D631" t="s">
        <v>42</v>
      </c>
      <c r="E631">
        <v>62</v>
      </c>
      <c r="F631">
        <v>747</v>
      </c>
      <c r="G631" t="s">
        <v>867</v>
      </c>
      <c r="H631">
        <v>24</v>
      </c>
      <c r="I631" t="s">
        <v>25</v>
      </c>
      <c r="J631">
        <v>20</v>
      </c>
      <c r="K631" t="s">
        <v>25</v>
      </c>
      <c r="L631">
        <v>8</v>
      </c>
      <c r="M631">
        <v>71056</v>
      </c>
      <c r="N631">
        <v>4</v>
      </c>
    </row>
    <row r="632" spans="1:14" x14ac:dyDescent="0.2">
      <c r="A632" s="3">
        <f t="shared" si="10"/>
        <v>4039</v>
      </c>
      <c r="B632" t="str">
        <f>"00040390006"</f>
        <v>00040390006</v>
      </c>
      <c r="C632" t="s">
        <v>870</v>
      </c>
      <c r="D632" t="s">
        <v>23</v>
      </c>
      <c r="E632">
        <v>62</v>
      </c>
      <c r="F632">
        <v>1366</v>
      </c>
      <c r="G632" t="s">
        <v>871</v>
      </c>
      <c r="H632">
        <v>6</v>
      </c>
      <c r="I632" t="s">
        <v>25</v>
      </c>
      <c r="J632">
        <v>4</v>
      </c>
      <c r="K632" t="s">
        <v>25</v>
      </c>
      <c r="L632">
        <v>8</v>
      </c>
      <c r="M632">
        <v>71164</v>
      </c>
      <c r="N632">
        <v>32</v>
      </c>
    </row>
    <row r="633" spans="1:14" x14ac:dyDescent="0.2">
      <c r="A633" s="3">
        <f t="shared" si="10"/>
        <v>4047</v>
      </c>
      <c r="B633" t="str">
        <f>"00040470006"</f>
        <v>00040470006</v>
      </c>
      <c r="C633" t="s">
        <v>872</v>
      </c>
      <c r="D633" t="s">
        <v>23</v>
      </c>
      <c r="E633">
        <v>62</v>
      </c>
      <c r="F633">
        <v>1429</v>
      </c>
      <c r="G633" t="s">
        <v>873</v>
      </c>
      <c r="H633">
        <v>150</v>
      </c>
      <c r="I633" t="s">
        <v>34</v>
      </c>
      <c r="J633">
        <v>118</v>
      </c>
      <c r="K633" t="s">
        <v>34</v>
      </c>
      <c r="L633">
        <v>8</v>
      </c>
      <c r="M633">
        <v>95429</v>
      </c>
      <c r="N633">
        <v>32</v>
      </c>
    </row>
    <row r="634" spans="1:14" x14ac:dyDescent="0.2">
      <c r="A634" s="3">
        <f t="shared" si="10"/>
        <v>4051</v>
      </c>
      <c r="B634" t="str">
        <f>"00040510006"</f>
        <v>00040510006</v>
      </c>
      <c r="C634" t="s">
        <v>874</v>
      </c>
      <c r="D634" t="s">
        <v>23</v>
      </c>
      <c r="E634">
        <v>62</v>
      </c>
      <c r="F634">
        <v>1429</v>
      </c>
      <c r="G634" t="s">
        <v>873</v>
      </c>
      <c r="H634">
        <v>150</v>
      </c>
      <c r="I634" t="s">
        <v>34</v>
      </c>
      <c r="J634">
        <v>118</v>
      </c>
      <c r="K634" t="s">
        <v>34</v>
      </c>
      <c r="L634">
        <v>8</v>
      </c>
      <c r="M634">
        <v>95407</v>
      </c>
      <c r="N634">
        <v>32</v>
      </c>
    </row>
    <row r="635" spans="1:14" x14ac:dyDescent="0.2">
      <c r="A635" s="3">
        <f t="shared" si="10"/>
        <v>4055</v>
      </c>
      <c r="B635" t="str">
        <f>"00040550008"</f>
        <v>00040550008</v>
      </c>
      <c r="C635" t="s">
        <v>875</v>
      </c>
      <c r="D635" t="s">
        <v>23</v>
      </c>
      <c r="E635">
        <v>62</v>
      </c>
      <c r="F635">
        <v>1366</v>
      </c>
      <c r="G635" t="s">
        <v>871</v>
      </c>
      <c r="H635">
        <v>150</v>
      </c>
      <c r="I635" t="s">
        <v>34</v>
      </c>
      <c r="J635">
        <v>118</v>
      </c>
      <c r="K635" t="s">
        <v>34</v>
      </c>
      <c r="L635">
        <v>9</v>
      </c>
      <c r="M635">
        <v>71175</v>
      </c>
      <c r="N635">
        <v>32</v>
      </c>
    </row>
    <row r="636" spans="1:14" x14ac:dyDescent="0.2">
      <c r="A636" s="3">
        <f t="shared" si="10"/>
        <v>4058</v>
      </c>
      <c r="B636" t="str">
        <f>"00040580006"</f>
        <v>00040580006</v>
      </c>
      <c r="C636" t="s">
        <v>876</v>
      </c>
      <c r="D636" t="s">
        <v>23</v>
      </c>
      <c r="E636">
        <v>62</v>
      </c>
      <c r="F636">
        <v>8104</v>
      </c>
      <c r="G636" t="s">
        <v>328</v>
      </c>
      <c r="H636">
        <v>140</v>
      </c>
      <c r="I636" t="s">
        <v>34</v>
      </c>
      <c r="J636">
        <v>112</v>
      </c>
      <c r="K636" t="s">
        <v>34</v>
      </c>
      <c r="L636">
        <v>8</v>
      </c>
      <c r="M636">
        <v>95166</v>
      </c>
      <c r="N636">
        <v>28</v>
      </c>
    </row>
    <row r="637" spans="1:14" x14ac:dyDescent="0.2">
      <c r="A637" s="3">
        <f t="shared" si="10"/>
        <v>4062</v>
      </c>
      <c r="B637" t="str">
        <f>"00040620006"</f>
        <v>00040620006</v>
      </c>
      <c r="C637" t="s">
        <v>877</v>
      </c>
      <c r="D637" t="s">
        <v>115</v>
      </c>
      <c r="E637">
        <v>62</v>
      </c>
      <c r="F637">
        <v>196</v>
      </c>
      <c r="G637" t="s">
        <v>878</v>
      </c>
      <c r="H637">
        <v>6</v>
      </c>
      <c r="I637" t="s">
        <v>25</v>
      </c>
      <c r="J637">
        <v>4</v>
      </c>
      <c r="K637" t="s">
        <v>25</v>
      </c>
      <c r="L637">
        <v>8</v>
      </c>
      <c r="M637">
        <v>71210</v>
      </c>
      <c r="N637">
        <v>2</v>
      </c>
    </row>
    <row r="638" spans="1:14" x14ac:dyDescent="0.2">
      <c r="A638" s="3">
        <f t="shared" si="10"/>
        <v>4064</v>
      </c>
      <c r="B638" t="str">
        <f>"00040640006"</f>
        <v>00040640006</v>
      </c>
      <c r="C638" t="s">
        <v>879</v>
      </c>
      <c r="D638" t="s">
        <v>23</v>
      </c>
      <c r="E638">
        <v>62</v>
      </c>
      <c r="F638">
        <v>378</v>
      </c>
      <c r="G638" t="s">
        <v>880</v>
      </c>
      <c r="H638">
        <v>6</v>
      </c>
      <c r="I638" t="s">
        <v>25</v>
      </c>
      <c r="J638">
        <v>4</v>
      </c>
      <c r="K638" t="s">
        <v>25</v>
      </c>
      <c r="L638">
        <v>8</v>
      </c>
      <c r="M638">
        <v>71190</v>
      </c>
      <c r="N638">
        <v>2</v>
      </c>
    </row>
    <row r="639" spans="1:14" x14ac:dyDescent="0.2">
      <c r="A639" s="3">
        <f t="shared" si="10"/>
        <v>4065</v>
      </c>
      <c r="B639" t="str">
        <f>"00040650006"</f>
        <v>00040650006</v>
      </c>
      <c r="C639" t="s">
        <v>881</v>
      </c>
      <c r="D639" t="s">
        <v>42</v>
      </c>
      <c r="E639">
        <v>62</v>
      </c>
      <c r="F639">
        <v>747</v>
      </c>
      <c r="G639" t="s">
        <v>867</v>
      </c>
      <c r="H639">
        <v>24</v>
      </c>
      <c r="I639" t="s">
        <v>25</v>
      </c>
      <c r="J639">
        <v>20</v>
      </c>
      <c r="K639" t="s">
        <v>25</v>
      </c>
      <c r="L639">
        <v>8</v>
      </c>
      <c r="M639">
        <v>71039</v>
      </c>
      <c r="N639">
        <v>4</v>
      </c>
    </row>
    <row r="640" spans="1:14" x14ac:dyDescent="0.2">
      <c r="A640" s="3">
        <f t="shared" si="10"/>
        <v>4073</v>
      </c>
      <c r="B640" t="str">
        <f>"00040730006"</f>
        <v>00040730006</v>
      </c>
      <c r="C640" t="s">
        <v>882</v>
      </c>
      <c r="D640" t="s">
        <v>115</v>
      </c>
      <c r="E640">
        <v>62</v>
      </c>
      <c r="F640">
        <v>3525</v>
      </c>
      <c r="G640" t="s">
        <v>883</v>
      </c>
      <c r="H640">
        <v>120</v>
      </c>
      <c r="I640" t="s">
        <v>34</v>
      </c>
      <c r="J640">
        <v>88</v>
      </c>
      <c r="K640" t="s">
        <v>34</v>
      </c>
      <c r="L640">
        <v>8</v>
      </c>
      <c r="M640">
        <v>71219</v>
      </c>
      <c r="N640">
        <v>32</v>
      </c>
    </row>
    <row r="641" spans="1:14" x14ac:dyDescent="0.2">
      <c r="A641" s="3">
        <f t="shared" si="10"/>
        <v>4077</v>
      </c>
      <c r="B641" t="str">
        <f>"00040770008"</f>
        <v>00040770008</v>
      </c>
      <c r="C641" t="s">
        <v>884</v>
      </c>
      <c r="D641" t="s">
        <v>23</v>
      </c>
      <c r="E641">
        <v>62</v>
      </c>
      <c r="F641">
        <v>378</v>
      </c>
      <c r="G641" t="s">
        <v>880</v>
      </c>
      <c r="H641">
        <v>11</v>
      </c>
      <c r="I641" t="s">
        <v>25</v>
      </c>
      <c r="J641">
        <v>8</v>
      </c>
      <c r="K641" t="s">
        <v>25</v>
      </c>
      <c r="L641">
        <v>8</v>
      </c>
      <c r="M641">
        <v>95457</v>
      </c>
      <c r="N641">
        <v>3</v>
      </c>
    </row>
    <row r="642" spans="1:14" x14ac:dyDescent="0.2">
      <c r="A642" s="3">
        <f t="shared" si="10"/>
        <v>4078</v>
      </c>
      <c r="B642" t="str">
        <f>"00040780006"</f>
        <v>00040780006</v>
      </c>
      <c r="C642" t="s">
        <v>885</v>
      </c>
      <c r="D642" t="s">
        <v>23</v>
      </c>
      <c r="E642">
        <v>62</v>
      </c>
      <c r="F642">
        <v>1428</v>
      </c>
      <c r="G642" t="s">
        <v>886</v>
      </c>
      <c r="H642">
        <v>90</v>
      </c>
      <c r="I642" t="s">
        <v>34</v>
      </c>
      <c r="J642">
        <v>69</v>
      </c>
      <c r="K642" t="s">
        <v>34</v>
      </c>
      <c r="L642">
        <v>8</v>
      </c>
      <c r="M642">
        <v>71234</v>
      </c>
      <c r="N642">
        <v>21</v>
      </c>
    </row>
    <row r="643" spans="1:14" x14ac:dyDescent="0.2">
      <c r="A643" s="3">
        <f t="shared" si="10"/>
        <v>4079</v>
      </c>
      <c r="B643" t="str">
        <f>"00040790003"</f>
        <v>00040790003</v>
      </c>
      <c r="C643" t="s">
        <v>887</v>
      </c>
      <c r="D643" t="s">
        <v>23</v>
      </c>
      <c r="E643">
        <v>62</v>
      </c>
      <c r="F643">
        <v>8104</v>
      </c>
      <c r="G643" t="s">
        <v>328</v>
      </c>
      <c r="H643">
        <v>120</v>
      </c>
      <c r="I643" t="s">
        <v>34</v>
      </c>
      <c r="J643">
        <v>88</v>
      </c>
      <c r="K643" t="s">
        <v>34</v>
      </c>
      <c r="L643">
        <v>8</v>
      </c>
      <c r="M643">
        <v>71116</v>
      </c>
      <c r="N643">
        <v>32</v>
      </c>
    </row>
    <row r="644" spans="1:14" x14ac:dyDescent="0.2">
      <c r="A644" s="3">
        <f t="shared" ref="A644:A707" si="11">(B644-RIGHT(B644,4))/10000</f>
        <v>4087</v>
      </c>
      <c r="B644" t="str">
        <f>"00040870024"</f>
        <v>00040870024</v>
      </c>
      <c r="C644" t="s">
        <v>888</v>
      </c>
      <c r="D644" t="s">
        <v>115</v>
      </c>
      <c r="E644">
        <v>62</v>
      </c>
      <c r="F644">
        <v>4859</v>
      </c>
      <c r="G644" t="s">
        <v>889</v>
      </c>
      <c r="H644">
        <v>16</v>
      </c>
      <c r="I644" t="s">
        <v>25</v>
      </c>
      <c r="J644">
        <v>13</v>
      </c>
      <c r="K644" t="s">
        <v>25</v>
      </c>
      <c r="L644">
        <v>8</v>
      </c>
      <c r="M644">
        <v>71113</v>
      </c>
      <c r="N644">
        <v>3</v>
      </c>
    </row>
    <row r="645" spans="1:14" x14ac:dyDescent="0.2">
      <c r="A645" s="3">
        <f t="shared" si="11"/>
        <v>4090</v>
      </c>
      <c r="B645" t="str">
        <f>"00040900006"</f>
        <v>00040900006</v>
      </c>
      <c r="C645" t="s">
        <v>890</v>
      </c>
      <c r="D645" t="s">
        <v>115</v>
      </c>
      <c r="E645">
        <v>62</v>
      </c>
      <c r="F645">
        <v>3525</v>
      </c>
      <c r="G645" t="s">
        <v>883</v>
      </c>
      <c r="H645">
        <v>120</v>
      </c>
      <c r="I645" t="s">
        <v>34</v>
      </c>
      <c r="J645">
        <v>88</v>
      </c>
      <c r="K645" t="s">
        <v>34</v>
      </c>
      <c r="L645">
        <v>8</v>
      </c>
      <c r="M645">
        <v>71204</v>
      </c>
      <c r="N645">
        <v>32</v>
      </c>
    </row>
    <row r="646" spans="1:14" x14ac:dyDescent="0.2">
      <c r="A646" s="3">
        <f t="shared" si="11"/>
        <v>4101</v>
      </c>
      <c r="B646" t="str">
        <f>"00041010018"</f>
        <v>00041010018</v>
      </c>
      <c r="C646" t="s">
        <v>891</v>
      </c>
      <c r="D646" t="s">
        <v>115</v>
      </c>
      <c r="E646">
        <v>63</v>
      </c>
      <c r="F646">
        <v>5810</v>
      </c>
      <c r="G646" t="s">
        <v>892</v>
      </c>
      <c r="H646">
        <v>12</v>
      </c>
      <c r="I646" t="s">
        <v>25</v>
      </c>
      <c r="J646">
        <v>9</v>
      </c>
      <c r="K646" t="s">
        <v>25</v>
      </c>
      <c r="L646">
        <v>8</v>
      </c>
      <c r="M646">
        <v>62155</v>
      </c>
      <c r="N646">
        <v>2</v>
      </c>
    </row>
    <row r="647" spans="1:14" x14ac:dyDescent="0.2">
      <c r="A647" s="3">
        <f t="shared" si="11"/>
        <v>4102</v>
      </c>
      <c r="B647" t="str">
        <f>"00041020001"</f>
        <v>00041020001</v>
      </c>
      <c r="C647" t="s">
        <v>893</v>
      </c>
      <c r="D647" t="s">
        <v>23</v>
      </c>
      <c r="E647">
        <v>63</v>
      </c>
      <c r="F647">
        <v>102</v>
      </c>
      <c r="G647" t="s">
        <v>894</v>
      </c>
      <c r="H647">
        <v>10</v>
      </c>
      <c r="I647" t="s">
        <v>25</v>
      </c>
      <c r="J647">
        <v>7</v>
      </c>
      <c r="K647" t="s">
        <v>25</v>
      </c>
      <c r="L647">
        <v>9</v>
      </c>
      <c r="M647">
        <v>62164</v>
      </c>
      <c r="N647">
        <v>3</v>
      </c>
    </row>
    <row r="648" spans="1:14" x14ac:dyDescent="0.2">
      <c r="A648" s="3">
        <f t="shared" si="11"/>
        <v>4104</v>
      </c>
      <c r="B648" t="str">
        <f>"00041040006"</f>
        <v>00041040006</v>
      </c>
      <c r="C648" t="s">
        <v>895</v>
      </c>
      <c r="D648" t="s">
        <v>386</v>
      </c>
      <c r="E648">
        <v>60</v>
      </c>
      <c r="F648">
        <v>1429</v>
      </c>
      <c r="G648" t="s">
        <v>873</v>
      </c>
      <c r="H648" t="s">
        <v>44</v>
      </c>
      <c r="I648" t="s">
        <v>45</v>
      </c>
      <c r="J648" t="s">
        <v>44</v>
      </c>
      <c r="K648" t="s">
        <v>45</v>
      </c>
      <c r="L648">
        <v>8</v>
      </c>
      <c r="M648">
        <v>61265</v>
      </c>
      <c r="N648" t="s">
        <v>46</v>
      </c>
    </row>
    <row r="649" spans="1:14" x14ac:dyDescent="0.2">
      <c r="A649" s="3">
        <f t="shared" si="11"/>
        <v>4106</v>
      </c>
      <c r="B649" t="str">
        <f>"00041060006"</f>
        <v>00041060006</v>
      </c>
      <c r="C649" t="s">
        <v>896</v>
      </c>
      <c r="D649" t="s">
        <v>386</v>
      </c>
      <c r="E649">
        <v>60</v>
      </c>
      <c r="F649">
        <v>5934</v>
      </c>
      <c r="G649" t="s">
        <v>897</v>
      </c>
      <c r="H649" t="s">
        <v>44</v>
      </c>
      <c r="I649" t="s">
        <v>45</v>
      </c>
      <c r="J649" t="s">
        <v>44</v>
      </c>
      <c r="K649" t="s">
        <v>45</v>
      </c>
      <c r="L649">
        <v>8</v>
      </c>
      <c r="M649">
        <v>61241</v>
      </c>
      <c r="N649" t="s">
        <v>46</v>
      </c>
    </row>
    <row r="650" spans="1:14" x14ac:dyDescent="0.2">
      <c r="A650" s="3">
        <f t="shared" si="11"/>
        <v>4108</v>
      </c>
      <c r="B650" t="str">
        <f>"00041080006"</f>
        <v>00041080006</v>
      </c>
      <c r="C650" t="s">
        <v>898</v>
      </c>
      <c r="D650" t="s">
        <v>386</v>
      </c>
      <c r="E650">
        <v>60</v>
      </c>
      <c r="F650">
        <v>1429</v>
      </c>
      <c r="G650" t="s">
        <v>873</v>
      </c>
      <c r="H650" t="s">
        <v>44</v>
      </c>
      <c r="I650" t="s">
        <v>45</v>
      </c>
      <c r="J650" t="s">
        <v>44</v>
      </c>
      <c r="K650" t="s">
        <v>45</v>
      </c>
      <c r="L650">
        <v>8</v>
      </c>
      <c r="M650">
        <v>61247</v>
      </c>
      <c r="N650" t="s">
        <v>46</v>
      </c>
    </row>
    <row r="651" spans="1:14" x14ac:dyDescent="0.2">
      <c r="A651" s="3">
        <f t="shared" si="11"/>
        <v>4109</v>
      </c>
      <c r="B651" t="str">
        <f>"00041090006"</f>
        <v>00041090006</v>
      </c>
      <c r="C651" t="s">
        <v>899</v>
      </c>
      <c r="D651" t="s">
        <v>386</v>
      </c>
      <c r="E651">
        <v>60</v>
      </c>
      <c r="F651">
        <v>2007</v>
      </c>
      <c r="G651" t="s">
        <v>387</v>
      </c>
      <c r="H651" t="s">
        <v>44</v>
      </c>
      <c r="I651" t="s">
        <v>45</v>
      </c>
      <c r="J651" t="s">
        <v>44</v>
      </c>
      <c r="K651" t="s">
        <v>45</v>
      </c>
      <c r="L651">
        <v>8</v>
      </c>
      <c r="M651">
        <v>61124</v>
      </c>
      <c r="N651" t="s">
        <v>46</v>
      </c>
    </row>
    <row r="652" spans="1:14" x14ac:dyDescent="0.2">
      <c r="A652" s="3">
        <f t="shared" si="11"/>
        <v>4116</v>
      </c>
      <c r="B652" t="str">
        <f>"00041160006"</f>
        <v>00041160006</v>
      </c>
      <c r="C652" t="s">
        <v>900</v>
      </c>
      <c r="D652" t="s">
        <v>386</v>
      </c>
      <c r="E652">
        <v>60</v>
      </c>
      <c r="F652">
        <v>3304</v>
      </c>
      <c r="G652" t="s">
        <v>807</v>
      </c>
      <c r="H652" t="s">
        <v>44</v>
      </c>
      <c r="I652" t="s">
        <v>45</v>
      </c>
      <c r="J652" t="s">
        <v>44</v>
      </c>
      <c r="K652" t="s">
        <v>45</v>
      </c>
      <c r="L652">
        <v>8</v>
      </c>
      <c r="M652">
        <v>61076</v>
      </c>
      <c r="N652" t="s">
        <v>46</v>
      </c>
    </row>
    <row r="653" spans="1:14" x14ac:dyDescent="0.2">
      <c r="A653" s="3">
        <f t="shared" si="11"/>
        <v>4117</v>
      </c>
      <c r="B653" t="str">
        <f>"00041170006"</f>
        <v>00041170006</v>
      </c>
      <c r="C653" t="s">
        <v>901</v>
      </c>
      <c r="D653" t="s">
        <v>386</v>
      </c>
      <c r="E653">
        <v>60</v>
      </c>
      <c r="F653">
        <v>2112</v>
      </c>
      <c r="G653" t="s">
        <v>811</v>
      </c>
      <c r="H653" t="s">
        <v>44</v>
      </c>
      <c r="I653" t="s">
        <v>45</v>
      </c>
      <c r="J653" t="s">
        <v>44</v>
      </c>
      <c r="K653" t="s">
        <v>45</v>
      </c>
      <c r="L653">
        <v>8</v>
      </c>
      <c r="M653">
        <v>61080</v>
      </c>
      <c r="N653" t="s">
        <v>46</v>
      </c>
    </row>
    <row r="654" spans="1:14" x14ac:dyDescent="0.2">
      <c r="A654" s="3">
        <f t="shared" si="11"/>
        <v>4118</v>
      </c>
      <c r="B654" t="str">
        <f>"00041180006"</f>
        <v>00041180006</v>
      </c>
      <c r="C654" t="s">
        <v>902</v>
      </c>
      <c r="D654" t="s">
        <v>386</v>
      </c>
      <c r="E654">
        <v>60</v>
      </c>
      <c r="F654">
        <v>2007</v>
      </c>
      <c r="G654" t="s">
        <v>387</v>
      </c>
      <c r="H654" t="s">
        <v>44</v>
      </c>
      <c r="I654" t="s">
        <v>45</v>
      </c>
      <c r="J654" t="s">
        <v>44</v>
      </c>
      <c r="K654" t="s">
        <v>45</v>
      </c>
      <c r="L654">
        <v>8</v>
      </c>
      <c r="M654">
        <v>61069</v>
      </c>
      <c r="N654" t="s">
        <v>46</v>
      </c>
    </row>
    <row r="655" spans="1:14" x14ac:dyDescent="0.2">
      <c r="A655" s="3">
        <f t="shared" si="11"/>
        <v>4120</v>
      </c>
      <c r="B655" t="str">
        <f>"00041200006"</f>
        <v>00041200006</v>
      </c>
      <c r="C655" t="s">
        <v>903</v>
      </c>
      <c r="D655" t="s">
        <v>386</v>
      </c>
      <c r="E655">
        <v>60</v>
      </c>
      <c r="F655">
        <v>1341</v>
      </c>
      <c r="G655" t="s">
        <v>904</v>
      </c>
      <c r="H655" t="s">
        <v>44</v>
      </c>
      <c r="I655" t="s">
        <v>45</v>
      </c>
      <c r="J655" t="s">
        <v>44</v>
      </c>
      <c r="K655" t="s">
        <v>45</v>
      </c>
      <c r="L655">
        <v>8</v>
      </c>
      <c r="M655">
        <v>61091</v>
      </c>
      <c r="N655" t="s">
        <v>46</v>
      </c>
    </row>
    <row r="656" spans="1:14" x14ac:dyDescent="0.2">
      <c r="A656" s="3">
        <f t="shared" si="11"/>
        <v>4121</v>
      </c>
      <c r="B656" t="str">
        <f>"00041210006"</f>
        <v>00041210006</v>
      </c>
      <c r="C656" t="s">
        <v>905</v>
      </c>
      <c r="D656" t="s">
        <v>386</v>
      </c>
      <c r="E656">
        <v>60</v>
      </c>
      <c r="F656">
        <v>763</v>
      </c>
      <c r="G656" t="s">
        <v>906</v>
      </c>
      <c r="H656" t="s">
        <v>44</v>
      </c>
      <c r="I656" t="s">
        <v>45</v>
      </c>
      <c r="J656" t="s">
        <v>44</v>
      </c>
      <c r="K656" t="s">
        <v>45</v>
      </c>
      <c r="L656">
        <v>9</v>
      </c>
      <c r="M656">
        <v>61188</v>
      </c>
      <c r="N656" t="s">
        <v>46</v>
      </c>
    </row>
    <row r="657" spans="1:14" x14ac:dyDescent="0.2">
      <c r="A657" s="3">
        <f t="shared" si="11"/>
        <v>4122</v>
      </c>
      <c r="B657" t="str">
        <f>"00041220006"</f>
        <v>00041220006</v>
      </c>
      <c r="C657" t="s">
        <v>907</v>
      </c>
      <c r="D657" t="s">
        <v>386</v>
      </c>
      <c r="E657">
        <v>60</v>
      </c>
      <c r="F657">
        <v>2007</v>
      </c>
      <c r="G657" t="s">
        <v>387</v>
      </c>
      <c r="H657" t="s">
        <v>44</v>
      </c>
      <c r="I657" t="s">
        <v>45</v>
      </c>
      <c r="J657" t="s">
        <v>44</v>
      </c>
      <c r="K657" t="s">
        <v>45</v>
      </c>
      <c r="L657">
        <v>8</v>
      </c>
      <c r="M657">
        <v>61039</v>
      </c>
      <c r="N657" t="s">
        <v>46</v>
      </c>
    </row>
    <row r="658" spans="1:14" x14ac:dyDescent="0.2">
      <c r="A658" s="3">
        <f t="shared" si="11"/>
        <v>4123</v>
      </c>
      <c r="B658" t="str">
        <f>"00041230006"</f>
        <v>00041230006</v>
      </c>
      <c r="C658" t="s">
        <v>908</v>
      </c>
      <c r="D658" t="s">
        <v>386</v>
      </c>
      <c r="E658">
        <v>60</v>
      </c>
      <c r="F658">
        <v>2007</v>
      </c>
      <c r="G658" t="s">
        <v>387</v>
      </c>
      <c r="H658" t="s">
        <v>44</v>
      </c>
      <c r="I658" t="s">
        <v>45</v>
      </c>
      <c r="J658" t="s">
        <v>44</v>
      </c>
      <c r="K658" t="s">
        <v>45</v>
      </c>
      <c r="L658">
        <v>8</v>
      </c>
      <c r="M658">
        <v>61094</v>
      </c>
      <c r="N658" t="s">
        <v>46</v>
      </c>
    </row>
    <row r="659" spans="1:14" x14ac:dyDescent="0.2">
      <c r="A659" s="3">
        <f t="shared" si="11"/>
        <v>4124</v>
      </c>
      <c r="B659" t="str">
        <f>"00041240006"</f>
        <v>00041240006</v>
      </c>
      <c r="C659" t="s">
        <v>909</v>
      </c>
      <c r="D659" t="s">
        <v>386</v>
      </c>
      <c r="E659">
        <v>60</v>
      </c>
      <c r="F659">
        <v>314</v>
      </c>
      <c r="G659" t="s">
        <v>798</v>
      </c>
      <c r="H659" t="s">
        <v>44</v>
      </c>
      <c r="I659" t="s">
        <v>45</v>
      </c>
      <c r="J659" t="s">
        <v>44</v>
      </c>
      <c r="K659" t="s">
        <v>45</v>
      </c>
      <c r="L659">
        <v>8</v>
      </c>
      <c r="M659">
        <v>61239</v>
      </c>
      <c r="N659" t="s">
        <v>46</v>
      </c>
    </row>
    <row r="660" spans="1:14" x14ac:dyDescent="0.2">
      <c r="A660" s="3">
        <f t="shared" si="11"/>
        <v>4125</v>
      </c>
      <c r="B660" t="str">
        <f>"00041250006"</f>
        <v>00041250006</v>
      </c>
      <c r="C660" t="s">
        <v>910</v>
      </c>
      <c r="D660" t="s">
        <v>386</v>
      </c>
      <c r="E660">
        <v>60</v>
      </c>
      <c r="F660">
        <v>5934</v>
      </c>
      <c r="G660" t="s">
        <v>897</v>
      </c>
      <c r="H660" t="s">
        <v>44</v>
      </c>
      <c r="I660" t="s">
        <v>45</v>
      </c>
      <c r="J660" t="s">
        <v>44</v>
      </c>
      <c r="K660" t="s">
        <v>45</v>
      </c>
      <c r="L660">
        <v>8</v>
      </c>
      <c r="M660">
        <v>61234</v>
      </c>
      <c r="N660" t="s">
        <v>46</v>
      </c>
    </row>
    <row r="661" spans="1:14" x14ac:dyDescent="0.2">
      <c r="A661" s="3">
        <f t="shared" si="11"/>
        <v>4128</v>
      </c>
      <c r="B661" t="str">
        <f>"00041280001"</f>
        <v>00041280001</v>
      </c>
      <c r="C661" t="s">
        <v>911</v>
      </c>
      <c r="D661" t="s">
        <v>23</v>
      </c>
      <c r="E661">
        <v>63</v>
      </c>
      <c r="F661">
        <v>102</v>
      </c>
      <c r="G661" t="s">
        <v>894</v>
      </c>
      <c r="H661">
        <v>10</v>
      </c>
      <c r="I661" t="s">
        <v>25</v>
      </c>
      <c r="J661">
        <v>7</v>
      </c>
      <c r="K661" t="s">
        <v>25</v>
      </c>
      <c r="L661">
        <v>8</v>
      </c>
      <c r="M661">
        <v>62181</v>
      </c>
      <c r="N661">
        <v>3</v>
      </c>
    </row>
    <row r="662" spans="1:14" x14ac:dyDescent="0.2">
      <c r="A662" s="3">
        <f t="shared" si="11"/>
        <v>4129</v>
      </c>
      <c r="B662" t="str">
        <f>"00041290018"</f>
        <v>00041290018</v>
      </c>
      <c r="C662" t="s">
        <v>912</v>
      </c>
      <c r="D662" t="s">
        <v>686</v>
      </c>
      <c r="E662">
        <v>63</v>
      </c>
      <c r="F662">
        <v>7229</v>
      </c>
      <c r="G662" t="s">
        <v>913</v>
      </c>
      <c r="H662">
        <v>10</v>
      </c>
      <c r="I662" t="s">
        <v>25</v>
      </c>
      <c r="J662">
        <v>7</v>
      </c>
      <c r="K662" t="s">
        <v>25</v>
      </c>
      <c r="L662">
        <v>8</v>
      </c>
      <c r="M662">
        <v>62170</v>
      </c>
      <c r="N662">
        <v>3</v>
      </c>
    </row>
    <row r="663" spans="1:14" x14ac:dyDescent="0.2">
      <c r="A663" s="3">
        <f t="shared" si="11"/>
        <v>4131</v>
      </c>
      <c r="B663" t="str">
        <f>"00041310004"</f>
        <v>00041310004</v>
      </c>
      <c r="C663" t="s">
        <v>914</v>
      </c>
      <c r="D663" t="s">
        <v>386</v>
      </c>
      <c r="E663">
        <v>60</v>
      </c>
      <c r="F663">
        <v>2007</v>
      </c>
      <c r="G663" t="s">
        <v>387</v>
      </c>
      <c r="H663" t="s">
        <v>44</v>
      </c>
      <c r="I663" t="s">
        <v>45</v>
      </c>
      <c r="J663" t="s">
        <v>44</v>
      </c>
      <c r="K663" t="s">
        <v>45</v>
      </c>
      <c r="L663">
        <v>8</v>
      </c>
      <c r="M663">
        <v>62072</v>
      </c>
      <c r="N663" t="s">
        <v>46</v>
      </c>
    </row>
    <row r="664" spans="1:14" x14ac:dyDescent="0.2">
      <c r="A664" s="3">
        <f t="shared" si="11"/>
        <v>4136</v>
      </c>
      <c r="B664" t="str">
        <f>"00041360003"</f>
        <v>00041360003</v>
      </c>
      <c r="C664" t="s">
        <v>915</v>
      </c>
      <c r="D664" t="s">
        <v>115</v>
      </c>
      <c r="E664">
        <v>63</v>
      </c>
      <c r="F664">
        <v>5810</v>
      </c>
      <c r="G664" t="s">
        <v>892</v>
      </c>
      <c r="H664">
        <v>9</v>
      </c>
      <c r="I664" t="s">
        <v>25</v>
      </c>
      <c r="J664">
        <v>7</v>
      </c>
      <c r="K664" t="s">
        <v>25</v>
      </c>
      <c r="L664">
        <v>8</v>
      </c>
      <c r="M664">
        <v>62186</v>
      </c>
      <c r="N664">
        <v>2</v>
      </c>
    </row>
    <row r="665" spans="1:14" x14ac:dyDescent="0.2">
      <c r="A665" s="3">
        <f t="shared" si="11"/>
        <v>4138</v>
      </c>
      <c r="B665" t="str">
        <f>"00041380006"</f>
        <v>00041380006</v>
      </c>
      <c r="C665" t="s">
        <v>916</v>
      </c>
      <c r="D665" t="s">
        <v>386</v>
      </c>
      <c r="E665">
        <v>60</v>
      </c>
      <c r="F665">
        <v>3767</v>
      </c>
      <c r="G665" t="s">
        <v>917</v>
      </c>
      <c r="H665" t="s">
        <v>44</v>
      </c>
      <c r="I665" t="s">
        <v>45</v>
      </c>
      <c r="J665" t="s">
        <v>44</v>
      </c>
      <c r="K665" t="s">
        <v>45</v>
      </c>
      <c r="L665">
        <v>8</v>
      </c>
      <c r="M665">
        <v>61157</v>
      </c>
      <c r="N665" t="s">
        <v>46</v>
      </c>
    </row>
    <row r="666" spans="1:14" x14ac:dyDescent="0.2">
      <c r="A666" s="3">
        <f t="shared" si="11"/>
        <v>4141</v>
      </c>
      <c r="B666" t="str">
        <f>"00041410006"</f>
        <v>00041410006</v>
      </c>
      <c r="C666" t="s">
        <v>918</v>
      </c>
      <c r="D666" t="s">
        <v>386</v>
      </c>
      <c r="E666">
        <v>60</v>
      </c>
      <c r="F666">
        <v>2007</v>
      </c>
      <c r="G666" t="s">
        <v>387</v>
      </c>
      <c r="H666" t="s">
        <v>44</v>
      </c>
      <c r="I666" t="s">
        <v>45</v>
      </c>
      <c r="J666" t="s">
        <v>44</v>
      </c>
      <c r="K666" t="s">
        <v>45</v>
      </c>
      <c r="L666">
        <v>8</v>
      </c>
      <c r="M666">
        <v>61041</v>
      </c>
      <c r="N666" t="s">
        <v>46</v>
      </c>
    </row>
    <row r="667" spans="1:14" x14ac:dyDescent="0.2">
      <c r="A667" s="3">
        <f t="shared" si="11"/>
        <v>4142</v>
      </c>
      <c r="B667" t="str">
        <f>"00041420006"</f>
        <v>00041420006</v>
      </c>
      <c r="C667" t="s">
        <v>919</v>
      </c>
      <c r="D667" t="s">
        <v>386</v>
      </c>
      <c r="E667">
        <v>60</v>
      </c>
      <c r="F667">
        <v>3767</v>
      </c>
      <c r="G667" t="s">
        <v>917</v>
      </c>
      <c r="H667" t="s">
        <v>44</v>
      </c>
      <c r="I667" t="s">
        <v>45</v>
      </c>
      <c r="J667" t="s">
        <v>44</v>
      </c>
      <c r="K667" t="s">
        <v>45</v>
      </c>
      <c r="L667">
        <v>8</v>
      </c>
      <c r="M667">
        <v>61049</v>
      </c>
      <c r="N667" t="s">
        <v>46</v>
      </c>
    </row>
    <row r="668" spans="1:14" x14ac:dyDescent="0.2">
      <c r="A668" s="3">
        <f t="shared" si="11"/>
        <v>4143</v>
      </c>
      <c r="B668" t="str">
        <f>"00041430004"</f>
        <v>00041430004</v>
      </c>
      <c r="C668" t="s">
        <v>920</v>
      </c>
      <c r="D668" t="s">
        <v>115</v>
      </c>
      <c r="E668">
        <v>63</v>
      </c>
      <c r="F668">
        <v>5810</v>
      </c>
      <c r="G668" t="s">
        <v>892</v>
      </c>
      <c r="H668">
        <v>12</v>
      </c>
      <c r="I668" t="s">
        <v>25</v>
      </c>
      <c r="J668">
        <v>9</v>
      </c>
      <c r="K668" t="s">
        <v>25</v>
      </c>
      <c r="L668">
        <v>8</v>
      </c>
      <c r="M668">
        <v>62147</v>
      </c>
      <c r="N668">
        <v>3</v>
      </c>
    </row>
    <row r="669" spans="1:14" x14ac:dyDescent="0.2">
      <c r="A669" s="3">
        <f t="shared" si="11"/>
        <v>4145</v>
      </c>
      <c r="B669" t="str">
        <f>"00041450006"</f>
        <v>00041450006</v>
      </c>
      <c r="C669" t="s">
        <v>921</v>
      </c>
      <c r="D669" t="s">
        <v>386</v>
      </c>
      <c r="E669">
        <v>63</v>
      </c>
      <c r="F669">
        <v>345</v>
      </c>
      <c r="G669" t="s">
        <v>922</v>
      </c>
      <c r="H669" t="s">
        <v>44</v>
      </c>
      <c r="I669" t="s">
        <v>45</v>
      </c>
      <c r="J669" t="s">
        <v>44</v>
      </c>
      <c r="K669" t="s">
        <v>45</v>
      </c>
      <c r="L669">
        <v>9</v>
      </c>
      <c r="M669">
        <v>61219</v>
      </c>
      <c r="N669" t="s">
        <v>46</v>
      </c>
    </row>
    <row r="670" spans="1:14" x14ac:dyDescent="0.2">
      <c r="A670" s="3">
        <f t="shared" si="11"/>
        <v>4146</v>
      </c>
      <c r="B670" t="str">
        <f>"00041460004"</f>
        <v>00041460004</v>
      </c>
      <c r="C670" t="s">
        <v>923</v>
      </c>
      <c r="D670" t="s">
        <v>115</v>
      </c>
      <c r="E670">
        <v>63</v>
      </c>
      <c r="F670">
        <v>5810</v>
      </c>
      <c r="G670" t="s">
        <v>892</v>
      </c>
      <c r="H670">
        <v>10</v>
      </c>
      <c r="I670" t="s">
        <v>25</v>
      </c>
      <c r="J670">
        <v>7</v>
      </c>
      <c r="K670" t="s">
        <v>25</v>
      </c>
      <c r="L670">
        <v>8</v>
      </c>
      <c r="M670">
        <v>62182</v>
      </c>
      <c r="N670">
        <v>3</v>
      </c>
    </row>
    <row r="671" spans="1:14" x14ac:dyDescent="0.2">
      <c r="A671" s="3">
        <f t="shared" si="11"/>
        <v>4147</v>
      </c>
      <c r="B671" t="str">
        <f>"00041470006"</f>
        <v>00041470006</v>
      </c>
      <c r="C671" t="s">
        <v>924</v>
      </c>
      <c r="D671" t="s">
        <v>386</v>
      </c>
      <c r="E671">
        <v>60</v>
      </c>
      <c r="F671">
        <v>1808</v>
      </c>
      <c r="G671" t="s">
        <v>925</v>
      </c>
      <c r="H671" t="s">
        <v>44</v>
      </c>
      <c r="I671" t="s">
        <v>45</v>
      </c>
      <c r="J671" t="s">
        <v>44</v>
      </c>
      <c r="K671" t="s">
        <v>45</v>
      </c>
      <c r="L671">
        <v>8</v>
      </c>
      <c r="M671">
        <v>61182</v>
      </c>
      <c r="N671" t="s">
        <v>46</v>
      </c>
    </row>
    <row r="672" spans="1:14" x14ac:dyDescent="0.2">
      <c r="A672" s="3">
        <f t="shared" si="11"/>
        <v>4151</v>
      </c>
      <c r="B672" t="str">
        <f>"00041510006"</f>
        <v>00041510006</v>
      </c>
      <c r="C672" t="s">
        <v>926</v>
      </c>
      <c r="D672" t="s">
        <v>386</v>
      </c>
      <c r="E672">
        <v>60</v>
      </c>
      <c r="F672">
        <v>5968</v>
      </c>
      <c r="G672" t="s">
        <v>927</v>
      </c>
      <c r="H672" t="s">
        <v>44</v>
      </c>
      <c r="I672" t="s">
        <v>45</v>
      </c>
      <c r="J672" t="s">
        <v>44</v>
      </c>
      <c r="K672" t="s">
        <v>45</v>
      </c>
      <c r="L672">
        <v>8</v>
      </c>
      <c r="M672">
        <v>62124</v>
      </c>
      <c r="N672" t="s">
        <v>46</v>
      </c>
    </row>
    <row r="673" spans="1:14" x14ac:dyDescent="0.2">
      <c r="A673" s="3">
        <f t="shared" si="11"/>
        <v>4152</v>
      </c>
      <c r="B673" t="str">
        <f>"00041520006"</f>
        <v>00041520006</v>
      </c>
      <c r="C673" t="s">
        <v>928</v>
      </c>
      <c r="D673" t="s">
        <v>386</v>
      </c>
      <c r="E673">
        <v>60</v>
      </c>
      <c r="F673">
        <v>2007</v>
      </c>
      <c r="G673" t="s">
        <v>387</v>
      </c>
      <c r="H673" t="s">
        <v>44</v>
      </c>
      <c r="I673" t="s">
        <v>45</v>
      </c>
      <c r="J673" t="s">
        <v>44</v>
      </c>
      <c r="K673" t="s">
        <v>45</v>
      </c>
      <c r="L673">
        <v>8</v>
      </c>
      <c r="M673">
        <v>61162</v>
      </c>
      <c r="N673" t="s">
        <v>46</v>
      </c>
    </row>
    <row r="674" spans="1:14" x14ac:dyDescent="0.2">
      <c r="A674" s="3">
        <f t="shared" si="11"/>
        <v>4154</v>
      </c>
      <c r="B674" t="str">
        <f>"00041540006"</f>
        <v>00041540006</v>
      </c>
      <c r="C674" t="s">
        <v>929</v>
      </c>
      <c r="D674" t="s">
        <v>386</v>
      </c>
      <c r="E674">
        <v>60</v>
      </c>
      <c r="F674">
        <v>3304</v>
      </c>
      <c r="G674" t="s">
        <v>807</v>
      </c>
      <c r="H674" t="s">
        <v>44</v>
      </c>
      <c r="I674" t="s">
        <v>45</v>
      </c>
      <c r="J674" t="s">
        <v>44</v>
      </c>
      <c r="K674" t="s">
        <v>45</v>
      </c>
      <c r="L674">
        <v>8</v>
      </c>
      <c r="M674">
        <v>61034</v>
      </c>
      <c r="N674" t="s">
        <v>46</v>
      </c>
    </row>
    <row r="675" spans="1:14" x14ac:dyDescent="0.2">
      <c r="A675" s="3">
        <f t="shared" si="11"/>
        <v>4156</v>
      </c>
      <c r="B675" t="str">
        <f>"00041560018"</f>
        <v>00041560018</v>
      </c>
      <c r="C675" t="s">
        <v>930</v>
      </c>
      <c r="D675" t="s">
        <v>686</v>
      </c>
      <c r="E675">
        <v>63</v>
      </c>
      <c r="F675">
        <v>5004</v>
      </c>
      <c r="G675" t="s">
        <v>931</v>
      </c>
      <c r="H675">
        <v>10</v>
      </c>
      <c r="I675" t="s">
        <v>25</v>
      </c>
      <c r="J675">
        <v>7</v>
      </c>
      <c r="K675" t="s">
        <v>25</v>
      </c>
      <c r="L675">
        <v>8</v>
      </c>
      <c r="M675">
        <v>62168</v>
      </c>
      <c r="N675">
        <v>3</v>
      </c>
    </row>
    <row r="676" spans="1:14" x14ac:dyDescent="0.2">
      <c r="A676" s="3">
        <f t="shared" si="11"/>
        <v>4163</v>
      </c>
      <c r="B676" t="str">
        <f>"00041630006"</f>
        <v>00041630006</v>
      </c>
      <c r="C676" t="s">
        <v>932</v>
      </c>
      <c r="D676" t="s">
        <v>386</v>
      </c>
      <c r="E676">
        <v>63</v>
      </c>
      <c r="F676">
        <v>345</v>
      </c>
      <c r="G676" t="s">
        <v>922</v>
      </c>
      <c r="H676" t="s">
        <v>44</v>
      </c>
      <c r="I676" t="s">
        <v>45</v>
      </c>
      <c r="J676" t="s">
        <v>44</v>
      </c>
      <c r="K676" t="s">
        <v>45</v>
      </c>
      <c r="L676">
        <v>6</v>
      </c>
      <c r="M676" t="s">
        <v>65</v>
      </c>
      <c r="N676" t="s">
        <v>46</v>
      </c>
    </row>
    <row r="677" spans="1:14" x14ac:dyDescent="0.2">
      <c r="A677" s="3">
        <f t="shared" si="11"/>
        <v>4164</v>
      </c>
      <c r="B677" t="str">
        <f>"00041640006"</f>
        <v>00041640006</v>
      </c>
      <c r="C677" t="s">
        <v>933</v>
      </c>
      <c r="D677" t="s">
        <v>386</v>
      </c>
      <c r="E677">
        <v>60</v>
      </c>
      <c r="F677">
        <v>2007</v>
      </c>
      <c r="G677" t="s">
        <v>387</v>
      </c>
      <c r="H677" t="s">
        <v>44</v>
      </c>
      <c r="I677" t="s">
        <v>45</v>
      </c>
      <c r="J677" t="s">
        <v>44</v>
      </c>
      <c r="K677" t="s">
        <v>45</v>
      </c>
      <c r="L677">
        <v>8</v>
      </c>
      <c r="M677">
        <v>61096</v>
      </c>
      <c r="N677" t="s">
        <v>46</v>
      </c>
    </row>
    <row r="678" spans="1:14" x14ac:dyDescent="0.2">
      <c r="A678" s="3">
        <f t="shared" si="11"/>
        <v>4166</v>
      </c>
      <c r="B678" t="str">
        <f>"00041660006"</f>
        <v>00041660006</v>
      </c>
      <c r="C678" t="s">
        <v>934</v>
      </c>
      <c r="D678" t="s">
        <v>386</v>
      </c>
      <c r="E678">
        <v>60</v>
      </c>
      <c r="F678">
        <v>2108</v>
      </c>
      <c r="G678" t="s">
        <v>935</v>
      </c>
      <c r="H678" t="s">
        <v>44</v>
      </c>
      <c r="I678" t="s">
        <v>45</v>
      </c>
      <c r="J678" t="s">
        <v>44</v>
      </c>
      <c r="K678" t="s">
        <v>45</v>
      </c>
      <c r="L678">
        <v>8</v>
      </c>
      <c r="M678">
        <v>61005</v>
      </c>
      <c r="N678" t="s">
        <v>46</v>
      </c>
    </row>
    <row r="679" spans="1:14" x14ac:dyDescent="0.2">
      <c r="A679" s="3">
        <f t="shared" si="11"/>
        <v>4168</v>
      </c>
      <c r="B679" t="str">
        <f>"00041680006"</f>
        <v>00041680006</v>
      </c>
      <c r="C679" t="s">
        <v>936</v>
      </c>
      <c r="D679" t="s">
        <v>386</v>
      </c>
      <c r="E679">
        <v>60</v>
      </c>
      <c r="F679">
        <v>2007</v>
      </c>
      <c r="G679" t="s">
        <v>387</v>
      </c>
      <c r="H679" t="s">
        <v>44</v>
      </c>
      <c r="I679" t="s">
        <v>45</v>
      </c>
      <c r="J679" t="s">
        <v>44</v>
      </c>
      <c r="K679" t="s">
        <v>45</v>
      </c>
      <c r="L679">
        <v>8</v>
      </c>
      <c r="M679">
        <v>61120</v>
      </c>
      <c r="N679" t="s">
        <v>46</v>
      </c>
    </row>
    <row r="680" spans="1:14" x14ac:dyDescent="0.2">
      <c r="A680" s="3">
        <f t="shared" si="11"/>
        <v>4169</v>
      </c>
      <c r="B680" t="str">
        <f>"00041690006"</f>
        <v>00041690006</v>
      </c>
      <c r="C680" t="s">
        <v>937</v>
      </c>
      <c r="D680" t="s">
        <v>386</v>
      </c>
      <c r="E680">
        <v>60</v>
      </c>
      <c r="F680">
        <v>1341</v>
      </c>
      <c r="G680" t="s">
        <v>904</v>
      </c>
      <c r="H680" t="s">
        <v>44</v>
      </c>
      <c r="I680" t="s">
        <v>45</v>
      </c>
      <c r="J680" t="s">
        <v>44</v>
      </c>
      <c r="K680" t="s">
        <v>45</v>
      </c>
      <c r="L680">
        <v>8</v>
      </c>
      <c r="M680">
        <v>61149</v>
      </c>
      <c r="N680" t="s">
        <v>46</v>
      </c>
    </row>
    <row r="681" spans="1:14" x14ac:dyDescent="0.2">
      <c r="A681" s="3">
        <f t="shared" si="11"/>
        <v>4170</v>
      </c>
      <c r="B681" t="str">
        <f>"00041700006"</f>
        <v>00041700006</v>
      </c>
      <c r="C681" t="s">
        <v>938</v>
      </c>
      <c r="D681" t="s">
        <v>386</v>
      </c>
      <c r="E681">
        <v>60</v>
      </c>
      <c r="F681">
        <v>1688</v>
      </c>
      <c r="G681" t="s">
        <v>939</v>
      </c>
      <c r="H681" t="s">
        <v>44</v>
      </c>
      <c r="I681" t="s">
        <v>45</v>
      </c>
      <c r="J681" t="s">
        <v>44</v>
      </c>
      <c r="K681" t="s">
        <v>45</v>
      </c>
      <c r="L681">
        <v>8</v>
      </c>
      <c r="M681">
        <v>61025</v>
      </c>
      <c r="N681" t="s">
        <v>46</v>
      </c>
    </row>
    <row r="682" spans="1:14" x14ac:dyDescent="0.2">
      <c r="A682" s="3">
        <f t="shared" si="11"/>
        <v>4196</v>
      </c>
      <c r="B682" t="str">
        <f>"00041960006"</f>
        <v>00041960006</v>
      </c>
      <c r="C682" t="s">
        <v>940</v>
      </c>
      <c r="D682" t="s">
        <v>386</v>
      </c>
      <c r="E682">
        <v>60</v>
      </c>
      <c r="F682">
        <v>1341</v>
      </c>
      <c r="G682" t="s">
        <v>904</v>
      </c>
      <c r="H682" t="s">
        <v>44</v>
      </c>
      <c r="I682" t="s">
        <v>45</v>
      </c>
      <c r="J682" t="s">
        <v>44</v>
      </c>
      <c r="K682" t="s">
        <v>45</v>
      </c>
      <c r="L682">
        <v>8</v>
      </c>
      <c r="M682">
        <v>61028</v>
      </c>
      <c r="N682" t="s">
        <v>46</v>
      </c>
    </row>
    <row r="683" spans="1:14" x14ac:dyDescent="0.2">
      <c r="A683" s="3">
        <f t="shared" si="11"/>
        <v>4199</v>
      </c>
      <c r="B683" t="str">
        <f>"00041990006"</f>
        <v>00041990006</v>
      </c>
      <c r="C683" t="s">
        <v>941</v>
      </c>
      <c r="D683" t="s">
        <v>386</v>
      </c>
      <c r="E683">
        <v>60</v>
      </c>
      <c r="F683">
        <v>3767</v>
      </c>
      <c r="G683" t="s">
        <v>917</v>
      </c>
      <c r="H683" t="s">
        <v>44</v>
      </c>
      <c r="I683" t="s">
        <v>45</v>
      </c>
      <c r="J683" t="s">
        <v>44</v>
      </c>
      <c r="K683" t="s">
        <v>45</v>
      </c>
      <c r="L683">
        <v>8</v>
      </c>
      <c r="M683">
        <v>61036</v>
      </c>
      <c r="N683" t="s">
        <v>46</v>
      </c>
    </row>
    <row r="684" spans="1:14" x14ac:dyDescent="0.2">
      <c r="A684" s="3">
        <f t="shared" si="11"/>
        <v>4200</v>
      </c>
      <c r="B684" t="str">
        <f>"00042000102"</f>
        <v>00042000102</v>
      </c>
      <c r="C684" t="s">
        <v>942</v>
      </c>
      <c r="D684" t="s">
        <v>52</v>
      </c>
      <c r="E684">
        <v>82</v>
      </c>
      <c r="F684">
        <v>2131</v>
      </c>
      <c r="G684" t="s">
        <v>241</v>
      </c>
      <c r="H684" t="s">
        <v>44</v>
      </c>
      <c r="I684" t="s">
        <v>45</v>
      </c>
      <c r="J684" t="s">
        <v>44</v>
      </c>
      <c r="K684" t="s">
        <v>45</v>
      </c>
      <c r="L684">
        <v>6</v>
      </c>
      <c r="M684">
        <v>2668</v>
      </c>
      <c r="N684" t="s">
        <v>46</v>
      </c>
    </row>
    <row r="685" spans="1:14" x14ac:dyDescent="0.2">
      <c r="A685" s="3">
        <f t="shared" si="11"/>
        <v>4201</v>
      </c>
      <c r="B685" t="str">
        <f>"00042010006"</f>
        <v>00042010006</v>
      </c>
      <c r="C685" t="s">
        <v>943</v>
      </c>
      <c r="D685" t="s">
        <v>42</v>
      </c>
      <c r="E685">
        <v>61</v>
      </c>
      <c r="F685">
        <v>320</v>
      </c>
      <c r="G685" t="s">
        <v>813</v>
      </c>
      <c r="H685" t="s">
        <v>44</v>
      </c>
      <c r="I685" t="s">
        <v>45</v>
      </c>
      <c r="J685" t="s">
        <v>44</v>
      </c>
      <c r="K685" t="s">
        <v>45</v>
      </c>
      <c r="L685">
        <v>8</v>
      </c>
      <c r="M685">
        <v>62003</v>
      </c>
      <c r="N685" t="s">
        <v>46</v>
      </c>
    </row>
    <row r="686" spans="1:14" x14ac:dyDescent="0.2">
      <c r="A686" s="3">
        <f t="shared" si="11"/>
        <v>4203</v>
      </c>
      <c r="B686" t="str">
        <f>"00042030001"</f>
        <v>00042030001</v>
      </c>
      <c r="C686" t="s">
        <v>944</v>
      </c>
      <c r="D686" t="s">
        <v>52</v>
      </c>
      <c r="E686">
        <v>60</v>
      </c>
      <c r="F686">
        <v>5962</v>
      </c>
      <c r="G686" t="s">
        <v>945</v>
      </c>
      <c r="H686" t="s">
        <v>44</v>
      </c>
      <c r="I686" t="s">
        <v>45</v>
      </c>
      <c r="J686" t="s">
        <v>44</v>
      </c>
      <c r="K686" t="s">
        <v>45</v>
      </c>
      <c r="L686">
        <v>5</v>
      </c>
      <c r="M686" t="s">
        <v>65</v>
      </c>
      <c r="N686" t="s">
        <v>46</v>
      </c>
    </row>
    <row r="687" spans="1:14" x14ac:dyDescent="0.2">
      <c r="A687" s="3">
        <f t="shared" si="11"/>
        <v>4203</v>
      </c>
      <c r="B687" t="str">
        <f>"00042030004"</f>
        <v>00042030004</v>
      </c>
      <c r="C687" t="s">
        <v>944</v>
      </c>
      <c r="D687" t="s">
        <v>386</v>
      </c>
      <c r="E687">
        <v>60</v>
      </c>
      <c r="F687">
        <v>5962</v>
      </c>
      <c r="G687" t="s">
        <v>945</v>
      </c>
      <c r="H687" t="s">
        <v>44</v>
      </c>
      <c r="I687" t="s">
        <v>45</v>
      </c>
      <c r="J687" t="s">
        <v>44</v>
      </c>
      <c r="K687" t="s">
        <v>45</v>
      </c>
      <c r="L687">
        <v>8</v>
      </c>
      <c r="M687">
        <v>62063</v>
      </c>
      <c r="N687" t="s">
        <v>46</v>
      </c>
    </row>
    <row r="688" spans="1:14" x14ac:dyDescent="0.2">
      <c r="A688" s="3">
        <f t="shared" si="11"/>
        <v>4230</v>
      </c>
      <c r="B688" t="str">
        <f>"00042300012"</f>
        <v>00042300012</v>
      </c>
      <c r="C688" t="s">
        <v>946</v>
      </c>
      <c r="D688" t="s">
        <v>42</v>
      </c>
      <c r="E688">
        <v>46</v>
      </c>
      <c r="F688">
        <v>2131</v>
      </c>
      <c r="G688" t="s">
        <v>241</v>
      </c>
      <c r="H688">
        <v>11</v>
      </c>
      <c r="I688" t="s">
        <v>25</v>
      </c>
      <c r="J688">
        <v>8</v>
      </c>
      <c r="K688" t="s">
        <v>25</v>
      </c>
      <c r="L688">
        <v>8</v>
      </c>
      <c r="M688">
        <v>73228</v>
      </c>
      <c r="N688">
        <v>3</v>
      </c>
    </row>
    <row r="689" spans="1:14" x14ac:dyDescent="0.2">
      <c r="A689" s="3">
        <f t="shared" si="11"/>
        <v>4235</v>
      </c>
      <c r="B689" t="str">
        <f>"00042350012"</f>
        <v>00042350012</v>
      </c>
      <c r="C689" t="s">
        <v>947</v>
      </c>
      <c r="D689" t="s">
        <v>42</v>
      </c>
      <c r="E689">
        <v>46</v>
      </c>
      <c r="F689">
        <v>2131</v>
      </c>
      <c r="G689" t="s">
        <v>241</v>
      </c>
      <c r="H689">
        <v>11</v>
      </c>
      <c r="I689" t="s">
        <v>25</v>
      </c>
      <c r="J689">
        <v>8</v>
      </c>
      <c r="K689" t="s">
        <v>25</v>
      </c>
      <c r="L689">
        <v>8</v>
      </c>
      <c r="M689">
        <v>73230</v>
      </c>
      <c r="N689">
        <v>3</v>
      </c>
    </row>
    <row r="690" spans="1:14" x14ac:dyDescent="0.2">
      <c r="A690" s="3">
        <f t="shared" si="11"/>
        <v>4236</v>
      </c>
      <c r="B690" t="str">
        <f>"00042360010"</f>
        <v>00042360010</v>
      </c>
      <c r="C690" t="s">
        <v>948</v>
      </c>
      <c r="D690" t="s">
        <v>42</v>
      </c>
      <c r="E690">
        <v>46</v>
      </c>
      <c r="F690">
        <v>2131</v>
      </c>
      <c r="G690" t="s">
        <v>241</v>
      </c>
      <c r="H690">
        <v>11</v>
      </c>
      <c r="I690" t="s">
        <v>25</v>
      </c>
      <c r="J690">
        <v>8</v>
      </c>
      <c r="K690" t="s">
        <v>25</v>
      </c>
      <c r="L690">
        <v>8</v>
      </c>
      <c r="M690">
        <v>73232</v>
      </c>
      <c r="N690">
        <v>3</v>
      </c>
    </row>
    <row r="691" spans="1:14" x14ac:dyDescent="0.2">
      <c r="A691" s="3">
        <f t="shared" si="11"/>
        <v>4237</v>
      </c>
      <c r="B691" t="str">
        <f>"00042370012"</f>
        <v>00042370012</v>
      </c>
      <c r="C691" t="s">
        <v>949</v>
      </c>
      <c r="D691" t="s">
        <v>42</v>
      </c>
      <c r="E691">
        <v>52</v>
      </c>
      <c r="F691">
        <v>2131</v>
      </c>
      <c r="G691" t="s">
        <v>241</v>
      </c>
      <c r="H691">
        <v>6</v>
      </c>
      <c r="I691" t="s">
        <v>25</v>
      </c>
      <c r="J691">
        <v>4</v>
      </c>
      <c r="K691" t="s">
        <v>25</v>
      </c>
      <c r="L691">
        <v>8</v>
      </c>
      <c r="M691">
        <v>65041</v>
      </c>
      <c r="N691">
        <v>2</v>
      </c>
    </row>
    <row r="692" spans="1:14" x14ac:dyDescent="0.2">
      <c r="A692" s="3">
        <f t="shared" si="11"/>
        <v>4239</v>
      </c>
      <c r="B692" t="str">
        <f>"00042390012"</f>
        <v>00042390012</v>
      </c>
      <c r="C692" t="s">
        <v>950</v>
      </c>
      <c r="D692" t="s">
        <v>42</v>
      </c>
      <c r="E692">
        <v>44</v>
      </c>
      <c r="F692">
        <v>2131</v>
      </c>
      <c r="G692" t="s">
        <v>241</v>
      </c>
      <c r="H692">
        <v>10</v>
      </c>
      <c r="I692" t="s">
        <v>25</v>
      </c>
      <c r="J692">
        <v>7</v>
      </c>
      <c r="K692" t="s">
        <v>25</v>
      </c>
      <c r="L692">
        <v>8</v>
      </c>
      <c r="M692">
        <v>65248</v>
      </c>
      <c r="N692">
        <v>3</v>
      </c>
    </row>
    <row r="693" spans="1:14" x14ac:dyDescent="0.2">
      <c r="A693" s="3">
        <f t="shared" si="11"/>
        <v>4260</v>
      </c>
      <c r="B693" t="str">
        <f>"00042600012"</f>
        <v>00042600012</v>
      </c>
      <c r="C693" t="s">
        <v>951</v>
      </c>
      <c r="D693" t="s">
        <v>42</v>
      </c>
      <c r="E693">
        <v>46</v>
      </c>
      <c r="F693">
        <v>2131</v>
      </c>
      <c r="G693" t="s">
        <v>241</v>
      </c>
      <c r="H693">
        <v>11</v>
      </c>
      <c r="I693" t="s">
        <v>25</v>
      </c>
      <c r="J693">
        <v>8</v>
      </c>
      <c r="K693" t="s">
        <v>25</v>
      </c>
      <c r="L693">
        <v>8</v>
      </c>
      <c r="M693">
        <v>73236</v>
      </c>
      <c r="N693">
        <v>3</v>
      </c>
    </row>
    <row r="694" spans="1:14" x14ac:dyDescent="0.2">
      <c r="A694" s="3">
        <f t="shared" si="11"/>
        <v>4262</v>
      </c>
      <c r="B694" t="str">
        <f>"00042620012"</f>
        <v>00042620012</v>
      </c>
      <c r="C694" t="s">
        <v>952</v>
      </c>
      <c r="D694" t="s">
        <v>42</v>
      </c>
      <c r="E694">
        <v>46</v>
      </c>
      <c r="F694">
        <v>2131</v>
      </c>
      <c r="G694" t="s">
        <v>241</v>
      </c>
      <c r="H694">
        <v>11</v>
      </c>
      <c r="I694" t="s">
        <v>25</v>
      </c>
      <c r="J694">
        <v>8</v>
      </c>
      <c r="K694" t="s">
        <v>25</v>
      </c>
      <c r="L694">
        <v>8</v>
      </c>
      <c r="M694">
        <v>73234</v>
      </c>
      <c r="N694">
        <v>3</v>
      </c>
    </row>
    <row r="695" spans="1:14" x14ac:dyDescent="0.2">
      <c r="A695" s="3">
        <f t="shared" si="11"/>
        <v>4269</v>
      </c>
      <c r="B695" t="str">
        <f>"00042690010"</f>
        <v>00042690010</v>
      </c>
      <c r="C695" t="s">
        <v>953</v>
      </c>
      <c r="D695" t="s">
        <v>289</v>
      </c>
      <c r="E695">
        <v>20</v>
      </c>
      <c r="F695">
        <v>8086</v>
      </c>
      <c r="G695" t="s">
        <v>290</v>
      </c>
      <c r="H695">
        <v>11</v>
      </c>
      <c r="I695" t="s">
        <v>25</v>
      </c>
      <c r="J695">
        <v>8</v>
      </c>
      <c r="K695" t="s">
        <v>25</v>
      </c>
      <c r="L695">
        <v>8</v>
      </c>
      <c r="M695">
        <v>89038</v>
      </c>
      <c r="N695">
        <v>3</v>
      </c>
    </row>
    <row r="696" spans="1:14" x14ac:dyDescent="0.2">
      <c r="A696" s="3">
        <f t="shared" si="11"/>
        <v>4269</v>
      </c>
      <c r="B696" t="str">
        <f>"00042690010"</f>
        <v>00042690010</v>
      </c>
      <c r="C696" t="s">
        <v>953</v>
      </c>
      <c r="D696" t="s">
        <v>289</v>
      </c>
      <c r="E696">
        <v>20</v>
      </c>
      <c r="F696">
        <v>2131</v>
      </c>
      <c r="G696" t="s">
        <v>241</v>
      </c>
      <c r="H696">
        <v>11</v>
      </c>
      <c r="I696" t="s">
        <v>25</v>
      </c>
      <c r="J696">
        <v>8</v>
      </c>
      <c r="K696" t="s">
        <v>25</v>
      </c>
      <c r="L696">
        <v>8</v>
      </c>
      <c r="M696">
        <v>89038</v>
      </c>
      <c r="N696">
        <v>3</v>
      </c>
    </row>
    <row r="697" spans="1:14" x14ac:dyDescent="0.2">
      <c r="A697" s="3">
        <f t="shared" si="11"/>
        <v>4273</v>
      </c>
      <c r="B697" t="str">
        <f>"00042730009"</f>
        <v>00042730009</v>
      </c>
      <c r="C697" t="s">
        <v>954</v>
      </c>
      <c r="D697" t="s">
        <v>289</v>
      </c>
      <c r="E697">
        <v>20</v>
      </c>
      <c r="F697">
        <v>8086</v>
      </c>
      <c r="G697" t="s">
        <v>290</v>
      </c>
      <c r="H697">
        <v>11</v>
      </c>
      <c r="I697" t="s">
        <v>25</v>
      </c>
      <c r="J697">
        <v>8</v>
      </c>
      <c r="K697" t="s">
        <v>25</v>
      </c>
      <c r="L697">
        <v>8</v>
      </c>
      <c r="M697">
        <v>89048</v>
      </c>
      <c r="N697">
        <v>3</v>
      </c>
    </row>
    <row r="698" spans="1:14" x14ac:dyDescent="0.2">
      <c r="A698" s="3">
        <f t="shared" si="11"/>
        <v>4273</v>
      </c>
      <c r="B698" t="str">
        <f>"00042730009"</f>
        <v>00042730009</v>
      </c>
      <c r="C698" t="s">
        <v>954</v>
      </c>
      <c r="D698" t="s">
        <v>289</v>
      </c>
      <c r="E698">
        <v>20</v>
      </c>
      <c r="F698">
        <v>2131</v>
      </c>
      <c r="G698" t="s">
        <v>241</v>
      </c>
      <c r="H698">
        <v>11</v>
      </c>
      <c r="I698" t="s">
        <v>25</v>
      </c>
      <c r="J698">
        <v>8</v>
      </c>
      <c r="K698" t="s">
        <v>25</v>
      </c>
      <c r="L698">
        <v>8</v>
      </c>
      <c r="M698">
        <v>89048</v>
      </c>
      <c r="N698">
        <v>3</v>
      </c>
    </row>
    <row r="699" spans="1:14" x14ac:dyDescent="0.2">
      <c r="A699" s="3">
        <f t="shared" si="11"/>
        <v>4302</v>
      </c>
      <c r="B699" t="str">
        <f>"00043020012"</f>
        <v>00043020012</v>
      </c>
      <c r="C699" t="s">
        <v>955</v>
      </c>
      <c r="D699" t="s">
        <v>42</v>
      </c>
      <c r="E699">
        <v>61</v>
      </c>
      <c r="F699">
        <v>1311</v>
      </c>
      <c r="G699" t="s">
        <v>956</v>
      </c>
      <c r="H699" t="s">
        <v>44</v>
      </c>
      <c r="I699" t="s">
        <v>45</v>
      </c>
      <c r="J699" t="s">
        <v>44</v>
      </c>
      <c r="K699" t="s">
        <v>45</v>
      </c>
      <c r="L699">
        <v>8</v>
      </c>
      <c r="M699">
        <v>62027</v>
      </c>
      <c r="N699" t="s">
        <v>46</v>
      </c>
    </row>
    <row r="700" spans="1:14" x14ac:dyDescent="0.2">
      <c r="A700" s="3">
        <f t="shared" si="11"/>
        <v>4369</v>
      </c>
      <c r="B700" t="str">
        <f>"00043690014"</f>
        <v>00043690014</v>
      </c>
      <c r="C700" t="s">
        <v>957</v>
      </c>
      <c r="D700" t="s">
        <v>42</v>
      </c>
      <c r="E700">
        <v>70</v>
      </c>
      <c r="F700">
        <v>482</v>
      </c>
      <c r="G700" t="s">
        <v>611</v>
      </c>
      <c r="H700">
        <v>120</v>
      </c>
      <c r="I700" t="s">
        <v>34</v>
      </c>
      <c r="J700">
        <v>88</v>
      </c>
      <c r="K700" t="s">
        <v>34</v>
      </c>
      <c r="L700">
        <v>8</v>
      </c>
      <c r="M700">
        <v>66226</v>
      </c>
      <c r="N700">
        <v>32</v>
      </c>
    </row>
    <row r="701" spans="1:14" x14ac:dyDescent="0.2">
      <c r="A701" s="3">
        <f t="shared" si="11"/>
        <v>4385</v>
      </c>
      <c r="B701" t="str">
        <f>"00043850006"</f>
        <v>00043850006</v>
      </c>
      <c r="C701" t="s">
        <v>958</v>
      </c>
      <c r="D701" t="s">
        <v>48</v>
      </c>
      <c r="E701">
        <v>33</v>
      </c>
      <c r="F701">
        <v>3601</v>
      </c>
      <c r="G701" t="s">
        <v>408</v>
      </c>
      <c r="H701">
        <v>25</v>
      </c>
      <c r="I701" t="s">
        <v>34</v>
      </c>
      <c r="J701">
        <v>18</v>
      </c>
      <c r="K701" t="s">
        <v>34</v>
      </c>
      <c r="L701">
        <v>8</v>
      </c>
      <c r="M701">
        <v>84043</v>
      </c>
      <c r="N701">
        <v>7</v>
      </c>
    </row>
    <row r="702" spans="1:14" x14ac:dyDescent="0.2">
      <c r="A702" s="3">
        <f t="shared" si="11"/>
        <v>4389</v>
      </c>
      <c r="B702" t="str">
        <f>"00043890012"</f>
        <v>00043890012</v>
      </c>
      <c r="C702" t="s">
        <v>959</v>
      </c>
      <c r="D702" t="s">
        <v>42</v>
      </c>
      <c r="E702">
        <v>83</v>
      </c>
      <c r="F702">
        <v>2131</v>
      </c>
      <c r="G702" t="s">
        <v>241</v>
      </c>
      <c r="H702" t="s">
        <v>44</v>
      </c>
      <c r="I702" t="s">
        <v>45</v>
      </c>
      <c r="J702" t="s">
        <v>44</v>
      </c>
      <c r="K702" t="s">
        <v>45</v>
      </c>
      <c r="L702">
        <v>8</v>
      </c>
      <c r="M702">
        <v>67247</v>
      </c>
      <c r="N702" t="s">
        <v>46</v>
      </c>
    </row>
    <row r="703" spans="1:14" x14ac:dyDescent="0.2">
      <c r="A703" s="3">
        <f t="shared" si="11"/>
        <v>4401</v>
      </c>
      <c r="B703" t="str">
        <f>"00044010006"</f>
        <v>00044010006</v>
      </c>
      <c r="C703" t="s">
        <v>960</v>
      </c>
      <c r="D703" t="s">
        <v>42</v>
      </c>
      <c r="E703">
        <v>61</v>
      </c>
      <c r="F703">
        <v>1311</v>
      </c>
      <c r="G703" t="s">
        <v>956</v>
      </c>
      <c r="H703" t="s">
        <v>44</v>
      </c>
      <c r="I703" t="s">
        <v>45</v>
      </c>
      <c r="J703" t="s">
        <v>44</v>
      </c>
      <c r="K703" t="s">
        <v>45</v>
      </c>
      <c r="L703">
        <v>8</v>
      </c>
      <c r="M703">
        <v>62030</v>
      </c>
      <c r="N703" t="s">
        <v>46</v>
      </c>
    </row>
    <row r="704" spans="1:14" x14ac:dyDescent="0.2">
      <c r="A704" s="3">
        <f t="shared" si="11"/>
        <v>4404</v>
      </c>
      <c r="B704" t="str">
        <f>"00044040006"</f>
        <v>00044040006</v>
      </c>
      <c r="C704" t="s">
        <v>961</v>
      </c>
      <c r="D704" t="s">
        <v>42</v>
      </c>
      <c r="E704">
        <v>61</v>
      </c>
      <c r="F704">
        <v>1311</v>
      </c>
      <c r="G704" t="s">
        <v>956</v>
      </c>
      <c r="H704" t="s">
        <v>44</v>
      </c>
      <c r="I704" t="s">
        <v>45</v>
      </c>
      <c r="J704" t="s">
        <v>44</v>
      </c>
      <c r="K704" t="s">
        <v>45</v>
      </c>
      <c r="L704">
        <v>8</v>
      </c>
      <c r="M704">
        <v>62038</v>
      </c>
      <c r="N704" t="s">
        <v>46</v>
      </c>
    </row>
    <row r="705" spans="1:14" x14ac:dyDescent="0.2">
      <c r="A705" s="3">
        <f t="shared" si="11"/>
        <v>4405</v>
      </c>
      <c r="B705" t="str">
        <f>"00044050006"</f>
        <v>00044050006</v>
      </c>
      <c r="C705" t="s">
        <v>962</v>
      </c>
      <c r="D705" t="s">
        <v>42</v>
      </c>
      <c r="E705">
        <v>61</v>
      </c>
      <c r="F705">
        <v>1311</v>
      </c>
      <c r="G705" t="s">
        <v>956</v>
      </c>
      <c r="H705" t="s">
        <v>44</v>
      </c>
      <c r="I705" t="s">
        <v>45</v>
      </c>
      <c r="J705" t="s">
        <v>44</v>
      </c>
      <c r="K705" t="s">
        <v>45</v>
      </c>
      <c r="L705">
        <v>8</v>
      </c>
      <c r="M705">
        <v>62043</v>
      </c>
      <c r="N705" t="s">
        <v>46</v>
      </c>
    </row>
    <row r="706" spans="1:14" x14ac:dyDescent="0.2">
      <c r="A706" s="3">
        <f t="shared" si="11"/>
        <v>4408</v>
      </c>
      <c r="B706" t="str">
        <f>"00044080006"</f>
        <v>00044080006</v>
      </c>
      <c r="C706" t="s">
        <v>963</v>
      </c>
      <c r="D706" t="s">
        <v>418</v>
      </c>
      <c r="E706">
        <v>61</v>
      </c>
      <c r="F706">
        <v>5021</v>
      </c>
      <c r="G706" t="s">
        <v>964</v>
      </c>
      <c r="H706" t="s">
        <v>44</v>
      </c>
      <c r="I706" t="s">
        <v>45</v>
      </c>
      <c r="J706" t="s">
        <v>44</v>
      </c>
      <c r="K706" t="s">
        <v>45</v>
      </c>
      <c r="L706">
        <v>8</v>
      </c>
      <c r="M706">
        <v>62021</v>
      </c>
      <c r="N706" t="s">
        <v>46</v>
      </c>
    </row>
    <row r="707" spans="1:14" x14ac:dyDescent="0.2">
      <c r="A707" s="3">
        <f t="shared" si="11"/>
        <v>4409</v>
      </c>
      <c r="B707" t="str">
        <f>"00044090006"</f>
        <v>00044090006</v>
      </c>
      <c r="C707" t="s">
        <v>965</v>
      </c>
      <c r="D707" t="s">
        <v>418</v>
      </c>
      <c r="E707">
        <v>61</v>
      </c>
      <c r="F707">
        <v>5021</v>
      </c>
      <c r="G707" t="s">
        <v>964</v>
      </c>
      <c r="H707" t="s">
        <v>44</v>
      </c>
      <c r="I707" t="s">
        <v>45</v>
      </c>
      <c r="J707" t="s">
        <v>44</v>
      </c>
      <c r="K707" t="s">
        <v>45</v>
      </c>
      <c r="L707">
        <v>8</v>
      </c>
      <c r="M707">
        <v>62017</v>
      </c>
      <c r="N707" t="s">
        <v>46</v>
      </c>
    </row>
    <row r="708" spans="1:14" x14ac:dyDescent="0.2">
      <c r="A708" s="3">
        <f t="shared" ref="A708:A771" si="12">(B708-RIGHT(B708,4))/10000</f>
        <v>4423</v>
      </c>
      <c r="B708" t="str">
        <f>"00044230001"</f>
        <v>00044230001</v>
      </c>
      <c r="C708" t="s">
        <v>966</v>
      </c>
      <c r="D708" t="s">
        <v>337</v>
      </c>
      <c r="E708">
        <v>90</v>
      </c>
      <c r="F708">
        <v>2762</v>
      </c>
      <c r="G708" t="s">
        <v>967</v>
      </c>
      <c r="H708">
        <v>11</v>
      </c>
      <c r="I708" t="s">
        <v>34</v>
      </c>
      <c r="J708">
        <v>7</v>
      </c>
      <c r="K708" t="s">
        <v>34</v>
      </c>
      <c r="L708">
        <v>8</v>
      </c>
      <c r="M708">
        <v>91031</v>
      </c>
      <c r="N708">
        <v>4</v>
      </c>
    </row>
    <row r="709" spans="1:14" x14ac:dyDescent="0.2">
      <c r="A709" s="3">
        <f t="shared" si="12"/>
        <v>4425</v>
      </c>
      <c r="B709" t="str">
        <f>"00044250018"</f>
        <v>00044250018</v>
      </c>
      <c r="C709" t="s">
        <v>968</v>
      </c>
      <c r="D709" t="s">
        <v>42</v>
      </c>
      <c r="E709">
        <v>44</v>
      </c>
      <c r="F709">
        <v>6916</v>
      </c>
      <c r="G709" t="s">
        <v>60</v>
      </c>
      <c r="H709">
        <v>12</v>
      </c>
      <c r="I709" t="s">
        <v>25</v>
      </c>
      <c r="J709">
        <v>9</v>
      </c>
      <c r="K709" t="s">
        <v>25</v>
      </c>
      <c r="L709">
        <v>8</v>
      </c>
      <c r="M709">
        <v>66010</v>
      </c>
      <c r="N709">
        <v>3</v>
      </c>
    </row>
    <row r="710" spans="1:14" x14ac:dyDescent="0.2">
      <c r="A710" s="3">
        <f t="shared" si="12"/>
        <v>4454</v>
      </c>
      <c r="B710" t="str">
        <f>"00044540001"</f>
        <v>00044540001</v>
      </c>
      <c r="C710" t="s">
        <v>969</v>
      </c>
      <c r="D710" t="s">
        <v>52</v>
      </c>
      <c r="E710">
        <v>83</v>
      </c>
      <c r="F710">
        <v>2131</v>
      </c>
      <c r="G710" t="s">
        <v>241</v>
      </c>
      <c r="H710" t="s">
        <v>44</v>
      </c>
      <c r="I710" t="s">
        <v>45</v>
      </c>
      <c r="J710" t="s">
        <v>44</v>
      </c>
      <c r="K710" t="s">
        <v>45</v>
      </c>
      <c r="L710">
        <v>6</v>
      </c>
      <c r="M710">
        <v>52646</v>
      </c>
      <c r="N710" t="s">
        <v>46</v>
      </c>
    </row>
    <row r="711" spans="1:14" x14ac:dyDescent="0.2">
      <c r="A711" s="3">
        <f t="shared" si="12"/>
        <v>4486</v>
      </c>
      <c r="B711" t="str">
        <f>"00044860027"</f>
        <v>00044860027</v>
      </c>
      <c r="C711" t="s">
        <v>970</v>
      </c>
      <c r="D711" t="s">
        <v>42</v>
      </c>
      <c r="E711">
        <v>82</v>
      </c>
      <c r="F711">
        <v>4678</v>
      </c>
      <c r="G711" t="s">
        <v>55</v>
      </c>
      <c r="H711" t="s">
        <v>44</v>
      </c>
      <c r="I711" t="s">
        <v>45</v>
      </c>
      <c r="J711" t="s">
        <v>44</v>
      </c>
      <c r="K711" t="s">
        <v>45</v>
      </c>
      <c r="L711">
        <v>8</v>
      </c>
      <c r="M711">
        <v>70195</v>
      </c>
      <c r="N711" t="s">
        <v>46</v>
      </c>
    </row>
    <row r="712" spans="1:14" x14ac:dyDescent="0.2">
      <c r="A712" s="3">
        <f t="shared" si="12"/>
        <v>4497</v>
      </c>
      <c r="B712" t="str">
        <f>"00044970006"</f>
        <v>00044970006</v>
      </c>
      <c r="C712" t="s">
        <v>971</v>
      </c>
      <c r="D712" t="s">
        <v>36</v>
      </c>
      <c r="E712">
        <v>46</v>
      </c>
      <c r="F712">
        <v>1421</v>
      </c>
      <c r="G712" t="s">
        <v>972</v>
      </c>
      <c r="H712">
        <v>120</v>
      </c>
      <c r="I712" t="s">
        <v>34</v>
      </c>
      <c r="J712">
        <v>88</v>
      </c>
      <c r="K712" t="s">
        <v>34</v>
      </c>
      <c r="L712">
        <v>8</v>
      </c>
      <c r="M712">
        <v>73175</v>
      </c>
      <c r="N712">
        <v>32</v>
      </c>
    </row>
    <row r="713" spans="1:14" x14ac:dyDescent="0.2">
      <c r="A713" s="3">
        <f t="shared" si="12"/>
        <v>4498</v>
      </c>
      <c r="B713" t="str">
        <f>"00044980006"</f>
        <v>00044980006</v>
      </c>
      <c r="C713" t="s">
        <v>973</v>
      </c>
      <c r="D713" t="s">
        <v>36</v>
      </c>
      <c r="E713">
        <v>46</v>
      </c>
      <c r="F713">
        <v>1421</v>
      </c>
      <c r="G713" t="s">
        <v>972</v>
      </c>
      <c r="H713">
        <v>120</v>
      </c>
      <c r="I713" t="s">
        <v>34</v>
      </c>
      <c r="J713">
        <v>88</v>
      </c>
      <c r="K713" t="s">
        <v>34</v>
      </c>
      <c r="L713">
        <v>8</v>
      </c>
      <c r="M713">
        <v>73168</v>
      </c>
      <c r="N713">
        <v>32</v>
      </c>
    </row>
    <row r="714" spans="1:14" x14ac:dyDescent="0.2">
      <c r="A714" s="3">
        <f t="shared" si="12"/>
        <v>4502</v>
      </c>
      <c r="B714" t="str">
        <f>"00045020016"</f>
        <v>00045020016</v>
      </c>
      <c r="C714" t="s">
        <v>974</v>
      </c>
      <c r="D714" t="s">
        <v>101</v>
      </c>
      <c r="E714">
        <v>30</v>
      </c>
      <c r="F714">
        <v>1730</v>
      </c>
      <c r="G714" t="s">
        <v>975</v>
      </c>
      <c r="H714">
        <v>23</v>
      </c>
      <c r="I714" t="s">
        <v>34</v>
      </c>
      <c r="J714">
        <v>17</v>
      </c>
      <c r="K714" t="s">
        <v>34</v>
      </c>
      <c r="L714">
        <v>8</v>
      </c>
      <c r="M714">
        <v>83087</v>
      </c>
      <c r="N714">
        <v>6</v>
      </c>
    </row>
    <row r="715" spans="1:14" x14ac:dyDescent="0.2">
      <c r="A715" s="3">
        <f t="shared" si="12"/>
        <v>4503</v>
      </c>
      <c r="B715" t="str">
        <f>"00045030001"</f>
        <v>00045030001</v>
      </c>
      <c r="C715" t="s">
        <v>976</v>
      </c>
      <c r="D715" t="s">
        <v>337</v>
      </c>
      <c r="E715">
        <v>90</v>
      </c>
      <c r="F715">
        <v>8253</v>
      </c>
      <c r="G715" t="s">
        <v>343</v>
      </c>
      <c r="H715">
        <v>11</v>
      </c>
      <c r="I715" t="s">
        <v>34</v>
      </c>
      <c r="J715">
        <v>7</v>
      </c>
      <c r="K715" t="s">
        <v>34</v>
      </c>
      <c r="L715">
        <v>8</v>
      </c>
      <c r="M715">
        <v>91006</v>
      </c>
      <c r="N715">
        <v>3</v>
      </c>
    </row>
    <row r="716" spans="1:14" x14ac:dyDescent="0.2">
      <c r="A716" s="3">
        <f t="shared" si="12"/>
        <v>4504</v>
      </c>
      <c r="B716" t="str">
        <f>"00045040006"</f>
        <v>00045040006</v>
      </c>
      <c r="C716" t="s">
        <v>977</v>
      </c>
      <c r="D716" t="s">
        <v>543</v>
      </c>
      <c r="E716">
        <v>61</v>
      </c>
      <c r="F716">
        <v>1667</v>
      </c>
      <c r="G716" t="s">
        <v>978</v>
      </c>
      <c r="H716" t="s">
        <v>44</v>
      </c>
      <c r="I716" t="s">
        <v>45</v>
      </c>
      <c r="J716" t="s">
        <v>44</v>
      </c>
      <c r="K716" t="s">
        <v>45</v>
      </c>
      <c r="L716">
        <v>8</v>
      </c>
      <c r="M716">
        <v>62034</v>
      </c>
      <c r="N716" t="s">
        <v>46</v>
      </c>
    </row>
    <row r="717" spans="1:14" x14ac:dyDescent="0.2">
      <c r="A717" s="3">
        <f t="shared" si="12"/>
        <v>4602</v>
      </c>
      <c r="B717" t="str">
        <f>"00046020006"</f>
        <v>00046020006</v>
      </c>
      <c r="C717" t="s">
        <v>979</v>
      </c>
      <c r="D717" t="s">
        <v>386</v>
      </c>
      <c r="E717">
        <v>61</v>
      </c>
      <c r="F717">
        <v>8250</v>
      </c>
      <c r="G717" t="s">
        <v>867</v>
      </c>
      <c r="H717" t="s">
        <v>44</v>
      </c>
      <c r="I717" t="s">
        <v>45</v>
      </c>
      <c r="J717" t="s">
        <v>44</v>
      </c>
      <c r="K717" t="s">
        <v>45</v>
      </c>
      <c r="L717">
        <v>8</v>
      </c>
      <c r="M717">
        <v>61256</v>
      </c>
      <c r="N717" t="s">
        <v>46</v>
      </c>
    </row>
    <row r="718" spans="1:14" x14ac:dyDescent="0.2">
      <c r="A718" s="3">
        <f t="shared" si="12"/>
        <v>4603</v>
      </c>
      <c r="B718" t="str">
        <f>"00046030006"</f>
        <v>00046030006</v>
      </c>
      <c r="C718" t="s">
        <v>980</v>
      </c>
      <c r="D718" t="s">
        <v>42</v>
      </c>
      <c r="E718">
        <v>61</v>
      </c>
      <c r="F718">
        <v>1311</v>
      </c>
      <c r="G718" t="s">
        <v>956</v>
      </c>
      <c r="H718" t="s">
        <v>44</v>
      </c>
      <c r="I718" t="s">
        <v>45</v>
      </c>
      <c r="J718" t="s">
        <v>44</v>
      </c>
      <c r="K718" t="s">
        <v>45</v>
      </c>
      <c r="L718">
        <v>8</v>
      </c>
      <c r="M718">
        <v>62005</v>
      </c>
      <c r="N718" t="s">
        <v>46</v>
      </c>
    </row>
    <row r="719" spans="1:14" x14ac:dyDescent="0.2">
      <c r="A719" s="3">
        <f t="shared" si="12"/>
        <v>4604</v>
      </c>
      <c r="B719" t="str">
        <f>"00046040006"</f>
        <v>00046040006</v>
      </c>
      <c r="C719" t="s">
        <v>981</v>
      </c>
      <c r="D719" t="s">
        <v>622</v>
      </c>
      <c r="E719">
        <v>61</v>
      </c>
      <c r="F719">
        <v>1205</v>
      </c>
      <c r="G719" t="s">
        <v>325</v>
      </c>
      <c r="H719" t="s">
        <v>44</v>
      </c>
      <c r="I719" t="s">
        <v>45</v>
      </c>
      <c r="J719" t="s">
        <v>44</v>
      </c>
      <c r="K719" t="s">
        <v>45</v>
      </c>
      <c r="L719">
        <v>9</v>
      </c>
      <c r="M719">
        <v>62050</v>
      </c>
      <c r="N719" t="s">
        <v>46</v>
      </c>
    </row>
    <row r="720" spans="1:14" x14ac:dyDescent="0.2">
      <c r="A720" s="3">
        <f t="shared" si="12"/>
        <v>4605</v>
      </c>
      <c r="B720" t="str">
        <f>"00046050006"</f>
        <v>00046050006</v>
      </c>
      <c r="C720" t="s">
        <v>982</v>
      </c>
      <c r="D720" t="s">
        <v>42</v>
      </c>
      <c r="E720">
        <v>61</v>
      </c>
      <c r="F720">
        <v>1311</v>
      </c>
      <c r="G720" t="s">
        <v>956</v>
      </c>
      <c r="H720" t="s">
        <v>44</v>
      </c>
      <c r="I720" t="s">
        <v>45</v>
      </c>
      <c r="J720" t="s">
        <v>44</v>
      </c>
      <c r="K720" t="s">
        <v>45</v>
      </c>
      <c r="L720">
        <v>8</v>
      </c>
      <c r="M720">
        <v>62001</v>
      </c>
      <c r="N720" t="s">
        <v>46</v>
      </c>
    </row>
    <row r="721" spans="1:14" x14ac:dyDescent="0.2">
      <c r="A721" s="3">
        <f t="shared" si="12"/>
        <v>4606</v>
      </c>
      <c r="B721" t="str">
        <f>"00046060006"</f>
        <v>00046060006</v>
      </c>
      <c r="C721" t="s">
        <v>983</v>
      </c>
      <c r="D721" t="s">
        <v>216</v>
      </c>
      <c r="E721">
        <v>61</v>
      </c>
      <c r="F721">
        <v>565</v>
      </c>
      <c r="G721" t="s">
        <v>984</v>
      </c>
      <c r="H721" t="s">
        <v>44</v>
      </c>
      <c r="I721" t="s">
        <v>45</v>
      </c>
      <c r="J721" t="s">
        <v>44</v>
      </c>
      <c r="K721" t="s">
        <v>45</v>
      </c>
      <c r="L721">
        <v>8</v>
      </c>
      <c r="M721">
        <v>62036</v>
      </c>
      <c r="N721" t="s">
        <v>46</v>
      </c>
    </row>
    <row r="722" spans="1:14" x14ac:dyDescent="0.2">
      <c r="A722" s="3">
        <f t="shared" si="12"/>
        <v>4613</v>
      </c>
      <c r="B722" t="str">
        <f>"00046130012"</f>
        <v>00046130012</v>
      </c>
      <c r="C722" t="s">
        <v>985</v>
      </c>
      <c r="D722" t="s">
        <v>622</v>
      </c>
      <c r="E722">
        <v>61</v>
      </c>
      <c r="F722">
        <v>1205</v>
      </c>
      <c r="G722" t="s">
        <v>325</v>
      </c>
      <c r="H722" t="s">
        <v>44</v>
      </c>
      <c r="I722" t="s">
        <v>45</v>
      </c>
      <c r="J722" t="s">
        <v>44</v>
      </c>
      <c r="K722" t="s">
        <v>45</v>
      </c>
      <c r="L722">
        <v>8</v>
      </c>
      <c r="M722">
        <v>61274</v>
      </c>
      <c r="N722" t="s">
        <v>46</v>
      </c>
    </row>
    <row r="723" spans="1:14" x14ac:dyDescent="0.2">
      <c r="A723" s="3">
        <f t="shared" si="12"/>
        <v>4620</v>
      </c>
      <c r="B723" t="str">
        <f>"00046200006"</f>
        <v>00046200006</v>
      </c>
      <c r="C723" t="s">
        <v>986</v>
      </c>
      <c r="D723" t="s">
        <v>386</v>
      </c>
      <c r="E723">
        <v>61</v>
      </c>
      <c r="F723">
        <v>8250</v>
      </c>
      <c r="G723" t="s">
        <v>867</v>
      </c>
      <c r="H723" t="s">
        <v>44</v>
      </c>
      <c r="I723" t="s">
        <v>45</v>
      </c>
      <c r="J723" t="s">
        <v>44</v>
      </c>
      <c r="K723" t="s">
        <v>45</v>
      </c>
      <c r="L723">
        <v>8</v>
      </c>
      <c r="M723">
        <v>61269</v>
      </c>
      <c r="N723" t="s">
        <v>46</v>
      </c>
    </row>
    <row r="724" spans="1:14" x14ac:dyDescent="0.2">
      <c r="A724" s="3">
        <f t="shared" si="12"/>
        <v>4621</v>
      </c>
      <c r="B724" t="str">
        <f>"00046210006"</f>
        <v>00046210006</v>
      </c>
      <c r="C724" t="s">
        <v>987</v>
      </c>
      <c r="D724" t="s">
        <v>42</v>
      </c>
      <c r="E724">
        <v>61</v>
      </c>
      <c r="F724">
        <v>1311</v>
      </c>
      <c r="G724" t="s">
        <v>956</v>
      </c>
      <c r="H724" t="s">
        <v>44</v>
      </c>
      <c r="I724" t="s">
        <v>45</v>
      </c>
      <c r="J724" t="s">
        <v>44</v>
      </c>
      <c r="K724" t="s">
        <v>45</v>
      </c>
      <c r="L724">
        <v>8</v>
      </c>
      <c r="M724">
        <v>62028</v>
      </c>
      <c r="N724" t="s">
        <v>46</v>
      </c>
    </row>
    <row r="725" spans="1:14" x14ac:dyDescent="0.2">
      <c r="A725" s="3">
        <f t="shared" si="12"/>
        <v>4625</v>
      </c>
      <c r="B725" t="str">
        <f>"00046250024"</f>
        <v>00046250024</v>
      </c>
      <c r="C725" t="s">
        <v>988</v>
      </c>
      <c r="D725" t="s">
        <v>42</v>
      </c>
      <c r="E725">
        <v>82</v>
      </c>
      <c r="F725">
        <v>337</v>
      </c>
      <c r="G725" t="s">
        <v>429</v>
      </c>
      <c r="H725" t="s">
        <v>44</v>
      </c>
      <c r="I725" t="s">
        <v>45</v>
      </c>
      <c r="J725" t="s">
        <v>44</v>
      </c>
      <c r="K725" t="s">
        <v>45</v>
      </c>
      <c r="L725">
        <v>9</v>
      </c>
      <c r="M725">
        <v>70149</v>
      </c>
      <c r="N725" t="s">
        <v>46</v>
      </c>
    </row>
    <row r="726" spans="1:14" x14ac:dyDescent="0.2">
      <c r="A726" s="3">
        <f t="shared" si="12"/>
        <v>4638</v>
      </c>
      <c r="B726" t="str">
        <f>"00046380024"</f>
        <v>00046380024</v>
      </c>
      <c r="C726" t="s">
        <v>989</v>
      </c>
      <c r="D726" t="s">
        <v>42</v>
      </c>
      <c r="E726">
        <v>82</v>
      </c>
      <c r="F726">
        <v>337</v>
      </c>
      <c r="G726" t="s">
        <v>429</v>
      </c>
      <c r="H726" t="s">
        <v>44</v>
      </c>
      <c r="I726" t="s">
        <v>45</v>
      </c>
      <c r="J726" t="s">
        <v>44</v>
      </c>
      <c r="K726" t="s">
        <v>45</v>
      </c>
      <c r="L726">
        <v>8</v>
      </c>
      <c r="M726">
        <v>70120</v>
      </c>
      <c r="N726" t="s">
        <v>46</v>
      </c>
    </row>
    <row r="727" spans="1:14" x14ac:dyDescent="0.2">
      <c r="A727" s="3">
        <f t="shared" si="12"/>
        <v>4642</v>
      </c>
      <c r="B727" t="str">
        <f>"00046420016"</f>
        <v>00046420016</v>
      </c>
      <c r="C727" t="s">
        <v>990</v>
      </c>
      <c r="D727" t="s">
        <v>42</v>
      </c>
      <c r="E727">
        <v>82</v>
      </c>
      <c r="F727">
        <v>337</v>
      </c>
      <c r="G727" t="s">
        <v>429</v>
      </c>
      <c r="H727" t="s">
        <v>44</v>
      </c>
      <c r="I727" t="s">
        <v>45</v>
      </c>
      <c r="J727" t="s">
        <v>44</v>
      </c>
      <c r="K727" t="s">
        <v>45</v>
      </c>
      <c r="L727">
        <v>8</v>
      </c>
      <c r="M727">
        <v>70091</v>
      </c>
      <c r="N727" t="s">
        <v>46</v>
      </c>
    </row>
    <row r="728" spans="1:14" x14ac:dyDescent="0.2">
      <c r="A728" s="3">
        <f t="shared" si="12"/>
        <v>4699</v>
      </c>
      <c r="B728" t="str">
        <f>"00046990001"</f>
        <v>00046990001</v>
      </c>
      <c r="C728" t="s">
        <v>991</v>
      </c>
      <c r="D728" t="s">
        <v>337</v>
      </c>
      <c r="E728">
        <v>92</v>
      </c>
      <c r="F728">
        <v>4822</v>
      </c>
      <c r="G728" t="s">
        <v>992</v>
      </c>
      <c r="H728">
        <v>5</v>
      </c>
      <c r="I728" t="s">
        <v>34</v>
      </c>
      <c r="J728">
        <v>3</v>
      </c>
      <c r="K728" t="s">
        <v>34</v>
      </c>
      <c r="L728">
        <v>8</v>
      </c>
      <c r="M728">
        <v>91102</v>
      </c>
      <c r="N728">
        <v>2</v>
      </c>
    </row>
    <row r="729" spans="1:14" x14ac:dyDescent="0.2">
      <c r="A729" s="3">
        <f t="shared" si="12"/>
        <v>4706</v>
      </c>
      <c r="B729" t="str">
        <f>"00047060009"</f>
        <v>00047060009</v>
      </c>
      <c r="C729" t="s">
        <v>993</v>
      </c>
      <c r="D729" t="s">
        <v>42</v>
      </c>
      <c r="E729">
        <v>44</v>
      </c>
      <c r="F729">
        <v>6916</v>
      </c>
      <c r="G729" t="s">
        <v>60</v>
      </c>
      <c r="H729">
        <v>12</v>
      </c>
      <c r="I729" t="s">
        <v>25</v>
      </c>
      <c r="J729">
        <v>9</v>
      </c>
      <c r="K729" t="s">
        <v>25</v>
      </c>
      <c r="L729">
        <v>8</v>
      </c>
      <c r="M729">
        <v>66017</v>
      </c>
      <c r="N729">
        <v>3</v>
      </c>
    </row>
    <row r="730" spans="1:14" x14ac:dyDescent="0.2">
      <c r="A730" s="3">
        <f t="shared" si="12"/>
        <v>4709</v>
      </c>
      <c r="B730" t="str">
        <f>"00047090024"</f>
        <v>00047090024</v>
      </c>
      <c r="C730" t="s">
        <v>994</v>
      </c>
      <c r="D730" t="s">
        <v>36</v>
      </c>
      <c r="E730">
        <v>82</v>
      </c>
      <c r="F730">
        <v>2131</v>
      </c>
      <c r="G730" t="s">
        <v>241</v>
      </c>
      <c r="H730" t="s">
        <v>44</v>
      </c>
      <c r="I730" t="s">
        <v>45</v>
      </c>
      <c r="J730" t="s">
        <v>44</v>
      </c>
      <c r="K730" t="s">
        <v>45</v>
      </c>
      <c r="L730">
        <v>8</v>
      </c>
      <c r="M730">
        <v>71001</v>
      </c>
      <c r="N730" t="s">
        <v>46</v>
      </c>
    </row>
    <row r="731" spans="1:14" x14ac:dyDescent="0.2">
      <c r="A731" s="3">
        <f t="shared" si="12"/>
        <v>4729</v>
      </c>
      <c r="B731" t="str">
        <f>"00047290008"</f>
        <v>00047290008</v>
      </c>
      <c r="C731" t="s">
        <v>995</v>
      </c>
      <c r="D731" t="s">
        <v>52</v>
      </c>
      <c r="E731">
        <v>31</v>
      </c>
      <c r="F731">
        <v>3453</v>
      </c>
      <c r="G731" t="s">
        <v>91</v>
      </c>
      <c r="H731">
        <v>17</v>
      </c>
      <c r="I731" t="s">
        <v>34</v>
      </c>
      <c r="J731">
        <v>11</v>
      </c>
      <c r="K731" t="s">
        <v>34</v>
      </c>
      <c r="L731">
        <v>6</v>
      </c>
      <c r="M731">
        <v>52500</v>
      </c>
      <c r="N731">
        <v>6</v>
      </c>
    </row>
    <row r="732" spans="1:14" x14ac:dyDescent="0.2">
      <c r="A732" s="3">
        <f t="shared" si="12"/>
        <v>4731</v>
      </c>
      <c r="B732" t="str">
        <f>"00047310008"</f>
        <v>00047310008</v>
      </c>
      <c r="C732" t="s">
        <v>996</v>
      </c>
      <c r="D732" t="s">
        <v>52</v>
      </c>
      <c r="E732">
        <v>31</v>
      </c>
      <c r="F732">
        <v>3453</v>
      </c>
      <c r="G732" t="s">
        <v>91</v>
      </c>
      <c r="H732">
        <v>17</v>
      </c>
      <c r="I732" t="s">
        <v>34</v>
      </c>
      <c r="J732">
        <v>11</v>
      </c>
      <c r="K732" t="s">
        <v>34</v>
      </c>
      <c r="L732">
        <v>6</v>
      </c>
      <c r="M732">
        <v>52523</v>
      </c>
      <c r="N732">
        <v>6</v>
      </c>
    </row>
    <row r="733" spans="1:14" x14ac:dyDescent="0.2">
      <c r="A733" s="3">
        <f t="shared" si="12"/>
        <v>4738</v>
      </c>
      <c r="B733" t="str">
        <f>"00047380004"</f>
        <v>00047380004</v>
      </c>
      <c r="C733" t="s">
        <v>997</v>
      </c>
      <c r="D733" t="s">
        <v>67</v>
      </c>
      <c r="E733">
        <v>33</v>
      </c>
      <c r="F733">
        <v>706</v>
      </c>
      <c r="G733" t="s">
        <v>998</v>
      </c>
      <c r="H733">
        <v>25</v>
      </c>
      <c r="I733" t="s">
        <v>34</v>
      </c>
      <c r="J733">
        <v>18</v>
      </c>
      <c r="K733" t="s">
        <v>34</v>
      </c>
      <c r="L733">
        <v>8</v>
      </c>
      <c r="M733">
        <v>82170</v>
      </c>
      <c r="N733">
        <v>7</v>
      </c>
    </row>
    <row r="734" spans="1:14" x14ac:dyDescent="0.2">
      <c r="A734" s="3">
        <f t="shared" si="12"/>
        <v>4744</v>
      </c>
      <c r="B734" t="str">
        <f>"00047440005"</f>
        <v>00047440005</v>
      </c>
      <c r="C734" t="s">
        <v>999</v>
      </c>
      <c r="D734" t="s">
        <v>52</v>
      </c>
      <c r="E734">
        <v>33</v>
      </c>
      <c r="F734">
        <v>4613</v>
      </c>
      <c r="G734" t="s">
        <v>1000</v>
      </c>
      <c r="H734">
        <v>29</v>
      </c>
      <c r="I734" t="s">
        <v>34</v>
      </c>
      <c r="J734">
        <v>20</v>
      </c>
      <c r="K734" t="s">
        <v>34</v>
      </c>
      <c r="L734">
        <v>5</v>
      </c>
      <c r="M734" t="s">
        <v>65</v>
      </c>
      <c r="N734">
        <v>9</v>
      </c>
    </row>
    <row r="735" spans="1:14" x14ac:dyDescent="0.2">
      <c r="A735" s="3">
        <f t="shared" si="12"/>
        <v>4746</v>
      </c>
      <c r="B735" t="str">
        <f>"00047460005"</f>
        <v>00047460005</v>
      </c>
      <c r="C735" t="s">
        <v>1001</v>
      </c>
      <c r="D735" t="s">
        <v>52</v>
      </c>
      <c r="E735">
        <v>33</v>
      </c>
      <c r="F735">
        <v>2779</v>
      </c>
      <c r="G735" t="s">
        <v>411</v>
      </c>
      <c r="H735">
        <v>42</v>
      </c>
      <c r="I735" t="s">
        <v>34</v>
      </c>
      <c r="J735">
        <v>32</v>
      </c>
      <c r="K735" t="s">
        <v>34</v>
      </c>
      <c r="L735">
        <v>5</v>
      </c>
      <c r="M735" t="s">
        <v>65</v>
      </c>
      <c r="N735">
        <v>10</v>
      </c>
    </row>
    <row r="736" spans="1:14" x14ac:dyDescent="0.2">
      <c r="A736" s="3">
        <f t="shared" si="12"/>
        <v>4748</v>
      </c>
      <c r="B736" t="str">
        <f>"00047480006"</f>
        <v>00047480006</v>
      </c>
      <c r="C736" t="s">
        <v>1002</v>
      </c>
      <c r="D736" t="s">
        <v>52</v>
      </c>
      <c r="E736">
        <v>33</v>
      </c>
      <c r="F736">
        <v>4613</v>
      </c>
      <c r="G736" t="s">
        <v>1000</v>
      </c>
      <c r="H736">
        <v>17</v>
      </c>
      <c r="I736" t="s">
        <v>34</v>
      </c>
      <c r="J736">
        <v>11</v>
      </c>
      <c r="K736" t="s">
        <v>34</v>
      </c>
      <c r="L736">
        <v>6</v>
      </c>
      <c r="M736">
        <v>1525</v>
      </c>
      <c r="N736">
        <v>6</v>
      </c>
    </row>
    <row r="737" spans="1:14" x14ac:dyDescent="0.2">
      <c r="A737" s="3">
        <f t="shared" si="12"/>
        <v>4772</v>
      </c>
      <c r="B737" t="str">
        <f>"00047720003"</f>
        <v>00047720003</v>
      </c>
      <c r="C737" t="s">
        <v>1003</v>
      </c>
      <c r="D737" t="s">
        <v>42</v>
      </c>
      <c r="E737">
        <v>83</v>
      </c>
      <c r="F737">
        <v>4678</v>
      </c>
      <c r="G737" t="s">
        <v>55</v>
      </c>
      <c r="H737" t="s">
        <v>44</v>
      </c>
      <c r="I737" t="s">
        <v>45</v>
      </c>
      <c r="J737" t="s">
        <v>44</v>
      </c>
      <c r="K737" t="s">
        <v>45</v>
      </c>
      <c r="L737">
        <v>8</v>
      </c>
      <c r="M737">
        <v>67197</v>
      </c>
      <c r="N737" t="s">
        <v>46</v>
      </c>
    </row>
    <row r="738" spans="1:14" x14ac:dyDescent="0.2">
      <c r="A738" s="3">
        <f t="shared" si="12"/>
        <v>4772</v>
      </c>
      <c r="B738" t="str">
        <f>"00047720054"</f>
        <v>00047720054</v>
      </c>
      <c r="C738" t="s">
        <v>1003</v>
      </c>
      <c r="D738" t="s">
        <v>42</v>
      </c>
      <c r="E738">
        <v>83</v>
      </c>
      <c r="F738">
        <v>4678</v>
      </c>
      <c r="G738" t="s">
        <v>55</v>
      </c>
      <c r="H738" t="s">
        <v>44</v>
      </c>
      <c r="I738" t="s">
        <v>45</v>
      </c>
      <c r="J738" t="s">
        <v>44</v>
      </c>
      <c r="K738" t="s">
        <v>45</v>
      </c>
      <c r="L738">
        <v>5</v>
      </c>
      <c r="M738">
        <v>52638</v>
      </c>
      <c r="N738" t="s">
        <v>46</v>
      </c>
    </row>
    <row r="739" spans="1:14" x14ac:dyDescent="0.2">
      <c r="A739" s="3">
        <f t="shared" si="12"/>
        <v>4870</v>
      </c>
      <c r="B739" t="str">
        <f>"00048700001"</f>
        <v>00048700001</v>
      </c>
      <c r="C739" t="s">
        <v>1004</v>
      </c>
      <c r="D739" t="s">
        <v>337</v>
      </c>
      <c r="E739">
        <v>91</v>
      </c>
      <c r="F739">
        <v>8018</v>
      </c>
      <c r="G739" t="s">
        <v>322</v>
      </c>
      <c r="H739">
        <v>9</v>
      </c>
      <c r="I739" t="s">
        <v>34</v>
      </c>
      <c r="J739">
        <v>6</v>
      </c>
      <c r="K739" t="s">
        <v>34</v>
      </c>
      <c r="L739">
        <v>8</v>
      </c>
      <c r="M739">
        <v>91057</v>
      </c>
      <c r="N739">
        <v>2</v>
      </c>
    </row>
    <row r="740" spans="1:14" x14ac:dyDescent="0.2">
      <c r="A740" s="3">
        <f t="shared" si="12"/>
        <v>4947</v>
      </c>
      <c r="B740" t="str">
        <f>"00049470014"</f>
        <v>00049470014</v>
      </c>
      <c r="C740" t="s">
        <v>1005</v>
      </c>
      <c r="D740" t="s">
        <v>115</v>
      </c>
      <c r="E740">
        <v>72</v>
      </c>
      <c r="F740">
        <v>1695</v>
      </c>
      <c r="G740" t="s">
        <v>627</v>
      </c>
      <c r="H740">
        <v>60</v>
      </c>
      <c r="I740" t="s">
        <v>34</v>
      </c>
      <c r="J740">
        <v>44</v>
      </c>
      <c r="K740" t="s">
        <v>34</v>
      </c>
      <c r="L740">
        <v>8</v>
      </c>
      <c r="M740">
        <v>74149</v>
      </c>
      <c r="N740">
        <v>16</v>
      </c>
    </row>
    <row r="741" spans="1:14" x14ac:dyDescent="0.2">
      <c r="A741" s="3">
        <f t="shared" si="12"/>
        <v>5000</v>
      </c>
      <c r="B741" t="str">
        <f>"00050000006"</f>
        <v>00050000006</v>
      </c>
      <c r="C741" t="s">
        <v>1006</v>
      </c>
      <c r="D741" t="s">
        <v>23</v>
      </c>
      <c r="E741">
        <v>62</v>
      </c>
      <c r="F741">
        <v>2120</v>
      </c>
      <c r="G741" t="s">
        <v>1007</v>
      </c>
      <c r="H741">
        <v>8</v>
      </c>
      <c r="I741" t="s">
        <v>25</v>
      </c>
      <c r="J741">
        <v>6</v>
      </c>
      <c r="K741" t="s">
        <v>25</v>
      </c>
      <c r="L741">
        <v>8</v>
      </c>
      <c r="M741">
        <v>95143</v>
      </c>
      <c r="N741">
        <v>2</v>
      </c>
    </row>
    <row r="742" spans="1:14" x14ac:dyDescent="0.2">
      <c r="A742" s="3">
        <f t="shared" si="12"/>
        <v>5024</v>
      </c>
      <c r="B742" t="str">
        <f>"00050240006"</f>
        <v>00050240006</v>
      </c>
      <c r="C742" t="s">
        <v>1008</v>
      </c>
      <c r="D742" t="s">
        <v>686</v>
      </c>
      <c r="E742">
        <v>83</v>
      </c>
      <c r="F742">
        <v>8023</v>
      </c>
      <c r="G742" t="s">
        <v>1009</v>
      </c>
      <c r="H742">
        <v>16</v>
      </c>
      <c r="I742" t="s">
        <v>25</v>
      </c>
      <c r="J742">
        <v>13</v>
      </c>
      <c r="K742" t="s">
        <v>25</v>
      </c>
      <c r="L742">
        <v>8</v>
      </c>
      <c r="M742">
        <v>67204</v>
      </c>
      <c r="N742">
        <v>3</v>
      </c>
    </row>
    <row r="743" spans="1:14" x14ac:dyDescent="0.2">
      <c r="A743" s="3">
        <f t="shared" si="12"/>
        <v>5025</v>
      </c>
      <c r="B743" t="str">
        <f>"00050250016"</f>
        <v>00050250016</v>
      </c>
      <c r="C743" t="s">
        <v>1010</v>
      </c>
      <c r="D743" t="s">
        <v>42</v>
      </c>
      <c r="E743">
        <v>83</v>
      </c>
      <c r="F743">
        <v>3847</v>
      </c>
      <c r="G743" t="s">
        <v>378</v>
      </c>
      <c r="H743" t="s">
        <v>44</v>
      </c>
      <c r="I743" t="s">
        <v>45</v>
      </c>
      <c r="J743" t="s">
        <v>44</v>
      </c>
      <c r="K743" t="s">
        <v>45</v>
      </c>
      <c r="L743">
        <v>8</v>
      </c>
      <c r="M743">
        <v>67193</v>
      </c>
      <c r="N743" t="s">
        <v>46</v>
      </c>
    </row>
    <row r="744" spans="1:14" x14ac:dyDescent="0.2">
      <c r="A744" s="3">
        <f t="shared" si="12"/>
        <v>5027</v>
      </c>
      <c r="B744" t="str">
        <f>"00050270008"</f>
        <v>00050270008</v>
      </c>
      <c r="C744" t="s">
        <v>1011</v>
      </c>
      <c r="D744" t="s">
        <v>686</v>
      </c>
      <c r="E744">
        <v>83</v>
      </c>
      <c r="F744">
        <v>8023</v>
      </c>
      <c r="G744" t="s">
        <v>1009</v>
      </c>
      <c r="H744">
        <v>16</v>
      </c>
      <c r="I744" t="s">
        <v>25</v>
      </c>
      <c r="J744">
        <v>13</v>
      </c>
      <c r="K744" t="s">
        <v>25</v>
      </c>
      <c r="L744">
        <v>8</v>
      </c>
      <c r="M744">
        <v>67226</v>
      </c>
      <c r="N744">
        <v>3</v>
      </c>
    </row>
    <row r="745" spans="1:14" x14ac:dyDescent="0.2">
      <c r="A745" s="3">
        <f t="shared" si="12"/>
        <v>5033</v>
      </c>
      <c r="B745" t="str">
        <f>"00050330020"</f>
        <v>00050330020</v>
      </c>
      <c r="C745" t="s">
        <v>1012</v>
      </c>
      <c r="D745" t="s">
        <v>42</v>
      </c>
      <c r="E745">
        <v>83</v>
      </c>
      <c r="F745">
        <v>4838</v>
      </c>
      <c r="G745" t="s">
        <v>536</v>
      </c>
      <c r="H745" t="s">
        <v>44</v>
      </c>
      <c r="I745" t="s">
        <v>45</v>
      </c>
      <c r="J745" t="s">
        <v>44</v>
      </c>
      <c r="K745" t="s">
        <v>45</v>
      </c>
      <c r="L745">
        <v>8</v>
      </c>
      <c r="M745">
        <v>72272</v>
      </c>
      <c r="N745" t="s">
        <v>46</v>
      </c>
    </row>
    <row r="746" spans="1:14" x14ac:dyDescent="0.2">
      <c r="A746" s="3">
        <f t="shared" si="12"/>
        <v>5035</v>
      </c>
      <c r="B746" t="str">
        <f>"00050350006"</f>
        <v>00050350006</v>
      </c>
      <c r="C746" t="s">
        <v>1013</v>
      </c>
      <c r="D746" t="s">
        <v>622</v>
      </c>
      <c r="E746">
        <v>83</v>
      </c>
      <c r="F746">
        <v>1224</v>
      </c>
      <c r="G746" t="s">
        <v>1014</v>
      </c>
      <c r="H746" t="s">
        <v>44</v>
      </c>
      <c r="I746" t="s">
        <v>45</v>
      </c>
      <c r="J746" t="s">
        <v>44</v>
      </c>
      <c r="K746" t="s">
        <v>45</v>
      </c>
      <c r="L746">
        <v>8</v>
      </c>
      <c r="M746">
        <v>67179</v>
      </c>
      <c r="N746" t="s">
        <v>46</v>
      </c>
    </row>
    <row r="747" spans="1:14" x14ac:dyDescent="0.2">
      <c r="A747" s="3">
        <f t="shared" si="12"/>
        <v>5048</v>
      </c>
      <c r="B747" t="str">
        <f>"00050480024"</f>
        <v>00050480024</v>
      </c>
      <c r="C747" t="s">
        <v>1015</v>
      </c>
      <c r="D747" t="s">
        <v>42</v>
      </c>
      <c r="E747">
        <v>83</v>
      </c>
      <c r="F747">
        <v>4838</v>
      </c>
      <c r="G747" t="s">
        <v>536</v>
      </c>
      <c r="H747" t="s">
        <v>44</v>
      </c>
      <c r="I747" t="s">
        <v>45</v>
      </c>
      <c r="J747" t="s">
        <v>44</v>
      </c>
      <c r="K747" t="s">
        <v>45</v>
      </c>
      <c r="L747">
        <v>8</v>
      </c>
      <c r="M747">
        <v>67267</v>
      </c>
      <c r="N747" t="s">
        <v>46</v>
      </c>
    </row>
    <row r="748" spans="1:14" x14ac:dyDescent="0.2">
      <c r="A748" s="3">
        <f t="shared" si="12"/>
        <v>5064</v>
      </c>
      <c r="B748" t="str">
        <f>"00050640006"</f>
        <v>00050640006</v>
      </c>
      <c r="C748" t="s">
        <v>1016</v>
      </c>
      <c r="D748" t="s">
        <v>23</v>
      </c>
      <c r="E748">
        <v>62</v>
      </c>
      <c r="F748">
        <v>2120</v>
      </c>
      <c r="G748" t="s">
        <v>1007</v>
      </c>
      <c r="H748">
        <v>120</v>
      </c>
      <c r="I748" t="s">
        <v>34</v>
      </c>
      <c r="J748">
        <v>88</v>
      </c>
      <c r="K748" t="s">
        <v>34</v>
      </c>
      <c r="L748">
        <v>8</v>
      </c>
      <c r="M748">
        <v>95123</v>
      </c>
      <c r="N748">
        <v>32</v>
      </c>
    </row>
    <row r="749" spans="1:14" x14ac:dyDescent="0.2">
      <c r="A749" s="3">
        <f t="shared" si="12"/>
        <v>5074</v>
      </c>
      <c r="B749" t="str">
        <f>"00050740004"</f>
        <v>00050740004</v>
      </c>
      <c r="C749" t="s">
        <v>1017</v>
      </c>
      <c r="D749" t="s">
        <v>67</v>
      </c>
      <c r="E749">
        <v>31</v>
      </c>
      <c r="F749">
        <v>2503</v>
      </c>
      <c r="G749" t="s">
        <v>851</v>
      </c>
      <c r="H749">
        <v>17</v>
      </c>
      <c r="I749" t="s">
        <v>34</v>
      </c>
      <c r="J749">
        <v>11</v>
      </c>
      <c r="K749" t="s">
        <v>34</v>
      </c>
      <c r="L749">
        <v>8</v>
      </c>
      <c r="M749">
        <v>81025</v>
      </c>
      <c r="N749">
        <v>6</v>
      </c>
    </row>
    <row r="750" spans="1:14" x14ac:dyDescent="0.2">
      <c r="A750" s="3">
        <f t="shared" si="12"/>
        <v>5075</v>
      </c>
      <c r="B750" t="str">
        <f>"00050750004"</f>
        <v>00050750004</v>
      </c>
      <c r="C750" t="s">
        <v>1018</v>
      </c>
      <c r="D750" t="s">
        <v>67</v>
      </c>
      <c r="E750">
        <v>31</v>
      </c>
      <c r="F750">
        <v>2503</v>
      </c>
      <c r="G750" t="s">
        <v>851</v>
      </c>
      <c r="H750">
        <v>17</v>
      </c>
      <c r="I750" t="s">
        <v>34</v>
      </c>
      <c r="J750">
        <v>11</v>
      </c>
      <c r="K750" t="s">
        <v>34</v>
      </c>
      <c r="L750">
        <v>8</v>
      </c>
      <c r="M750">
        <v>80186</v>
      </c>
      <c r="N750">
        <v>6</v>
      </c>
    </row>
    <row r="751" spans="1:14" x14ac:dyDescent="0.2">
      <c r="A751" s="3">
        <f t="shared" si="12"/>
        <v>5076</v>
      </c>
      <c r="B751" t="str">
        <f>"00050760008"</f>
        <v>00050760008</v>
      </c>
      <c r="C751" t="s">
        <v>1019</v>
      </c>
      <c r="D751" t="s">
        <v>48</v>
      </c>
      <c r="E751">
        <v>30</v>
      </c>
      <c r="F751">
        <v>3601</v>
      </c>
      <c r="G751" t="s">
        <v>408</v>
      </c>
      <c r="H751">
        <v>20</v>
      </c>
      <c r="I751" t="s">
        <v>34</v>
      </c>
      <c r="J751">
        <v>14</v>
      </c>
      <c r="K751" t="s">
        <v>34</v>
      </c>
      <c r="L751">
        <v>8</v>
      </c>
      <c r="M751">
        <v>83105</v>
      </c>
      <c r="N751">
        <v>6</v>
      </c>
    </row>
    <row r="752" spans="1:14" x14ac:dyDescent="0.2">
      <c r="A752" s="3">
        <f t="shared" si="12"/>
        <v>5085</v>
      </c>
      <c r="B752" t="str">
        <f>"00050850010"</f>
        <v>00050850010</v>
      </c>
      <c r="C752" t="s">
        <v>1020</v>
      </c>
      <c r="D752" t="s">
        <v>36</v>
      </c>
      <c r="E752">
        <v>49</v>
      </c>
      <c r="F752">
        <v>1421</v>
      </c>
      <c r="G752" t="s">
        <v>972</v>
      </c>
      <c r="H752">
        <v>120</v>
      </c>
      <c r="I752" t="s">
        <v>34</v>
      </c>
      <c r="J752">
        <v>88</v>
      </c>
      <c r="K752" t="s">
        <v>34</v>
      </c>
      <c r="L752">
        <v>8</v>
      </c>
      <c r="M752">
        <v>67149</v>
      </c>
      <c r="N752">
        <v>32</v>
      </c>
    </row>
    <row r="753" spans="1:14" x14ac:dyDescent="0.2">
      <c r="A753" s="3">
        <f t="shared" si="12"/>
        <v>5088</v>
      </c>
      <c r="B753" t="str">
        <f>"00050880008"</f>
        <v>00050880008</v>
      </c>
      <c r="C753" t="s">
        <v>1021</v>
      </c>
      <c r="D753" t="s">
        <v>48</v>
      </c>
      <c r="E753">
        <v>30</v>
      </c>
      <c r="F753">
        <v>3601</v>
      </c>
      <c r="G753" t="s">
        <v>408</v>
      </c>
      <c r="H753">
        <v>24</v>
      </c>
      <c r="I753" t="s">
        <v>34</v>
      </c>
      <c r="J753">
        <v>18</v>
      </c>
      <c r="K753" t="s">
        <v>34</v>
      </c>
      <c r="L753">
        <v>6</v>
      </c>
      <c r="M753" t="s">
        <v>65</v>
      </c>
      <c r="N753">
        <v>6</v>
      </c>
    </row>
    <row r="754" spans="1:14" x14ac:dyDescent="0.2">
      <c r="A754" s="3">
        <f t="shared" si="12"/>
        <v>5090</v>
      </c>
      <c r="B754" t="str">
        <f>"00050900012"</f>
        <v>00050900012</v>
      </c>
      <c r="C754" t="s">
        <v>1022</v>
      </c>
      <c r="D754" t="s">
        <v>42</v>
      </c>
      <c r="E754">
        <v>83</v>
      </c>
      <c r="F754">
        <v>2131</v>
      </c>
      <c r="G754" t="s">
        <v>241</v>
      </c>
      <c r="H754" t="s">
        <v>44</v>
      </c>
      <c r="I754" t="s">
        <v>45</v>
      </c>
      <c r="J754" t="s">
        <v>44</v>
      </c>
      <c r="K754" t="s">
        <v>45</v>
      </c>
      <c r="L754">
        <v>8</v>
      </c>
      <c r="M754">
        <v>67258</v>
      </c>
      <c r="N754" t="s">
        <v>46</v>
      </c>
    </row>
    <row r="755" spans="1:14" x14ac:dyDescent="0.2">
      <c r="A755" s="3">
        <f t="shared" si="12"/>
        <v>5091</v>
      </c>
      <c r="B755" t="str">
        <f>"00050910008"</f>
        <v>00050910008</v>
      </c>
      <c r="C755" t="s">
        <v>1023</v>
      </c>
      <c r="D755" t="s">
        <v>42</v>
      </c>
      <c r="E755">
        <v>83</v>
      </c>
      <c r="F755">
        <v>2131</v>
      </c>
      <c r="G755" t="s">
        <v>241</v>
      </c>
      <c r="H755" t="s">
        <v>44</v>
      </c>
      <c r="I755" t="s">
        <v>45</v>
      </c>
      <c r="J755" t="s">
        <v>44</v>
      </c>
      <c r="K755" t="s">
        <v>45</v>
      </c>
      <c r="L755">
        <v>8</v>
      </c>
      <c r="M755">
        <v>67236</v>
      </c>
      <c r="N755" t="s">
        <v>46</v>
      </c>
    </row>
    <row r="756" spans="1:14" x14ac:dyDescent="0.2">
      <c r="A756" s="3">
        <f t="shared" si="12"/>
        <v>5100</v>
      </c>
      <c r="B756" t="str">
        <f>"00051000009"</f>
        <v>00051000009</v>
      </c>
      <c r="C756" t="s">
        <v>1024</v>
      </c>
      <c r="D756" t="s">
        <v>42</v>
      </c>
      <c r="E756">
        <v>44</v>
      </c>
      <c r="F756">
        <v>6916</v>
      </c>
      <c r="G756" t="s">
        <v>60</v>
      </c>
      <c r="H756">
        <v>12</v>
      </c>
      <c r="I756" t="s">
        <v>25</v>
      </c>
      <c r="J756">
        <v>9</v>
      </c>
      <c r="K756" t="s">
        <v>25</v>
      </c>
      <c r="L756">
        <v>8</v>
      </c>
      <c r="M756">
        <v>66038</v>
      </c>
      <c r="N756">
        <v>3</v>
      </c>
    </row>
    <row r="757" spans="1:14" x14ac:dyDescent="0.2">
      <c r="A757" s="3">
        <f t="shared" si="12"/>
        <v>5101</v>
      </c>
      <c r="B757" t="str">
        <f>"00051010022"</f>
        <v>00051010022</v>
      </c>
      <c r="C757" t="s">
        <v>1025</v>
      </c>
      <c r="D757" t="s">
        <v>604</v>
      </c>
      <c r="E757">
        <v>84</v>
      </c>
      <c r="F757">
        <v>4638</v>
      </c>
      <c r="G757" t="s">
        <v>1026</v>
      </c>
      <c r="H757" t="s">
        <v>44</v>
      </c>
      <c r="I757" t="s">
        <v>45</v>
      </c>
      <c r="J757" t="s">
        <v>44</v>
      </c>
      <c r="K757" t="s">
        <v>45</v>
      </c>
      <c r="L757">
        <v>8</v>
      </c>
      <c r="M757">
        <v>69047</v>
      </c>
      <c r="N757" t="s">
        <v>46</v>
      </c>
    </row>
    <row r="758" spans="1:14" x14ac:dyDescent="0.2">
      <c r="A758" s="3">
        <f t="shared" si="12"/>
        <v>5106</v>
      </c>
      <c r="B758" t="str">
        <f>"00051060009"</f>
        <v>00051060009</v>
      </c>
      <c r="C758" t="s">
        <v>1027</v>
      </c>
      <c r="D758" t="s">
        <v>604</v>
      </c>
      <c r="E758">
        <v>83</v>
      </c>
      <c r="F758">
        <v>2724</v>
      </c>
      <c r="G758" t="s">
        <v>1028</v>
      </c>
      <c r="H758">
        <v>30</v>
      </c>
      <c r="I758" t="s">
        <v>25</v>
      </c>
      <c r="J758">
        <v>24</v>
      </c>
      <c r="K758" t="s">
        <v>25</v>
      </c>
      <c r="L758">
        <v>8</v>
      </c>
      <c r="M758">
        <v>69005</v>
      </c>
      <c r="N758">
        <v>6</v>
      </c>
    </row>
    <row r="759" spans="1:14" x14ac:dyDescent="0.2">
      <c r="A759" s="3">
        <f t="shared" si="12"/>
        <v>5109</v>
      </c>
      <c r="B759" t="str">
        <f>"00051090006"</f>
        <v>00051090006</v>
      </c>
      <c r="C759" t="s">
        <v>1029</v>
      </c>
      <c r="D759" t="s">
        <v>543</v>
      </c>
      <c r="E759">
        <v>83</v>
      </c>
      <c r="F759">
        <v>1977</v>
      </c>
      <c r="G759" t="s">
        <v>1030</v>
      </c>
      <c r="H759" t="s">
        <v>44</v>
      </c>
      <c r="I759" t="s">
        <v>45</v>
      </c>
      <c r="J759" t="s">
        <v>44</v>
      </c>
      <c r="K759" t="s">
        <v>45</v>
      </c>
      <c r="L759">
        <v>8</v>
      </c>
      <c r="M759">
        <v>69008</v>
      </c>
      <c r="N759" t="s">
        <v>46</v>
      </c>
    </row>
    <row r="760" spans="1:14" x14ac:dyDescent="0.2">
      <c r="A760" s="3">
        <f t="shared" si="12"/>
        <v>5110</v>
      </c>
      <c r="B760" t="str">
        <f>"00051100008"</f>
        <v>00051100008</v>
      </c>
      <c r="C760" t="s">
        <v>1031</v>
      </c>
      <c r="D760" t="s">
        <v>686</v>
      </c>
      <c r="E760">
        <v>83</v>
      </c>
      <c r="F760">
        <v>8023</v>
      </c>
      <c r="G760" t="s">
        <v>1009</v>
      </c>
      <c r="H760">
        <v>35</v>
      </c>
      <c r="I760" t="s">
        <v>25</v>
      </c>
      <c r="J760">
        <v>29</v>
      </c>
      <c r="K760" t="s">
        <v>25</v>
      </c>
      <c r="L760">
        <v>8</v>
      </c>
      <c r="M760">
        <v>67201</v>
      </c>
      <c r="N760">
        <v>6</v>
      </c>
    </row>
    <row r="761" spans="1:14" x14ac:dyDescent="0.2">
      <c r="A761" s="3">
        <f t="shared" si="12"/>
        <v>5112</v>
      </c>
      <c r="B761" t="str">
        <f>"00051120020"</f>
        <v>00051120020</v>
      </c>
      <c r="C761" t="s">
        <v>1032</v>
      </c>
      <c r="D761" t="s">
        <v>622</v>
      </c>
      <c r="E761">
        <v>83</v>
      </c>
      <c r="F761">
        <v>1224</v>
      </c>
      <c r="G761" t="s">
        <v>1014</v>
      </c>
      <c r="H761" t="s">
        <v>44</v>
      </c>
      <c r="I761" t="s">
        <v>45</v>
      </c>
      <c r="J761" t="s">
        <v>44</v>
      </c>
      <c r="K761" t="s">
        <v>45</v>
      </c>
      <c r="L761">
        <v>8</v>
      </c>
      <c r="M761">
        <v>72267</v>
      </c>
      <c r="N761" t="s">
        <v>46</v>
      </c>
    </row>
    <row r="762" spans="1:14" x14ac:dyDescent="0.2">
      <c r="A762" s="3">
        <f t="shared" si="12"/>
        <v>5113</v>
      </c>
      <c r="B762" t="str">
        <f>"00051130014"</f>
        <v>00051130014</v>
      </c>
      <c r="C762" t="s">
        <v>1033</v>
      </c>
      <c r="D762" t="s">
        <v>115</v>
      </c>
      <c r="E762">
        <v>70</v>
      </c>
      <c r="F762">
        <v>3112</v>
      </c>
      <c r="G762" t="s">
        <v>245</v>
      </c>
      <c r="H762">
        <v>120</v>
      </c>
      <c r="I762" t="s">
        <v>34</v>
      </c>
      <c r="J762">
        <v>88</v>
      </c>
      <c r="K762" t="s">
        <v>34</v>
      </c>
      <c r="L762">
        <v>8</v>
      </c>
      <c r="M762">
        <v>66120</v>
      </c>
      <c r="N762">
        <v>32</v>
      </c>
    </row>
    <row r="763" spans="1:14" x14ac:dyDescent="0.2">
      <c r="A763" s="3">
        <f t="shared" si="12"/>
        <v>5114</v>
      </c>
      <c r="B763" t="str">
        <f>"00051140012"</f>
        <v>00051140012</v>
      </c>
      <c r="C763" t="s">
        <v>1034</v>
      </c>
      <c r="D763" t="s">
        <v>604</v>
      </c>
      <c r="E763">
        <v>84</v>
      </c>
      <c r="F763">
        <v>3640</v>
      </c>
      <c r="G763" t="s">
        <v>1035</v>
      </c>
      <c r="H763">
        <v>25</v>
      </c>
      <c r="I763" t="s">
        <v>25</v>
      </c>
      <c r="J763">
        <v>21</v>
      </c>
      <c r="K763" t="s">
        <v>25</v>
      </c>
      <c r="L763">
        <v>8</v>
      </c>
      <c r="M763">
        <v>69021</v>
      </c>
      <c r="N763">
        <v>4</v>
      </c>
    </row>
    <row r="764" spans="1:14" x14ac:dyDescent="0.2">
      <c r="A764" s="3">
        <f t="shared" si="12"/>
        <v>5124</v>
      </c>
      <c r="B764" t="str">
        <f>"00051240024"</f>
        <v>00051240024</v>
      </c>
      <c r="C764" t="s">
        <v>1036</v>
      </c>
      <c r="D764" t="s">
        <v>36</v>
      </c>
      <c r="E764">
        <v>82</v>
      </c>
      <c r="F764">
        <v>2131</v>
      </c>
      <c r="G764" t="s">
        <v>241</v>
      </c>
      <c r="H764" t="s">
        <v>44</v>
      </c>
      <c r="I764" t="s">
        <v>45</v>
      </c>
      <c r="J764" t="s">
        <v>44</v>
      </c>
      <c r="K764" t="s">
        <v>45</v>
      </c>
      <c r="L764">
        <v>8</v>
      </c>
      <c r="M764">
        <v>70245</v>
      </c>
      <c r="N764" t="s">
        <v>46</v>
      </c>
    </row>
    <row r="765" spans="1:14" x14ac:dyDescent="0.2">
      <c r="A765" s="3">
        <f t="shared" si="12"/>
        <v>5126</v>
      </c>
      <c r="B765" t="str">
        <f>"00051260030"</f>
        <v>00051260030</v>
      </c>
      <c r="C765" t="s">
        <v>1037</v>
      </c>
      <c r="D765" t="s">
        <v>36</v>
      </c>
      <c r="E765">
        <v>82</v>
      </c>
      <c r="F765">
        <v>2131</v>
      </c>
      <c r="G765" t="s">
        <v>241</v>
      </c>
      <c r="H765" t="s">
        <v>44</v>
      </c>
      <c r="I765" t="s">
        <v>45</v>
      </c>
      <c r="J765" t="s">
        <v>44</v>
      </c>
      <c r="K765" t="s">
        <v>45</v>
      </c>
      <c r="L765">
        <v>8</v>
      </c>
      <c r="M765">
        <v>70239</v>
      </c>
      <c r="N765" t="s">
        <v>46</v>
      </c>
    </row>
    <row r="766" spans="1:14" x14ac:dyDescent="0.2">
      <c r="A766" s="3">
        <f t="shared" si="12"/>
        <v>5129</v>
      </c>
      <c r="B766" t="str">
        <f>"00051290012"</f>
        <v>00051290012</v>
      </c>
      <c r="C766" t="s">
        <v>1038</v>
      </c>
      <c r="D766" t="s">
        <v>622</v>
      </c>
      <c r="E766">
        <v>83</v>
      </c>
      <c r="F766">
        <v>1224</v>
      </c>
      <c r="G766" t="s">
        <v>1014</v>
      </c>
      <c r="H766" t="s">
        <v>44</v>
      </c>
      <c r="I766" t="s">
        <v>45</v>
      </c>
      <c r="J766" t="s">
        <v>44</v>
      </c>
      <c r="K766" t="s">
        <v>45</v>
      </c>
      <c r="L766">
        <v>8</v>
      </c>
      <c r="M766">
        <v>67237</v>
      </c>
      <c r="N766" t="s">
        <v>46</v>
      </c>
    </row>
    <row r="767" spans="1:14" x14ac:dyDescent="0.2">
      <c r="A767" s="3">
        <f t="shared" si="12"/>
        <v>5130</v>
      </c>
      <c r="B767" t="str">
        <f>"00051300012"</f>
        <v>00051300012</v>
      </c>
      <c r="C767" t="s">
        <v>1039</v>
      </c>
      <c r="D767" t="s">
        <v>622</v>
      </c>
      <c r="E767">
        <v>83</v>
      </c>
      <c r="F767">
        <v>1224</v>
      </c>
      <c r="G767" t="s">
        <v>1014</v>
      </c>
      <c r="H767" t="s">
        <v>44</v>
      </c>
      <c r="I767" t="s">
        <v>45</v>
      </c>
      <c r="J767" t="s">
        <v>44</v>
      </c>
      <c r="K767" t="s">
        <v>45</v>
      </c>
      <c r="L767">
        <v>8</v>
      </c>
      <c r="M767">
        <v>67219</v>
      </c>
      <c r="N767" t="s">
        <v>46</v>
      </c>
    </row>
    <row r="768" spans="1:14" x14ac:dyDescent="0.2">
      <c r="A768" s="3">
        <f t="shared" si="12"/>
        <v>5133</v>
      </c>
      <c r="B768" t="str">
        <f>"00051330018"</f>
        <v>00051330018</v>
      </c>
      <c r="C768" t="s">
        <v>1040</v>
      </c>
      <c r="D768" t="s">
        <v>42</v>
      </c>
      <c r="E768">
        <v>82</v>
      </c>
      <c r="F768">
        <v>4287</v>
      </c>
      <c r="G768" t="s">
        <v>445</v>
      </c>
      <c r="H768" t="s">
        <v>44</v>
      </c>
      <c r="I768" t="s">
        <v>45</v>
      </c>
      <c r="J768" t="s">
        <v>44</v>
      </c>
      <c r="K768" t="s">
        <v>45</v>
      </c>
      <c r="L768">
        <v>8</v>
      </c>
      <c r="M768">
        <v>70179</v>
      </c>
      <c r="N768" t="s">
        <v>46</v>
      </c>
    </row>
    <row r="769" spans="1:14" x14ac:dyDescent="0.2">
      <c r="A769" s="3">
        <f t="shared" si="12"/>
        <v>5135</v>
      </c>
      <c r="B769" t="str">
        <f>"00051350024"</f>
        <v>00051350024</v>
      </c>
      <c r="C769" t="s">
        <v>1041</v>
      </c>
      <c r="D769" t="s">
        <v>543</v>
      </c>
      <c r="E769">
        <v>84</v>
      </c>
      <c r="F769">
        <v>1606</v>
      </c>
      <c r="G769" t="s">
        <v>1042</v>
      </c>
      <c r="H769" t="s">
        <v>44</v>
      </c>
      <c r="I769" t="s">
        <v>45</v>
      </c>
      <c r="J769" t="s">
        <v>44</v>
      </c>
      <c r="K769" t="s">
        <v>45</v>
      </c>
      <c r="L769">
        <v>8</v>
      </c>
      <c r="M769">
        <v>69058</v>
      </c>
      <c r="N769" t="s">
        <v>46</v>
      </c>
    </row>
    <row r="770" spans="1:14" x14ac:dyDescent="0.2">
      <c r="A770" s="3">
        <f t="shared" si="12"/>
        <v>5136</v>
      </c>
      <c r="B770" t="str">
        <f>"00051360018"</f>
        <v>00051360018</v>
      </c>
      <c r="C770" t="s">
        <v>1043</v>
      </c>
      <c r="D770" t="s">
        <v>543</v>
      </c>
      <c r="E770">
        <v>84</v>
      </c>
      <c r="F770">
        <v>1606</v>
      </c>
      <c r="G770" t="s">
        <v>1042</v>
      </c>
      <c r="H770" t="s">
        <v>44</v>
      </c>
      <c r="I770" t="s">
        <v>45</v>
      </c>
      <c r="J770" t="s">
        <v>44</v>
      </c>
      <c r="K770" t="s">
        <v>45</v>
      </c>
      <c r="L770">
        <v>8</v>
      </c>
      <c r="M770">
        <v>69080</v>
      </c>
      <c r="N770" t="s">
        <v>46</v>
      </c>
    </row>
    <row r="771" spans="1:14" x14ac:dyDescent="0.2">
      <c r="A771" s="3">
        <f t="shared" si="12"/>
        <v>5144</v>
      </c>
      <c r="B771" t="str">
        <f>"00051440021"</f>
        <v>00051440021</v>
      </c>
      <c r="C771" t="s">
        <v>1044</v>
      </c>
      <c r="D771" t="s">
        <v>622</v>
      </c>
      <c r="E771">
        <v>83</v>
      </c>
      <c r="F771">
        <v>1224</v>
      </c>
      <c r="G771" t="s">
        <v>1014</v>
      </c>
      <c r="H771" t="s">
        <v>44</v>
      </c>
      <c r="I771" t="s">
        <v>45</v>
      </c>
      <c r="J771" t="s">
        <v>44</v>
      </c>
      <c r="K771" t="s">
        <v>45</v>
      </c>
      <c r="L771">
        <v>8</v>
      </c>
      <c r="M771">
        <v>67259</v>
      </c>
      <c r="N771" t="s">
        <v>46</v>
      </c>
    </row>
    <row r="772" spans="1:14" x14ac:dyDescent="0.2">
      <c r="A772" s="3">
        <f t="shared" ref="A772:A835" si="13">(B772-RIGHT(B772,4))/10000</f>
        <v>5147</v>
      </c>
      <c r="B772" t="str">
        <f>"00051470006"</f>
        <v>00051470006</v>
      </c>
      <c r="C772" t="s">
        <v>1045</v>
      </c>
      <c r="D772" t="s">
        <v>42</v>
      </c>
      <c r="E772">
        <v>83</v>
      </c>
      <c r="F772">
        <v>4838</v>
      </c>
      <c r="G772" t="s">
        <v>536</v>
      </c>
      <c r="H772" t="s">
        <v>44</v>
      </c>
      <c r="I772" t="s">
        <v>45</v>
      </c>
      <c r="J772" t="s">
        <v>44</v>
      </c>
      <c r="K772" t="s">
        <v>45</v>
      </c>
      <c r="L772">
        <v>8</v>
      </c>
      <c r="M772">
        <v>67232</v>
      </c>
      <c r="N772" t="s">
        <v>46</v>
      </c>
    </row>
    <row r="773" spans="1:14" x14ac:dyDescent="0.2">
      <c r="A773" s="3">
        <f t="shared" si="13"/>
        <v>5164</v>
      </c>
      <c r="B773" t="str">
        <f>"00051640016"</f>
        <v>00051640016</v>
      </c>
      <c r="C773" t="s">
        <v>1046</v>
      </c>
      <c r="D773" t="s">
        <v>42</v>
      </c>
      <c r="E773">
        <v>82</v>
      </c>
      <c r="F773">
        <v>8237</v>
      </c>
      <c r="G773" t="s">
        <v>378</v>
      </c>
      <c r="H773" t="s">
        <v>44</v>
      </c>
      <c r="I773" t="s">
        <v>45</v>
      </c>
      <c r="J773" t="s">
        <v>44</v>
      </c>
      <c r="K773" t="s">
        <v>45</v>
      </c>
      <c r="L773">
        <v>8</v>
      </c>
      <c r="M773">
        <v>70102</v>
      </c>
      <c r="N773" t="s">
        <v>46</v>
      </c>
    </row>
    <row r="774" spans="1:14" x14ac:dyDescent="0.2">
      <c r="A774" s="3">
        <f t="shared" si="13"/>
        <v>5168</v>
      </c>
      <c r="B774" t="str">
        <f>"00051680016"</f>
        <v>00051680016</v>
      </c>
      <c r="C774" t="s">
        <v>1047</v>
      </c>
      <c r="D774" t="s">
        <v>42</v>
      </c>
      <c r="E774">
        <v>82</v>
      </c>
      <c r="F774">
        <v>8237</v>
      </c>
      <c r="G774" t="s">
        <v>378</v>
      </c>
      <c r="H774" t="s">
        <v>44</v>
      </c>
      <c r="I774" t="s">
        <v>45</v>
      </c>
      <c r="J774" t="s">
        <v>44</v>
      </c>
      <c r="K774" t="s">
        <v>45</v>
      </c>
      <c r="L774">
        <v>8</v>
      </c>
      <c r="M774">
        <v>70083</v>
      </c>
      <c r="N774" t="s">
        <v>46</v>
      </c>
    </row>
    <row r="775" spans="1:14" x14ac:dyDescent="0.2">
      <c r="A775" s="3">
        <f t="shared" si="13"/>
        <v>5171</v>
      </c>
      <c r="B775" t="str">
        <f>"00051710016"</f>
        <v>00051710016</v>
      </c>
      <c r="C775" t="s">
        <v>1048</v>
      </c>
      <c r="D775" t="s">
        <v>604</v>
      </c>
      <c r="E775">
        <v>84</v>
      </c>
      <c r="F775">
        <v>4638</v>
      </c>
      <c r="G775" t="s">
        <v>1026</v>
      </c>
      <c r="H775" t="s">
        <v>44</v>
      </c>
      <c r="I775" t="s">
        <v>45</v>
      </c>
      <c r="J775" t="s">
        <v>44</v>
      </c>
      <c r="K775" t="s">
        <v>45</v>
      </c>
      <c r="L775">
        <v>8</v>
      </c>
      <c r="M775">
        <v>69036</v>
      </c>
      <c r="N775" t="s">
        <v>46</v>
      </c>
    </row>
    <row r="776" spans="1:14" x14ac:dyDescent="0.2">
      <c r="A776" s="3">
        <f t="shared" si="13"/>
        <v>5172</v>
      </c>
      <c r="B776" t="str">
        <f>"00051720012"</f>
        <v>00051720012</v>
      </c>
      <c r="C776" t="s">
        <v>1049</v>
      </c>
      <c r="D776" t="s">
        <v>622</v>
      </c>
      <c r="E776">
        <v>83</v>
      </c>
      <c r="F776">
        <v>1224</v>
      </c>
      <c r="G776" t="s">
        <v>1014</v>
      </c>
      <c r="H776" t="s">
        <v>44</v>
      </c>
      <c r="I776" t="s">
        <v>45</v>
      </c>
      <c r="J776" t="s">
        <v>44</v>
      </c>
      <c r="K776" t="s">
        <v>45</v>
      </c>
      <c r="L776">
        <v>7</v>
      </c>
      <c r="M776">
        <v>67274</v>
      </c>
      <c r="N776" t="s">
        <v>46</v>
      </c>
    </row>
    <row r="777" spans="1:14" x14ac:dyDescent="0.2">
      <c r="A777" s="3">
        <f t="shared" si="13"/>
        <v>5175</v>
      </c>
      <c r="B777" t="str">
        <f>"00051750051"</f>
        <v>00051750051</v>
      </c>
      <c r="C777" t="s">
        <v>1050</v>
      </c>
      <c r="D777" t="s">
        <v>216</v>
      </c>
      <c r="E777">
        <v>71</v>
      </c>
      <c r="F777">
        <v>1205</v>
      </c>
      <c r="G777" t="s">
        <v>325</v>
      </c>
      <c r="H777">
        <v>120</v>
      </c>
      <c r="I777" t="s">
        <v>34</v>
      </c>
      <c r="J777">
        <v>88</v>
      </c>
      <c r="K777" t="s">
        <v>34</v>
      </c>
      <c r="L777">
        <v>8</v>
      </c>
      <c r="M777">
        <v>74215</v>
      </c>
      <c r="N777">
        <v>32</v>
      </c>
    </row>
    <row r="778" spans="1:14" x14ac:dyDescent="0.2">
      <c r="A778" s="3">
        <f t="shared" si="13"/>
        <v>5176</v>
      </c>
      <c r="B778" t="str">
        <f>"00051760051"</f>
        <v>00051760051</v>
      </c>
      <c r="C778" t="s">
        <v>1051</v>
      </c>
      <c r="D778" t="s">
        <v>42</v>
      </c>
      <c r="E778">
        <v>84</v>
      </c>
      <c r="F778">
        <v>1463</v>
      </c>
      <c r="G778" t="s">
        <v>1052</v>
      </c>
      <c r="H778" t="s">
        <v>44</v>
      </c>
      <c r="I778" t="s">
        <v>45</v>
      </c>
      <c r="J778" t="s">
        <v>44</v>
      </c>
      <c r="K778" t="s">
        <v>45</v>
      </c>
      <c r="L778">
        <v>8</v>
      </c>
      <c r="M778">
        <v>69069</v>
      </c>
      <c r="N778" t="s">
        <v>46</v>
      </c>
    </row>
    <row r="779" spans="1:14" x14ac:dyDescent="0.2">
      <c r="A779" s="3">
        <f t="shared" si="13"/>
        <v>5177</v>
      </c>
      <c r="B779" t="str">
        <f>"00051770039"</f>
        <v>00051770039</v>
      </c>
      <c r="C779" t="s">
        <v>1053</v>
      </c>
      <c r="D779" t="s">
        <v>42</v>
      </c>
      <c r="E779">
        <v>84</v>
      </c>
      <c r="F779">
        <v>1463</v>
      </c>
      <c r="G779" t="s">
        <v>1052</v>
      </c>
      <c r="H779" t="s">
        <v>44</v>
      </c>
      <c r="I779" t="s">
        <v>45</v>
      </c>
      <c r="J779" t="s">
        <v>44</v>
      </c>
      <c r="K779" t="s">
        <v>45</v>
      </c>
      <c r="L779">
        <v>8</v>
      </c>
      <c r="M779">
        <v>69072</v>
      </c>
      <c r="N779" t="s">
        <v>46</v>
      </c>
    </row>
    <row r="780" spans="1:14" x14ac:dyDescent="0.2">
      <c r="A780" s="3">
        <f t="shared" si="13"/>
        <v>5192</v>
      </c>
      <c r="B780" t="str">
        <f>"00051920015"</f>
        <v>00051920015</v>
      </c>
      <c r="C780" t="s">
        <v>1054</v>
      </c>
      <c r="D780" t="s">
        <v>115</v>
      </c>
      <c r="E780">
        <v>70</v>
      </c>
      <c r="F780">
        <v>3112</v>
      </c>
      <c r="G780" t="s">
        <v>245</v>
      </c>
      <c r="H780">
        <v>120</v>
      </c>
      <c r="I780" t="s">
        <v>34</v>
      </c>
      <c r="J780">
        <v>88</v>
      </c>
      <c r="K780" t="s">
        <v>34</v>
      </c>
      <c r="L780">
        <v>8</v>
      </c>
      <c r="M780">
        <v>74153</v>
      </c>
      <c r="N780">
        <v>32</v>
      </c>
    </row>
    <row r="781" spans="1:14" x14ac:dyDescent="0.2">
      <c r="A781" s="3">
        <f t="shared" si="13"/>
        <v>5199</v>
      </c>
      <c r="B781" t="str">
        <f>"00051990030"</f>
        <v>00051990030</v>
      </c>
      <c r="C781" t="s">
        <v>1055</v>
      </c>
      <c r="D781" t="s">
        <v>36</v>
      </c>
      <c r="E781">
        <v>82</v>
      </c>
      <c r="F781">
        <v>2131</v>
      </c>
      <c r="G781" t="s">
        <v>241</v>
      </c>
      <c r="H781" t="s">
        <v>44</v>
      </c>
      <c r="I781" t="s">
        <v>45</v>
      </c>
      <c r="J781" t="s">
        <v>44</v>
      </c>
      <c r="K781" t="s">
        <v>45</v>
      </c>
      <c r="L781">
        <v>8</v>
      </c>
      <c r="M781">
        <v>71010</v>
      </c>
      <c r="N781" t="s">
        <v>46</v>
      </c>
    </row>
    <row r="782" spans="1:14" x14ac:dyDescent="0.2">
      <c r="A782" s="3">
        <f t="shared" si="13"/>
        <v>5203</v>
      </c>
      <c r="B782" t="str">
        <f>"00052030024"</f>
        <v>00052030024</v>
      </c>
      <c r="C782" t="s">
        <v>1056</v>
      </c>
      <c r="D782" t="s">
        <v>604</v>
      </c>
      <c r="E782">
        <v>82</v>
      </c>
      <c r="F782">
        <v>3223</v>
      </c>
      <c r="G782" t="s">
        <v>1057</v>
      </c>
      <c r="H782" t="s">
        <v>44</v>
      </c>
      <c r="I782" t="s">
        <v>45</v>
      </c>
      <c r="J782" t="s">
        <v>44</v>
      </c>
      <c r="K782" t="s">
        <v>45</v>
      </c>
      <c r="L782">
        <v>8</v>
      </c>
      <c r="M782">
        <v>70159</v>
      </c>
      <c r="N782" t="s">
        <v>46</v>
      </c>
    </row>
    <row r="783" spans="1:14" x14ac:dyDescent="0.2">
      <c r="A783" s="3">
        <f t="shared" si="13"/>
        <v>5207</v>
      </c>
      <c r="B783" t="str">
        <f>"00052070012"</f>
        <v>00052070012</v>
      </c>
      <c r="C783" t="s">
        <v>1058</v>
      </c>
      <c r="D783" t="s">
        <v>543</v>
      </c>
      <c r="E783">
        <v>82</v>
      </c>
      <c r="F783">
        <v>4320</v>
      </c>
      <c r="G783" t="s">
        <v>1059</v>
      </c>
      <c r="H783" t="s">
        <v>44</v>
      </c>
      <c r="I783" t="s">
        <v>45</v>
      </c>
      <c r="J783" t="s">
        <v>44</v>
      </c>
      <c r="K783" t="s">
        <v>45</v>
      </c>
      <c r="L783">
        <v>8</v>
      </c>
      <c r="M783">
        <v>70182</v>
      </c>
      <c r="N783" t="s">
        <v>46</v>
      </c>
    </row>
    <row r="784" spans="1:14" x14ac:dyDescent="0.2">
      <c r="A784" s="3">
        <f t="shared" si="13"/>
        <v>5215</v>
      </c>
      <c r="B784" t="str">
        <f>"00052150016"</f>
        <v>00052150016</v>
      </c>
      <c r="C784" t="s">
        <v>1060</v>
      </c>
      <c r="D784" t="s">
        <v>622</v>
      </c>
      <c r="E784">
        <v>82</v>
      </c>
      <c r="F784">
        <v>1224</v>
      </c>
      <c r="G784" t="s">
        <v>1014</v>
      </c>
      <c r="H784" t="s">
        <v>44</v>
      </c>
      <c r="I784" t="s">
        <v>45</v>
      </c>
      <c r="J784" t="s">
        <v>44</v>
      </c>
      <c r="K784" t="s">
        <v>45</v>
      </c>
      <c r="L784">
        <v>8</v>
      </c>
      <c r="M784">
        <v>70217</v>
      </c>
      <c r="N784" t="s">
        <v>46</v>
      </c>
    </row>
    <row r="785" spans="1:14" x14ac:dyDescent="0.2">
      <c r="A785" s="3">
        <f t="shared" si="13"/>
        <v>5217</v>
      </c>
      <c r="B785" t="str">
        <f>"00052170016"</f>
        <v>00052170016</v>
      </c>
      <c r="C785" t="s">
        <v>1061</v>
      </c>
      <c r="D785" t="s">
        <v>543</v>
      </c>
      <c r="E785">
        <v>82</v>
      </c>
      <c r="F785">
        <v>1288</v>
      </c>
      <c r="G785" t="s">
        <v>1062</v>
      </c>
      <c r="H785" t="s">
        <v>44</v>
      </c>
      <c r="I785" t="s">
        <v>45</v>
      </c>
      <c r="J785" t="s">
        <v>44</v>
      </c>
      <c r="K785" t="s">
        <v>45</v>
      </c>
      <c r="L785">
        <v>8</v>
      </c>
      <c r="M785">
        <v>70250</v>
      </c>
      <c r="N785" t="s">
        <v>46</v>
      </c>
    </row>
    <row r="786" spans="1:14" x14ac:dyDescent="0.2">
      <c r="A786" s="3">
        <f t="shared" si="13"/>
        <v>5218</v>
      </c>
      <c r="B786" t="str">
        <f>"00052180018"</f>
        <v>00052180018</v>
      </c>
      <c r="C786" t="s">
        <v>1063</v>
      </c>
      <c r="D786" t="s">
        <v>543</v>
      </c>
      <c r="E786">
        <v>82</v>
      </c>
      <c r="F786">
        <v>2002</v>
      </c>
      <c r="G786" t="s">
        <v>1064</v>
      </c>
      <c r="H786" t="s">
        <v>44</v>
      </c>
      <c r="I786" t="s">
        <v>45</v>
      </c>
      <c r="J786" t="s">
        <v>44</v>
      </c>
      <c r="K786" t="s">
        <v>45</v>
      </c>
      <c r="L786">
        <v>9</v>
      </c>
      <c r="M786">
        <v>70272</v>
      </c>
      <c r="N786" t="s">
        <v>46</v>
      </c>
    </row>
    <row r="787" spans="1:14" x14ac:dyDescent="0.2">
      <c r="A787" s="3">
        <f t="shared" si="13"/>
        <v>5226</v>
      </c>
      <c r="B787" t="str">
        <f>"00052260012"</f>
        <v>00052260012</v>
      </c>
      <c r="C787" t="s">
        <v>1065</v>
      </c>
      <c r="D787" t="s">
        <v>622</v>
      </c>
      <c r="E787">
        <v>82</v>
      </c>
      <c r="F787">
        <v>1224</v>
      </c>
      <c r="G787" t="s">
        <v>1014</v>
      </c>
      <c r="H787" t="s">
        <v>44</v>
      </c>
      <c r="I787" t="s">
        <v>45</v>
      </c>
      <c r="J787" t="s">
        <v>44</v>
      </c>
      <c r="K787" t="s">
        <v>45</v>
      </c>
      <c r="L787">
        <v>8</v>
      </c>
      <c r="M787">
        <v>70085</v>
      </c>
      <c r="N787" t="s">
        <v>46</v>
      </c>
    </row>
    <row r="788" spans="1:14" x14ac:dyDescent="0.2">
      <c r="A788" s="3">
        <f t="shared" si="13"/>
        <v>5234</v>
      </c>
      <c r="B788" t="str">
        <f>"00052340006"</f>
        <v>00052340006</v>
      </c>
      <c r="C788" t="s">
        <v>1066</v>
      </c>
      <c r="D788" t="s">
        <v>386</v>
      </c>
      <c r="E788">
        <v>60</v>
      </c>
      <c r="F788">
        <v>167</v>
      </c>
      <c r="G788" t="s">
        <v>1067</v>
      </c>
      <c r="H788" t="s">
        <v>44</v>
      </c>
      <c r="I788" t="s">
        <v>45</v>
      </c>
      <c r="J788" t="s">
        <v>44</v>
      </c>
      <c r="K788" t="s">
        <v>45</v>
      </c>
      <c r="L788">
        <v>8</v>
      </c>
      <c r="M788">
        <v>61045</v>
      </c>
      <c r="N788" t="s">
        <v>46</v>
      </c>
    </row>
    <row r="789" spans="1:14" x14ac:dyDescent="0.2">
      <c r="A789" s="3">
        <f t="shared" si="13"/>
        <v>5235</v>
      </c>
      <c r="B789" t="str">
        <f>"00052350048"</f>
        <v>00052350048</v>
      </c>
      <c r="C789" t="s">
        <v>1068</v>
      </c>
      <c r="D789" t="s">
        <v>543</v>
      </c>
      <c r="E789">
        <v>82</v>
      </c>
      <c r="F789">
        <v>3413</v>
      </c>
      <c r="G789" t="s">
        <v>1069</v>
      </c>
      <c r="H789" t="s">
        <v>44</v>
      </c>
      <c r="I789" t="s">
        <v>45</v>
      </c>
      <c r="J789" t="s">
        <v>44</v>
      </c>
      <c r="K789" t="s">
        <v>45</v>
      </c>
      <c r="L789">
        <v>8</v>
      </c>
      <c r="M789">
        <v>70212</v>
      </c>
      <c r="N789" t="s">
        <v>46</v>
      </c>
    </row>
    <row r="790" spans="1:14" x14ac:dyDescent="0.2">
      <c r="A790" s="3">
        <f t="shared" si="13"/>
        <v>5242</v>
      </c>
      <c r="B790" t="str">
        <f>"00052420012"</f>
        <v>00052420012</v>
      </c>
      <c r="C790" t="s">
        <v>1070</v>
      </c>
      <c r="D790" t="s">
        <v>543</v>
      </c>
      <c r="E790">
        <v>82</v>
      </c>
      <c r="F790">
        <v>4320</v>
      </c>
      <c r="G790" t="s">
        <v>1059</v>
      </c>
      <c r="H790" t="s">
        <v>44</v>
      </c>
      <c r="I790" t="s">
        <v>45</v>
      </c>
      <c r="J790" t="s">
        <v>44</v>
      </c>
      <c r="K790" t="s">
        <v>45</v>
      </c>
      <c r="L790">
        <v>8</v>
      </c>
      <c r="M790">
        <v>70115</v>
      </c>
      <c r="N790" t="s">
        <v>46</v>
      </c>
    </row>
    <row r="791" spans="1:14" x14ac:dyDescent="0.2">
      <c r="A791" s="3">
        <f t="shared" si="13"/>
        <v>5245</v>
      </c>
      <c r="B791" t="str">
        <f>"00052450015"</f>
        <v>00052450015</v>
      </c>
      <c r="C791" t="s">
        <v>1071</v>
      </c>
      <c r="D791" t="s">
        <v>622</v>
      </c>
      <c r="E791">
        <v>82</v>
      </c>
      <c r="F791">
        <v>1224</v>
      </c>
      <c r="G791" t="s">
        <v>1014</v>
      </c>
      <c r="H791" t="s">
        <v>44</v>
      </c>
      <c r="I791" t="s">
        <v>45</v>
      </c>
      <c r="J791" t="s">
        <v>44</v>
      </c>
      <c r="K791" t="s">
        <v>45</v>
      </c>
      <c r="L791">
        <v>8</v>
      </c>
      <c r="M791">
        <v>72247</v>
      </c>
      <c r="N791" t="s">
        <v>46</v>
      </c>
    </row>
    <row r="792" spans="1:14" x14ac:dyDescent="0.2">
      <c r="A792" s="3">
        <f t="shared" si="13"/>
        <v>5253</v>
      </c>
      <c r="B792" t="str">
        <f>"00052530024"</f>
        <v>00052530024</v>
      </c>
      <c r="C792" t="s">
        <v>1072</v>
      </c>
      <c r="D792" t="s">
        <v>543</v>
      </c>
      <c r="E792">
        <v>82</v>
      </c>
      <c r="F792">
        <v>2002</v>
      </c>
      <c r="G792" t="s">
        <v>1064</v>
      </c>
      <c r="H792" t="s">
        <v>44</v>
      </c>
      <c r="I792" t="s">
        <v>45</v>
      </c>
      <c r="J792" t="s">
        <v>44</v>
      </c>
      <c r="K792" t="s">
        <v>45</v>
      </c>
      <c r="L792">
        <v>8</v>
      </c>
      <c r="M792">
        <v>70252</v>
      </c>
      <c r="N792" t="s">
        <v>46</v>
      </c>
    </row>
    <row r="793" spans="1:14" x14ac:dyDescent="0.2">
      <c r="A793" s="3">
        <f t="shared" si="13"/>
        <v>5254</v>
      </c>
      <c r="B793" t="str">
        <f>"00052540006"</f>
        <v>00052540006</v>
      </c>
      <c r="C793" t="s">
        <v>1073</v>
      </c>
      <c r="D793" t="s">
        <v>386</v>
      </c>
      <c r="E793">
        <v>60</v>
      </c>
      <c r="F793">
        <v>1955</v>
      </c>
      <c r="G793" t="s">
        <v>1074</v>
      </c>
      <c r="H793" t="s">
        <v>44</v>
      </c>
      <c r="I793" t="s">
        <v>45</v>
      </c>
      <c r="J793" t="s">
        <v>44</v>
      </c>
      <c r="K793" t="s">
        <v>45</v>
      </c>
      <c r="L793">
        <v>8</v>
      </c>
      <c r="M793">
        <v>61058</v>
      </c>
      <c r="N793" t="s">
        <v>46</v>
      </c>
    </row>
    <row r="794" spans="1:14" x14ac:dyDescent="0.2">
      <c r="A794" s="3">
        <f t="shared" si="13"/>
        <v>5266</v>
      </c>
      <c r="B794" t="str">
        <f>"00052660015"</f>
        <v>00052660015</v>
      </c>
      <c r="C794" t="s">
        <v>1075</v>
      </c>
      <c r="D794" t="s">
        <v>604</v>
      </c>
      <c r="E794">
        <v>82</v>
      </c>
      <c r="F794">
        <v>907</v>
      </c>
      <c r="G794" t="s">
        <v>1076</v>
      </c>
      <c r="H794" t="s">
        <v>44</v>
      </c>
      <c r="I794" t="s">
        <v>45</v>
      </c>
      <c r="J794" t="s">
        <v>44</v>
      </c>
      <c r="K794" t="s">
        <v>45</v>
      </c>
      <c r="L794">
        <v>8</v>
      </c>
      <c r="M794">
        <v>70109</v>
      </c>
      <c r="N794" t="s">
        <v>46</v>
      </c>
    </row>
    <row r="795" spans="1:14" x14ac:dyDescent="0.2">
      <c r="A795" s="3">
        <f t="shared" si="13"/>
        <v>5284</v>
      </c>
      <c r="B795" t="str">
        <f>"00052840018"</f>
        <v>00052840018</v>
      </c>
      <c r="C795" t="s">
        <v>1077</v>
      </c>
      <c r="D795" t="s">
        <v>36</v>
      </c>
      <c r="E795">
        <v>82</v>
      </c>
      <c r="F795">
        <v>2131</v>
      </c>
      <c r="G795" t="s">
        <v>241</v>
      </c>
      <c r="H795" t="s">
        <v>44</v>
      </c>
      <c r="I795" t="s">
        <v>45</v>
      </c>
      <c r="J795" t="s">
        <v>44</v>
      </c>
      <c r="K795" t="s">
        <v>45</v>
      </c>
      <c r="L795">
        <v>8</v>
      </c>
      <c r="M795">
        <v>70067</v>
      </c>
      <c r="N795" t="s">
        <v>46</v>
      </c>
    </row>
    <row r="796" spans="1:14" x14ac:dyDescent="0.2">
      <c r="A796" s="3">
        <f t="shared" si="13"/>
        <v>5291</v>
      </c>
      <c r="B796" t="str">
        <f>"00052910014"</f>
        <v>00052910014</v>
      </c>
      <c r="C796" t="s">
        <v>1078</v>
      </c>
      <c r="D796" t="s">
        <v>543</v>
      </c>
      <c r="E796">
        <v>82</v>
      </c>
      <c r="F796">
        <v>3413</v>
      </c>
      <c r="G796" t="s">
        <v>1069</v>
      </c>
      <c r="H796" t="s">
        <v>44</v>
      </c>
      <c r="I796" t="s">
        <v>45</v>
      </c>
      <c r="J796" t="s">
        <v>44</v>
      </c>
      <c r="K796" t="s">
        <v>45</v>
      </c>
      <c r="L796">
        <v>8</v>
      </c>
      <c r="M796">
        <v>70071</v>
      </c>
      <c r="N796" t="s">
        <v>46</v>
      </c>
    </row>
    <row r="797" spans="1:14" x14ac:dyDescent="0.2">
      <c r="A797" s="3">
        <f t="shared" si="13"/>
        <v>5292</v>
      </c>
      <c r="B797" t="str">
        <f>"00052920016"</f>
        <v>00052920016</v>
      </c>
      <c r="C797" t="s">
        <v>1079</v>
      </c>
      <c r="D797" t="s">
        <v>543</v>
      </c>
      <c r="E797">
        <v>82</v>
      </c>
      <c r="F797">
        <v>1168</v>
      </c>
      <c r="G797" t="s">
        <v>1080</v>
      </c>
      <c r="H797" t="s">
        <v>44</v>
      </c>
      <c r="I797" t="s">
        <v>45</v>
      </c>
      <c r="J797" t="s">
        <v>44</v>
      </c>
      <c r="K797" t="s">
        <v>45</v>
      </c>
      <c r="L797">
        <v>8</v>
      </c>
      <c r="M797">
        <v>70069</v>
      </c>
      <c r="N797" t="s">
        <v>46</v>
      </c>
    </row>
    <row r="798" spans="1:14" x14ac:dyDescent="0.2">
      <c r="A798" s="3">
        <f t="shared" si="13"/>
        <v>5293</v>
      </c>
      <c r="B798" t="str">
        <f>"00052930014"</f>
        <v>00052930014</v>
      </c>
      <c r="C798" t="s">
        <v>1081</v>
      </c>
      <c r="D798" t="s">
        <v>604</v>
      </c>
      <c r="E798">
        <v>82</v>
      </c>
      <c r="F798">
        <v>1479</v>
      </c>
      <c r="G798" t="s">
        <v>1082</v>
      </c>
      <c r="H798">
        <v>25</v>
      </c>
      <c r="I798" t="s">
        <v>25</v>
      </c>
      <c r="J798">
        <v>21</v>
      </c>
      <c r="K798" t="s">
        <v>25</v>
      </c>
      <c r="L798">
        <v>8</v>
      </c>
      <c r="M798">
        <v>70050</v>
      </c>
      <c r="N798">
        <v>4</v>
      </c>
    </row>
    <row r="799" spans="1:14" x14ac:dyDescent="0.2">
      <c r="A799" s="3">
        <f t="shared" si="13"/>
        <v>5301</v>
      </c>
      <c r="B799" t="str">
        <f>"00053010024"</f>
        <v>00053010024</v>
      </c>
      <c r="C799" t="s">
        <v>1083</v>
      </c>
      <c r="D799" t="s">
        <v>36</v>
      </c>
      <c r="E799">
        <v>82</v>
      </c>
      <c r="F799">
        <v>2131</v>
      </c>
      <c r="G799" t="s">
        <v>241</v>
      </c>
      <c r="H799" t="s">
        <v>44</v>
      </c>
      <c r="I799" t="s">
        <v>45</v>
      </c>
      <c r="J799" t="s">
        <v>44</v>
      </c>
      <c r="K799" t="s">
        <v>45</v>
      </c>
      <c r="L799">
        <v>8</v>
      </c>
      <c r="M799">
        <v>72265</v>
      </c>
      <c r="N799" t="s">
        <v>46</v>
      </c>
    </row>
    <row r="800" spans="1:14" x14ac:dyDescent="0.2">
      <c r="A800" s="3">
        <f t="shared" si="13"/>
        <v>5304</v>
      </c>
      <c r="B800" t="str">
        <f>"00053040023"</f>
        <v>00053040023</v>
      </c>
      <c r="C800" t="s">
        <v>1084</v>
      </c>
      <c r="D800" t="s">
        <v>36</v>
      </c>
      <c r="E800">
        <v>84</v>
      </c>
      <c r="F800">
        <v>2373</v>
      </c>
      <c r="G800" t="s">
        <v>1085</v>
      </c>
      <c r="H800" t="s">
        <v>44</v>
      </c>
      <c r="I800" t="s">
        <v>45</v>
      </c>
      <c r="J800" t="s">
        <v>44</v>
      </c>
      <c r="K800" t="s">
        <v>45</v>
      </c>
      <c r="L800">
        <v>8</v>
      </c>
      <c r="M800">
        <v>71025</v>
      </c>
      <c r="N800" t="s">
        <v>46</v>
      </c>
    </row>
    <row r="801" spans="1:14" x14ac:dyDescent="0.2">
      <c r="A801" s="3">
        <f t="shared" si="13"/>
        <v>5306</v>
      </c>
      <c r="B801" t="str">
        <f>"00053060031"</f>
        <v>00053060031</v>
      </c>
      <c r="C801" t="s">
        <v>1086</v>
      </c>
      <c r="D801" t="s">
        <v>543</v>
      </c>
      <c r="E801">
        <v>84</v>
      </c>
      <c r="F801">
        <v>3832</v>
      </c>
      <c r="G801" t="s">
        <v>1087</v>
      </c>
      <c r="H801" t="s">
        <v>44</v>
      </c>
      <c r="I801" t="s">
        <v>45</v>
      </c>
      <c r="J801" t="s">
        <v>44</v>
      </c>
      <c r="K801" t="s">
        <v>45</v>
      </c>
      <c r="L801">
        <v>8</v>
      </c>
      <c r="M801">
        <v>71028</v>
      </c>
      <c r="N801" t="s">
        <v>46</v>
      </c>
    </row>
    <row r="802" spans="1:14" x14ac:dyDescent="0.2">
      <c r="A802" s="3">
        <f t="shared" si="13"/>
        <v>5311</v>
      </c>
      <c r="B802" t="str">
        <f>"00053110036"</f>
        <v>00053110036</v>
      </c>
      <c r="C802" t="s">
        <v>1088</v>
      </c>
      <c r="D802" t="s">
        <v>543</v>
      </c>
      <c r="E802">
        <v>84</v>
      </c>
      <c r="F802">
        <v>3832</v>
      </c>
      <c r="G802" t="s">
        <v>1087</v>
      </c>
      <c r="H802" t="s">
        <v>44</v>
      </c>
      <c r="I802" t="s">
        <v>45</v>
      </c>
      <c r="J802" t="s">
        <v>44</v>
      </c>
      <c r="K802" t="s">
        <v>45</v>
      </c>
      <c r="L802">
        <v>8</v>
      </c>
      <c r="M802">
        <v>71032</v>
      </c>
      <c r="N802" t="s">
        <v>46</v>
      </c>
    </row>
    <row r="803" spans="1:14" x14ac:dyDescent="0.2">
      <c r="A803" s="3">
        <f t="shared" si="13"/>
        <v>5319</v>
      </c>
      <c r="B803" t="str">
        <f>"00053190021"</f>
        <v>00053190021</v>
      </c>
      <c r="C803" t="s">
        <v>1089</v>
      </c>
      <c r="D803" t="s">
        <v>543</v>
      </c>
      <c r="E803">
        <v>82</v>
      </c>
      <c r="F803">
        <v>2002</v>
      </c>
      <c r="G803" t="s">
        <v>1064</v>
      </c>
      <c r="H803" t="s">
        <v>44</v>
      </c>
      <c r="I803" t="s">
        <v>45</v>
      </c>
      <c r="J803" t="s">
        <v>44</v>
      </c>
      <c r="K803" t="s">
        <v>45</v>
      </c>
      <c r="L803">
        <v>8</v>
      </c>
      <c r="M803">
        <v>70248</v>
      </c>
      <c r="N803" t="s">
        <v>46</v>
      </c>
    </row>
    <row r="804" spans="1:14" x14ac:dyDescent="0.2">
      <c r="A804" s="3">
        <f t="shared" si="13"/>
        <v>5322</v>
      </c>
      <c r="B804" t="str">
        <f>"00053220020"</f>
        <v>00053220020</v>
      </c>
      <c r="C804" t="s">
        <v>1090</v>
      </c>
      <c r="D804" t="s">
        <v>42</v>
      </c>
      <c r="E804">
        <v>82</v>
      </c>
      <c r="F804">
        <v>4287</v>
      </c>
      <c r="G804" t="s">
        <v>445</v>
      </c>
      <c r="H804" t="s">
        <v>44</v>
      </c>
      <c r="I804" t="s">
        <v>45</v>
      </c>
      <c r="J804" t="s">
        <v>44</v>
      </c>
      <c r="K804" t="s">
        <v>45</v>
      </c>
      <c r="L804">
        <v>8</v>
      </c>
      <c r="M804">
        <v>70100</v>
      </c>
      <c r="N804" t="s">
        <v>46</v>
      </c>
    </row>
    <row r="805" spans="1:14" x14ac:dyDescent="0.2">
      <c r="A805" s="3">
        <f t="shared" si="13"/>
        <v>5329</v>
      </c>
      <c r="B805" t="str">
        <f>"00053290024"</f>
        <v>00053290024</v>
      </c>
      <c r="C805" t="s">
        <v>1091</v>
      </c>
      <c r="D805" t="s">
        <v>36</v>
      </c>
      <c r="E805">
        <v>82</v>
      </c>
      <c r="F805">
        <v>2131</v>
      </c>
      <c r="G805" t="s">
        <v>241</v>
      </c>
      <c r="H805" t="s">
        <v>44</v>
      </c>
      <c r="I805" t="s">
        <v>45</v>
      </c>
      <c r="J805" t="s">
        <v>44</v>
      </c>
      <c r="K805" t="s">
        <v>45</v>
      </c>
      <c r="L805">
        <v>8</v>
      </c>
      <c r="M805">
        <v>70230</v>
      </c>
      <c r="N805" t="s">
        <v>46</v>
      </c>
    </row>
    <row r="806" spans="1:14" x14ac:dyDescent="0.2">
      <c r="A806" s="3">
        <f t="shared" si="13"/>
        <v>5338</v>
      </c>
      <c r="B806" t="str">
        <f>"00053380009"</f>
        <v>00053380009</v>
      </c>
      <c r="C806" t="s">
        <v>1092</v>
      </c>
      <c r="D806" t="s">
        <v>604</v>
      </c>
      <c r="E806">
        <v>84</v>
      </c>
      <c r="F806">
        <v>1532</v>
      </c>
      <c r="G806" t="s">
        <v>1093</v>
      </c>
      <c r="H806" t="s">
        <v>44</v>
      </c>
      <c r="I806" t="s">
        <v>45</v>
      </c>
      <c r="J806" t="s">
        <v>44</v>
      </c>
      <c r="K806" t="s">
        <v>45</v>
      </c>
      <c r="L806">
        <v>8</v>
      </c>
      <c r="M806">
        <v>71003</v>
      </c>
      <c r="N806" t="s">
        <v>46</v>
      </c>
    </row>
    <row r="807" spans="1:14" x14ac:dyDescent="0.2">
      <c r="A807" s="3">
        <f t="shared" si="13"/>
        <v>5340</v>
      </c>
      <c r="B807" t="str">
        <f>"00053400015"</f>
        <v>00053400015</v>
      </c>
      <c r="C807" t="s">
        <v>1094</v>
      </c>
      <c r="D807" t="s">
        <v>42</v>
      </c>
      <c r="E807">
        <v>82</v>
      </c>
      <c r="F807">
        <v>4287</v>
      </c>
      <c r="G807" t="s">
        <v>445</v>
      </c>
      <c r="H807" t="s">
        <v>44</v>
      </c>
      <c r="I807" t="s">
        <v>45</v>
      </c>
      <c r="J807" t="s">
        <v>44</v>
      </c>
      <c r="K807" t="s">
        <v>45</v>
      </c>
      <c r="L807">
        <v>8</v>
      </c>
      <c r="M807">
        <v>70074</v>
      </c>
      <c r="N807" t="s">
        <v>46</v>
      </c>
    </row>
    <row r="808" spans="1:14" x14ac:dyDescent="0.2">
      <c r="A808" s="3">
        <f t="shared" si="13"/>
        <v>5342</v>
      </c>
      <c r="B808" t="str">
        <f>"00053420024"</f>
        <v>00053420024</v>
      </c>
      <c r="C808" t="s">
        <v>1095</v>
      </c>
      <c r="D808" t="s">
        <v>42</v>
      </c>
      <c r="E808">
        <v>82</v>
      </c>
      <c r="F808">
        <v>4287</v>
      </c>
      <c r="G808" t="s">
        <v>445</v>
      </c>
      <c r="H808" t="s">
        <v>44</v>
      </c>
      <c r="I808" t="s">
        <v>45</v>
      </c>
      <c r="J808" t="s">
        <v>44</v>
      </c>
      <c r="K808" t="s">
        <v>45</v>
      </c>
      <c r="L808">
        <v>8</v>
      </c>
      <c r="M808">
        <v>70082</v>
      </c>
      <c r="N808" t="s">
        <v>46</v>
      </c>
    </row>
    <row r="809" spans="1:14" x14ac:dyDescent="0.2">
      <c r="A809" s="3">
        <f t="shared" si="13"/>
        <v>5344</v>
      </c>
      <c r="B809" t="str">
        <f>"00053440018"</f>
        <v>00053440018</v>
      </c>
      <c r="C809" t="s">
        <v>1096</v>
      </c>
      <c r="D809" t="s">
        <v>42</v>
      </c>
      <c r="E809">
        <v>82</v>
      </c>
      <c r="F809">
        <v>4287</v>
      </c>
      <c r="G809" t="s">
        <v>445</v>
      </c>
      <c r="H809" t="s">
        <v>44</v>
      </c>
      <c r="I809" t="s">
        <v>45</v>
      </c>
      <c r="J809" t="s">
        <v>44</v>
      </c>
      <c r="K809" t="s">
        <v>45</v>
      </c>
      <c r="L809">
        <v>8</v>
      </c>
      <c r="M809">
        <v>70017</v>
      </c>
      <c r="N809" t="s">
        <v>46</v>
      </c>
    </row>
    <row r="810" spans="1:14" x14ac:dyDescent="0.2">
      <c r="A810" s="3">
        <f t="shared" si="13"/>
        <v>5346</v>
      </c>
      <c r="B810" t="str">
        <f>"00053460020"</f>
        <v>00053460020</v>
      </c>
      <c r="C810" t="s">
        <v>1097</v>
      </c>
      <c r="D810" t="s">
        <v>42</v>
      </c>
      <c r="E810">
        <v>82</v>
      </c>
      <c r="F810">
        <v>4287</v>
      </c>
      <c r="G810" t="s">
        <v>445</v>
      </c>
      <c r="H810" t="s">
        <v>44</v>
      </c>
      <c r="I810" t="s">
        <v>45</v>
      </c>
      <c r="J810" t="s">
        <v>44</v>
      </c>
      <c r="K810" t="s">
        <v>45</v>
      </c>
      <c r="L810">
        <v>8</v>
      </c>
      <c r="M810">
        <v>72258</v>
      </c>
      <c r="N810" t="s">
        <v>46</v>
      </c>
    </row>
    <row r="811" spans="1:14" x14ac:dyDescent="0.2">
      <c r="A811" s="3">
        <f t="shared" si="13"/>
        <v>5347</v>
      </c>
      <c r="B811" t="str">
        <f>"00053470025"</f>
        <v>00053470025</v>
      </c>
      <c r="C811" t="s">
        <v>1098</v>
      </c>
      <c r="D811" t="s">
        <v>42</v>
      </c>
      <c r="E811">
        <v>82</v>
      </c>
      <c r="F811">
        <v>4287</v>
      </c>
      <c r="G811" t="s">
        <v>445</v>
      </c>
      <c r="H811" t="s">
        <v>44</v>
      </c>
      <c r="I811" t="s">
        <v>45</v>
      </c>
      <c r="J811" t="s">
        <v>44</v>
      </c>
      <c r="K811" t="s">
        <v>45</v>
      </c>
      <c r="L811">
        <v>8</v>
      </c>
      <c r="M811">
        <v>72254</v>
      </c>
      <c r="N811" t="s">
        <v>46</v>
      </c>
    </row>
    <row r="812" spans="1:14" x14ac:dyDescent="0.2">
      <c r="A812" s="3">
        <f t="shared" si="13"/>
        <v>5353</v>
      </c>
      <c r="B812" t="str">
        <f>"00053530012"</f>
        <v>00053530012</v>
      </c>
      <c r="C812" t="s">
        <v>1099</v>
      </c>
      <c r="D812" t="s">
        <v>42</v>
      </c>
      <c r="E812">
        <v>82</v>
      </c>
      <c r="F812">
        <v>4287</v>
      </c>
      <c r="G812" t="s">
        <v>445</v>
      </c>
      <c r="H812" t="s">
        <v>44</v>
      </c>
      <c r="I812" t="s">
        <v>45</v>
      </c>
      <c r="J812" t="s">
        <v>44</v>
      </c>
      <c r="K812" t="s">
        <v>45</v>
      </c>
      <c r="L812">
        <v>8</v>
      </c>
      <c r="M812">
        <v>70016</v>
      </c>
      <c r="N812" t="s">
        <v>46</v>
      </c>
    </row>
    <row r="813" spans="1:14" x14ac:dyDescent="0.2">
      <c r="A813" s="3">
        <f t="shared" si="13"/>
        <v>5359</v>
      </c>
      <c r="B813" t="str">
        <f>"00053590016"</f>
        <v>00053590016</v>
      </c>
      <c r="C813" t="s">
        <v>1100</v>
      </c>
      <c r="D813" t="s">
        <v>42</v>
      </c>
      <c r="E813">
        <v>84</v>
      </c>
      <c r="F813">
        <v>4678</v>
      </c>
      <c r="G813" t="s">
        <v>55</v>
      </c>
      <c r="H813" t="s">
        <v>44</v>
      </c>
      <c r="I813" t="s">
        <v>45</v>
      </c>
      <c r="J813" t="s">
        <v>44</v>
      </c>
      <c r="K813" t="s">
        <v>45</v>
      </c>
      <c r="L813">
        <v>8</v>
      </c>
      <c r="M813">
        <v>71021</v>
      </c>
      <c r="N813" t="s">
        <v>46</v>
      </c>
    </row>
    <row r="814" spans="1:14" x14ac:dyDescent="0.2">
      <c r="A814" s="3">
        <f t="shared" si="13"/>
        <v>5404</v>
      </c>
      <c r="B814" t="str">
        <f>"00054040008"</f>
        <v>00054040008</v>
      </c>
      <c r="C814" t="s">
        <v>1101</v>
      </c>
      <c r="D814" t="s">
        <v>23</v>
      </c>
      <c r="E814">
        <v>84</v>
      </c>
      <c r="F814">
        <v>1954</v>
      </c>
      <c r="G814" t="s">
        <v>1102</v>
      </c>
      <c r="H814" t="s">
        <v>44</v>
      </c>
      <c r="I814" t="s">
        <v>45</v>
      </c>
      <c r="J814" t="s">
        <v>44</v>
      </c>
      <c r="K814" t="s">
        <v>45</v>
      </c>
      <c r="L814">
        <v>8</v>
      </c>
      <c r="M814">
        <v>95272</v>
      </c>
      <c r="N814" t="s">
        <v>46</v>
      </c>
    </row>
    <row r="815" spans="1:14" x14ac:dyDescent="0.2">
      <c r="A815" s="3">
        <f t="shared" si="13"/>
        <v>5406</v>
      </c>
      <c r="B815" t="str">
        <f>"00054060018"</f>
        <v>00054060018</v>
      </c>
      <c r="C815" t="s">
        <v>1103</v>
      </c>
      <c r="D815" t="s">
        <v>36</v>
      </c>
      <c r="E815">
        <v>84</v>
      </c>
      <c r="F815">
        <v>1954</v>
      </c>
      <c r="G815" t="s">
        <v>1102</v>
      </c>
      <c r="H815" t="s">
        <v>44</v>
      </c>
      <c r="I815" t="s">
        <v>45</v>
      </c>
      <c r="J815" t="s">
        <v>44</v>
      </c>
      <c r="K815" t="s">
        <v>45</v>
      </c>
      <c r="L815">
        <v>8</v>
      </c>
      <c r="M815">
        <v>95726</v>
      </c>
      <c r="N815" t="s">
        <v>46</v>
      </c>
    </row>
    <row r="816" spans="1:14" x14ac:dyDescent="0.2">
      <c r="A816" s="3">
        <f t="shared" si="13"/>
        <v>5410</v>
      </c>
      <c r="B816" t="str">
        <f>"00054100012"</f>
        <v>00054100012</v>
      </c>
      <c r="C816" t="s">
        <v>1104</v>
      </c>
      <c r="D816" t="s">
        <v>604</v>
      </c>
      <c r="E816">
        <v>84</v>
      </c>
      <c r="F816">
        <v>1319</v>
      </c>
      <c r="G816" t="s">
        <v>1105</v>
      </c>
      <c r="H816" t="s">
        <v>44</v>
      </c>
      <c r="I816" t="s">
        <v>45</v>
      </c>
      <c r="J816" t="s">
        <v>44</v>
      </c>
      <c r="K816" t="s">
        <v>45</v>
      </c>
      <c r="L816">
        <v>8</v>
      </c>
      <c r="M816">
        <v>73214</v>
      </c>
      <c r="N816" t="s">
        <v>46</v>
      </c>
    </row>
    <row r="817" spans="1:14" x14ac:dyDescent="0.2">
      <c r="A817" s="3">
        <f t="shared" si="13"/>
        <v>5413</v>
      </c>
      <c r="B817" t="str">
        <f>"00054130001"</f>
        <v>00054130001</v>
      </c>
      <c r="C817" t="s">
        <v>1106</v>
      </c>
      <c r="D817" t="s">
        <v>686</v>
      </c>
      <c r="E817">
        <v>84</v>
      </c>
      <c r="F817">
        <v>633</v>
      </c>
      <c r="G817" t="s">
        <v>1107</v>
      </c>
      <c r="H817" t="s">
        <v>44</v>
      </c>
      <c r="I817" t="s">
        <v>45</v>
      </c>
      <c r="J817" t="s">
        <v>44</v>
      </c>
      <c r="K817" t="s">
        <v>45</v>
      </c>
      <c r="L817">
        <v>8</v>
      </c>
      <c r="M817">
        <v>95278</v>
      </c>
      <c r="N817" t="s">
        <v>46</v>
      </c>
    </row>
    <row r="818" spans="1:14" x14ac:dyDescent="0.2">
      <c r="A818" s="3">
        <f t="shared" si="13"/>
        <v>5414</v>
      </c>
      <c r="B818" t="str">
        <f>"00054140048"</f>
        <v>00054140048</v>
      </c>
      <c r="C818" t="s">
        <v>1108</v>
      </c>
      <c r="D818" t="s">
        <v>23</v>
      </c>
      <c r="E818">
        <v>84</v>
      </c>
      <c r="F818">
        <v>5306</v>
      </c>
      <c r="G818" t="s">
        <v>1109</v>
      </c>
      <c r="H818" t="s">
        <v>44</v>
      </c>
      <c r="I818" t="s">
        <v>45</v>
      </c>
      <c r="J818" t="s">
        <v>44</v>
      </c>
      <c r="K818" t="s">
        <v>45</v>
      </c>
      <c r="L818">
        <v>8</v>
      </c>
      <c r="M818">
        <v>95721</v>
      </c>
      <c r="N818" t="s">
        <v>46</v>
      </c>
    </row>
    <row r="819" spans="1:14" x14ac:dyDescent="0.2">
      <c r="A819" s="3">
        <f t="shared" si="13"/>
        <v>5415</v>
      </c>
      <c r="B819" t="str">
        <f>"00054150006"</f>
        <v>00054150006</v>
      </c>
      <c r="C819" t="s">
        <v>1110</v>
      </c>
      <c r="D819" t="s">
        <v>36</v>
      </c>
      <c r="E819">
        <v>84</v>
      </c>
      <c r="F819">
        <v>849</v>
      </c>
      <c r="G819" t="s">
        <v>1111</v>
      </c>
      <c r="H819" t="s">
        <v>44</v>
      </c>
      <c r="I819" t="s">
        <v>45</v>
      </c>
      <c r="J819" t="s">
        <v>44</v>
      </c>
      <c r="K819" t="s">
        <v>45</v>
      </c>
      <c r="L819">
        <v>8</v>
      </c>
      <c r="M819">
        <v>95744</v>
      </c>
      <c r="N819" t="s">
        <v>46</v>
      </c>
    </row>
    <row r="820" spans="1:14" x14ac:dyDescent="0.2">
      <c r="A820" s="3">
        <f t="shared" si="13"/>
        <v>5422</v>
      </c>
      <c r="B820" t="str">
        <f>"00054220001"</f>
        <v>00054220001</v>
      </c>
      <c r="C820" t="s">
        <v>1112</v>
      </c>
      <c r="D820" t="s">
        <v>686</v>
      </c>
      <c r="E820">
        <v>84</v>
      </c>
      <c r="F820">
        <v>633</v>
      </c>
      <c r="G820" t="s">
        <v>1107</v>
      </c>
      <c r="H820" t="s">
        <v>44</v>
      </c>
      <c r="I820" t="s">
        <v>45</v>
      </c>
      <c r="J820" t="s">
        <v>44</v>
      </c>
      <c r="K820" t="s">
        <v>45</v>
      </c>
      <c r="L820">
        <v>8</v>
      </c>
      <c r="M820">
        <v>95120</v>
      </c>
      <c r="N820" t="s">
        <v>46</v>
      </c>
    </row>
    <row r="821" spans="1:14" x14ac:dyDescent="0.2">
      <c r="A821" s="3">
        <f t="shared" si="13"/>
        <v>5444</v>
      </c>
      <c r="B821" t="str">
        <f>"00054440008"</f>
        <v>00054440008</v>
      </c>
      <c r="C821" t="s">
        <v>1113</v>
      </c>
      <c r="D821" t="s">
        <v>42</v>
      </c>
      <c r="E821">
        <v>84</v>
      </c>
      <c r="F821">
        <v>4678</v>
      </c>
      <c r="G821" t="s">
        <v>55</v>
      </c>
      <c r="H821" t="s">
        <v>44</v>
      </c>
      <c r="I821" t="s">
        <v>45</v>
      </c>
      <c r="J821" t="s">
        <v>44</v>
      </c>
      <c r="K821" t="s">
        <v>45</v>
      </c>
      <c r="L821">
        <v>8</v>
      </c>
      <c r="M821">
        <v>71012</v>
      </c>
      <c r="N821" t="s">
        <v>46</v>
      </c>
    </row>
    <row r="822" spans="1:14" x14ac:dyDescent="0.2">
      <c r="A822" s="3">
        <f t="shared" si="13"/>
        <v>5453</v>
      </c>
      <c r="B822" t="str">
        <f>"00054530001"</f>
        <v>00054530001</v>
      </c>
      <c r="C822" t="s">
        <v>1114</v>
      </c>
      <c r="D822" t="s">
        <v>337</v>
      </c>
      <c r="E822">
        <v>92</v>
      </c>
      <c r="F822">
        <v>1873</v>
      </c>
      <c r="G822" t="s">
        <v>1115</v>
      </c>
      <c r="H822">
        <v>7</v>
      </c>
      <c r="I822" t="s">
        <v>34</v>
      </c>
      <c r="J822">
        <v>5</v>
      </c>
      <c r="K822" t="s">
        <v>34</v>
      </c>
      <c r="L822">
        <v>8</v>
      </c>
      <c r="M822">
        <v>91103</v>
      </c>
      <c r="N822">
        <v>2</v>
      </c>
    </row>
    <row r="823" spans="1:14" x14ac:dyDescent="0.2">
      <c r="A823" s="3">
        <f t="shared" si="13"/>
        <v>5457</v>
      </c>
      <c r="B823" t="str">
        <f>"00054570021"</f>
        <v>00054570021</v>
      </c>
      <c r="C823" t="s">
        <v>1116</v>
      </c>
      <c r="D823" t="s">
        <v>36</v>
      </c>
      <c r="E823">
        <v>84</v>
      </c>
      <c r="F823">
        <v>849</v>
      </c>
      <c r="G823" t="s">
        <v>1111</v>
      </c>
      <c r="H823" t="s">
        <v>44</v>
      </c>
      <c r="I823" t="s">
        <v>45</v>
      </c>
      <c r="J823" t="s">
        <v>44</v>
      </c>
      <c r="K823" t="s">
        <v>45</v>
      </c>
      <c r="L823">
        <v>8</v>
      </c>
      <c r="M823">
        <v>95731</v>
      </c>
      <c r="N823" t="s">
        <v>46</v>
      </c>
    </row>
    <row r="824" spans="1:14" x14ac:dyDescent="0.2">
      <c r="A824" s="3">
        <f t="shared" si="13"/>
        <v>5476</v>
      </c>
      <c r="B824" t="str">
        <f>"00054760040"</f>
        <v>00054760040</v>
      </c>
      <c r="C824" t="s">
        <v>1117</v>
      </c>
      <c r="D824" t="s">
        <v>42</v>
      </c>
      <c r="E824">
        <v>85</v>
      </c>
      <c r="F824">
        <v>2621</v>
      </c>
      <c r="G824" t="s">
        <v>1118</v>
      </c>
      <c r="H824" t="s">
        <v>44</v>
      </c>
      <c r="I824" t="s">
        <v>45</v>
      </c>
      <c r="J824" t="s">
        <v>44</v>
      </c>
      <c r="K824" t="s">
        <v>45</v>
      </c>
      <c r="L824">
        <v>8</v>
      </c>
      <c r="M824">
        <v>73058</v>
      </c>
      <c r="N824" t="s">
        <v>46</v>
      </c>
    </row>
    <row r="825" spans="1:14" x14ac:dyDescent="0.2">
      <c r="A825" s="3">
        <f t="shared" si="13"/>
        <v>5482</v>
      </c>
      <c r="B825" t="str">
        <f>"00054820018"</f>
        <v>00054820018</v>
      </c>
      <c r="C825" t="s">
        <v>1119</v>
      </c>
      <c r="D825" t="s">
        <v>543</v>
      </c>
      <c r="E825">
        <v>85</v>
      </c>
      <c r="F825">
        <v>5210</v>
      </c>
      <c r="G825" t="s">
        <v>1120</v>
      </c>
      <c r="H825">
        <v>57</v>
      </c>
      <c r="I825" t="s">
        <v>25</v>
      </c>
      <c r="J825">
        <v>51</v>
      </c>
      <c r="K825" t="s">
        <v>25</v>
      </c>
      <c r="L825">
        <v>8</v>
      </c>
      <c r="M825">
        <v>73030</v>
      </c>
      <c r="N825">
        <v>6</v>
      </c>
    </row>
    <row r="826" spans="1:14" x14ac:dyDescent="0.2">
      <c r="A826" s="3">
        <f t="shared" si="13"/>
        <v>5483</v>
      </c>
      <c r="B826" t="str">
        <f>"00054830024"</f>
        <v>00054830024</v>
      </c>
      <c r="C826" t="s">
        <v>1121</v>
      </c>
      <c r="D826" t="s">
        <v>543</v>
      </c>
      <c r="E826">
        <v>85</v>
      </c>
      <c r="F826">
        <v>5210</v>
      </c>
      <c r="G826" t="s">
        <v>1120</v>
      </c>
      <c r="H826">
        <v>57</v>
      </c>
      <c r="I826" t="s">
        <v>25</v>
      </c>
      <c r="J826">
        <v>51</v>
      </c>
      <c r="K826" t="s">
        <v>25</v>
      </c>
      <c r="L826">
        <v>8</v>
      </c>
      <c r="M826">
        <v>73027</v>
      </c>
      <c r="N826">
        <v>6</v>
      </c>
    </row>
    <row r="827" spans="1:14" x14ac:dyDescent="0.2">
      <c r="A827" s="3">
        <f t="shared" si="13"/>
        <v>5486</v>
      </c>
      <c r="B827" t="str">
        <f>"00054860012"</f>
        <v>00054860012</v>
      </c>
      <c r="C827" t="s">
        <v>1122</v>
      </c>
      <c r="D827" t="s">
        <v>115</v>
      </c>
      <c r="E827">
        <v>72</v>
      </c>
      <c r="F827">
        <v>3112</v>
      </c>
      <c r="G827" t="s">
        <v>245</v>
      </c>
      <c r="H827">
        <v>90</v>
      </c>
      <c r="I827" t="s">
        <v>34</v>
      </c>
      <c r="J827">
        <v>69</v>
      </c>
      <c r="K827" t="s">
        <v>34</v>
      </c>
      <c r="L827">
        <v>8</v>
      </c>
      <c r="M827">
        <v>74157</v>
      </c>
      <c r="N827">
        <v>21</v>
      </c>
    </row>
    <row r="828" spans="1:14" x14ac:dyDescent="0.2">
      <c r="A828" s="3">
        <f t="shared" si="13"/>
        <v>5498</v>
      </c>
      <c r="B828" t="str">
        <f>"00054980012"</f>
        <v>00054980012</v>
      </c>
      <c r="C828" t="s">
        <v>1123</v>
      </c>
      <c r="D828" t="s">
        <v>1124</v>
      </c>
      <c r="E828">
        <v>20</v>
      </c>
      <c r="F828">
        <v>8086</v>
      </c>
      <c r="G828" t="s">
        <v>290</v>
      </c>
      <c r="H828">
        <v>16</v>
      </c>
      <c r="I828" t="s">
        <v>25</v>
      </c>
      <c r="J828">
        <v>13</v>
      </c>
      <c r="K828" t="s">
        <v>25</v>
      </c>
      <c r="L828">
        <v>6</v>
      </c>
      <c r="M828">
        <v>99456</v>
      </c>
      <c r="N828">
        <v>3</v>
      </c>
    </row>
    <row r="829" spans="1:14" x14ac:dyDescent="0.2">
      <c r="A829" s="3">
        <f t="shared" si="13"/>
        <v>5498</v>
      </c>
      <c r="B829" t="str">
        <f>"00054980012"</f>
        <v>00054980012</v>
      </c>
      <c r="C829" t="s">
        <v>1123</v>
      </c>
      <c r="D829" t="s">
        <v>1124</v>
      </c>
      <c r="E829">
        <v>20</v>
      </c>
      <c r="F829">
        <v>472</v>
      </c>
      <c r="G829" t="s">
        <v>1125</v>
      </c>
      <c r="H829">
        <v>16</v>
      </c>
      <c r="I829" t="s">
        <v>25</v>
      </c>
      <c r="J829">
        <v>13</v>
      </c>
      <c r="K829" t="s">
        <v>25</v>
      </c>
      <c r="L829">
        <v>6</v>
      </c>
      <c r="M829">
        <v>99456</v>
      </c>
      <c r="N829">
        <v>3</v>
      </c>
    </row>
    <row r="830" spans="1:14" x14ac:dyDescent="0.2">
      <c r="A830" s="3">
        <f t="shared" si="13"/>
        <v>5508</v>
      </c>
      <c r="B830" t="str">
        <f>"00055080001"</f>
        <v>00055080001</v>
      </c>
      <c r="C830" t="s">
        <v>1126</v>
      </c>
      <c r="D830" t="s">
        <v>337</v>
      </c>
      <c r="E830">
        <v>92</v>
      </c>
      <c r="F830">
        <v>329</v>
      </c>
      <c r="G830" t="s">
        <v>252</v>
      </c>
      <c r="H830">
        <v>17</v>
      </c>
      <c r="I830" t="s">
        <v>34</v>
      </c>
      <c r="J830">
        <v>11</v>
      </c>
      <c r="K830" t="s">
        <v>34</v>
      </c>
      <c r="L830">
        <v>8</v>
      </c>
      <c r="M830">
        <v>91093</v>
      </c>
      <c r="N830">
        <v>5</v>
      </c>
    </row>
    <row r="831" spans="1:14" x14ac:dyDescent="0.2">
      <c r="A831" s="3">
        <f t="shared" si="13"/>
        <v>5512</v>
      </c>
      <c r="B831" t="str">
        <f>"00055120004"</f>
        <v>00055120004</v>
      </c>
      <c r="C831" t="s">
        <v>1127</v>
      </c>
      <c r="D831" t="s">
        <v>52</v>
      </c>
      <c r="E831">
        <v>33</v>
      </c>
      <c r="F831">
        <v>114</v>
      </c>
      <c r="G831" t="s">
        <v>1128</v>
      </c>
      <c r="H831">
        <v>21</v>
      </c>
      <c r="I831" t="s">
        <v>34</v>
      </c>
      <c r="J831">
        <v>15</v>
      </c>
      <c r="K831" t="s">
        <v>34</v>
      </c>
      <c r="L831">
        <v>6</v>
      </c>
      <c r="M831">
        <v>1501</v>
      </c>
      <c r="N831">
        <v>6</v>
      </c>
    </row>
    <row r="832" spans="1:14" x14ac:dyDescent="0.2">
      <c r="A832" s="3">
        <f t="shared" si="13"/>
        <v>5538</v>
      </c>
      <c r="B832" t="str">
        <f>"00055380004"</f>
        <v>00055380004</v>
      </c>
      <c r="C832" t="s">
        <v>1129</v>
      </c>
      <c r="D832" t="s">
        <v>1124</v>
      </c>
      <c r="E832">
        <v>20</v>
      </c>
      <c r="F832">
        <v>8086</v>
      </c>
      <c r="G832" t="s">
        <v>290</v>
      </c>
      <c r="H832">
        <v>10</v>
      </c>
      <c r="I832" t="s">
        <v>25</v>
      </c>
      <c r="J832">
        <v>7</v>
      </c>
      <c r="K832" t="s">
        <v>25</v>
      </c>
      <c r="L832">
        <v>6</v>
      </c>
      <c r="M832">
        <v>99664</v>
      </c>
      <c r="N832">
        <v>3</v>
      </c>
    </row>
    <row r="833" spans="1:14" x14ac:dyDescent="0.2">
      <c r="A833" s="3">
        <f t="shared" si="13"/>
        <v>5538</v>
      </c>
      <c r="B833" t="str">
        <f>"00055380004"</f>
        <v>00055380004</v>
      </c>
      <c r="C833" t="s">
        <v>1129</v>
      </c>
      <c r="D833" t="s">
        <v>1124</v>
      </c>
      <c r="E833">
        <v>20</v>
      </c>
      <c r="F833">
        <v>709</v>
      </c>
      <c r="G833" t="s">
        <v>1130</v>
      </c>
      <c r="H833">
        <v>10</v>
      </c>
      <c r="I833" t="s">
        <v>25</v>
      </c>
      <c r="J833">
        <v>7</v>
      </c>
      <c r="K833" t="s">
        <v>25</v>
      </c>
      <c r="L833">
        <v>6</v>
      </c>
      <c r="M833">
        <v>99664</v>
      </c>
      <c r="N833">
        <v>3</v>
      </c>
    </row>
    <row r="834" spans="1:14" x14ac:dyDescent="0.2">
      <c r="A834" s="3">
        <f t="shared" si="13"/>
        <v>5550</v>
      </c>
      <c r="B834" t="str">
        <f>"00055500010"</f>
        <v>00055500010</v>
      </c>
      <c r="C834" t="s">
        <v>1131</v>
      </c>
      <c r="D834" t="s">
        <v>48</v>
      </c>
      <c r="E834">
        <v>33</v>
      </c>
      <c r="F834">
        <v>4335</v>
      </c>
      <c r="G834" t="s">
        <v>157</v>
      </c>
      <c r="H834">
        <v>24</v>
      </c>
      <c r="I834" t="s">
        <v>34</v>
      </c>
      <c r="J834">
        <v>18</v>
      </c>
      <c r="K834" t="s">
        <v>34</v>
      </c>
      <c r="L834">
        <v>8</v>
      </c>
      <c r="M834">
        <v>85245</v>
      </c>
      <c r="N834">
        <v>6</v>
      </c>
    </row>
    <row r="835" spans="1:14" x14ac:dyDescent="0.2">
      <c r="A835" s="3">
        <f t="shared" si="13"/>
        <v>5568</v>
      </c>
      <c r="B835" t="str">
        <f>"00055680008"</f>
        <v>00055680008</v>
      </c>
      <c r="C835" t="s">
        <v>1132</v>
      </c>
      <c r="D835" t="s">
        <v>32</v>
      </c>
      <c r="E835">
        <v>30</v>
      </c>
      <c r="F835">
        <v>4806</v>
      </c>
      <c r="G835" t="s">
        <v>160</v>
      </c>
      <c r="H835">
        <v>14</v>
      </c>
      <c r="I835" t="s">
        <v>34</v>
      </c>
      <c r="J835">
        <v>9</v>
      </c>
      <c r="K835" t="s">
        <v>34</v>
      </c>
      <c r="L835">
        <v>8</v>
      </c>
      <c r="M835">
        <v>85241</v>
      </c>
      <c r="N835">
        <v>5</v>
      </c>
    </row>
    <row r="836" spans="1:14" x14ac:dyDescent="0.2">
      <c r="A836" s="3">
        <f t="shared" ref="A836:A899" si="14">(B836-RIGHT(B836,4))/10000</f>
        <v>5609</v>
      </c>
      <c r="B836" t="str">
        <f>"00056090010"</f>
        <v>00056090010</v>
      </c>
      <c r="C836" t="s">
        <v>1133</v>
      </c>
      <c r="D836" t="s">
        <v>42</v>
      </c>
      <c r="E836">
        <v>83</v>
      </c>
      <c r="F836">
        <v>3847</v>
      </c>
      <c r="G836" t="s">
        <v>378</v>
      </c>
      <c r="H836" t="s">
        <v>44</v>
      </c>
      <c r="I836" t="s">
        <v>45</v>
      </c>
      <c r="J836" t="s">
        <v>44</v>
      </c>
      <c r="K836" t="s">
        <v>45</v>
      </c>
      <c r="L836">
        <v>8</v>
      </c>
      <c r="M836">
        <v>67252</v>
      </c>
      <c r="N836" t="s">
        <v>46</v>
      </c>
    </row>
    <row r="837" spans="1:14" x14ac:dyDescent="0.2">
      <c r="A837" s="3">
        <f t="shared" si="14"/>
        <v>5625</v>
      </c>
      <c r="B837" t="str">
        <f>"00056250001"</f>
        <v>00056250001</v>
      </c>
      <c r="C837" t="s">
        <v>1134</v>
      </c>
      <c r="D837" t="s">
        <v>52</v>
      </c>
      <c r="E837">
        <v>90</v>
      </c>
      <c r="F837">
        <v>8253</v>
      </c>
      <c r="G837" t="s">
        <v>343</v>
      </c>
      <c r="H837">
        <v>11</v>
      </c>
      <c r="I837" t="s">
        <v>34</v>
      </c>
      <c r="J837">
        <v>7</v>
      </c>
      <c r="K837" t="s">
        <v>34</v>
      </c>
      <c r="L837">
        <v>8</v>
      </c>
      <c r="M837" t="s">
        <v>65</v>
      </c>
      <c r="N837">
        <v>4</v>
      </c>
    </row>
    <row r="838" spans="1:14" x14ac:dyDescent="0.2">
      <c r="A838" s="3">
        <f t="shared" si="14"/>
        <v>5657</v>
      </c>
      <c r="B838" t="str">
        <f>"00056570008"</f>
        <v>00056570008</v>
      </c>
      <c r="C838" t="s">
        <v>1135</v>
      </c>
      <c r="D838" t="s">
        <v>48</v>
      </c>
      <c r="E838">
        <v>33</v>
      </c>
      <c r="F838">
        <v>2243</v>
      </c>
      <c r="G838" t="s">
        <v>151</v>
      </c>
      <c r="H838">
        <v>14</v>
      </c>
      <c r="I838" t="s">
        <v>34</v>
      </c>
      <c r="J838">
        <v>9</v>
      </c>
      <c r="K838" t="s">
        <v>34</v>
      </c>
      <c r="L838">
        <v>8</v>
      </c>
      <c r="M838">
        <v>85250</v>
      </c>
      <c r="N838">
        <v>5</v>
      </c>
    </row>
    <row r="839" spans="1:14" x14ac:dyDescent="0.2">
      <c r="A839" s="3">
        <f t="shared" si="14"/>
        <v>5721</v>
      </c>
      <c r="B839" t="str">
        <f>"00057210006"</f>
        <v>00057210006</v>
      </c>
      <c r="C839" t="s">
        <v>1136</v>
      </c>
      <c r="D839" t="s">
        <v>52</v>
      </c>
      <c r="E839">
        <v>33</v>
      </c>
      <c r="F839">
        <v>3275</v>
      </c>
      <c r="G839" t="s">
        <v>188</v>
      </c>
      <c r="H839">
        <v>6</v>
      </c>
      <c r="I839" t="s">
        <v>25</v>
      </c>
      <c r="J839">
        <v>4</v>
      </c>
      <c r="K839" t="s">
        <v>25</v>
      </c>
      <c r="L839">
        <v>9</v>
      </c>
      <c r="M839">
        <v>85217</v>
      </c>
      <c r="N839">
        <v>2</v>
      </c>
    </row>
    <row r="840" spans="1:14" x14ac:dyDescent="0.2">
      <c r="A840" s="3">
        <f t="shared" si="14"/>
        <v>5740</v>
      </c>
      <c r="B840" t="str">
        <f>"00057400008"</f>
        <v>00057400008</v>
      </c>
      <c r="C840" t="s">
        <v>1137</v>
      </c>
      <c r="D840" t="s">
        <v>1124</v>
      </c>
      <c r="E840">
        <v>20</v>
      </c>
      <c r="F840">
        <v>8086</v>
      </c>
      <c r="G840" t="s">
        <v>290</v>
      </c>
      <c r="H840">
        <v>9</v>
      </c>
      <c r="I840" t="s">
        <v>25</v>
      </c>
      <c r="J840">
        <v>7</v>
      </c>
      <c r="K840" t="s">
        <v>25</v>
      </c>
      <c r="L840">
        <v>6</v>
      </c>
      <c r="M840">
        <v>99633</v>
      </c>
      <c r="N840">
        <v>2</v>
      </c>
    </row>
    <row r="841" spans="1:14" x14ac:dyDescent="0.2">
      <c r="A841" s="3">
        <f t="shared" si="14"/>
        <v>5740</v>
      </c>
      <c r="B841" t="str">
        <f>"00057400008"</f>
        <v>00057400008</v>
      </c>
      <c r="C841" t="s">
        <v>1137</v>
      </c>
      <c r="D841" t="s">
        <v>1124</v>
      </c>
      <c r="E841">
        <v>20</v>
      </c>
      <c r="F841">
        <v>2504</v>
      </c>
      <c r="G841" t="s">
        <v>715</v>
      </c>
      <c r="H841">
        <v>9</v>
      </c>
      <c r="I841" t="s">
        <v>25</v>
      </c>
      <c r="J841">
        <v>7</v>
      </c>
      <c r="K841" t="s">
        <v>25</v>
      </c>
      <c r="L841">
        <v>6</v>
      </c>
      <c r="M841">
        <v>99633</v>
      </c>
      <c r="N841">
        <v>2</v>
      </c>
    </row>
    <row r="842" spans="1:14" x14ac:dyDescent="0.2">
      <c r="A842" s="3">
        <f t="shared" si="14"/>
        <v>5748</v>
      </c>
      <c r="B842" t="str">
        <f>"00057480018"</f>
        <v>00057480018</v>
      </c>
      <c r="C842" t="s">
        <v>1138</v>
      </c>
      <c r="D842" t="s">
        <v>42</v>
      </c>
      <c r="E842">
        <v>82</v>
      </c>
      <c r="F842">
        <v>4287</v>
      </c>
      <c r="G842" t="s">
        <v>445</v>
      </c>
      <c r="H842" t="s">
        <v>44</v>
      </c>
      <c r="I842" t="s">
        <v>45</v>
      </c>
      <c r="J842" t="s">
        <v>44</v>
      </c>
      <c r="K842" t="s">
        <v>45</v>
      </c>
      <c r="L842">
        <v>8</v>
      </c>
      <c r="M842">
        <v>70208</v>
      </c>
      <c r="N842" t="s">
        <v>46</v>
      </c>
    </row>
    <row r="843" spans="1:14" x14ac:dyDescent="0.2">
      <c r="A843" s="3">
        <f t="shared" si="14"/>
        <v>5759</v>
      </c>
      <c r="B843" t="str">
        <f>"00057590025"</f>
        <v>00057590025</v>
      </c>
      <c r="C843" t="s">
        <v>51</v>
      </c>
      <c r="D843" t="s">
        <v>115</v>
      </c>
      <c r="E843">
        <v>70</v>
      </c>
      <c r="F843">
        <v>534</v>
      </c>
      <c r="G843" t="s">
        <v>53</v>
      </c>
      <c r="H843">
        <v>6</v>
      </c>
      <c r="I843" t="s">
        <v>25</v>
      </c>
      <c r="J843">
        <v>4</v>
      </c>
      <c r="K843" t="s">
        <v>25</v>
      </c>
      <c r="L843">
        <v>8</v>
      </c>
      <c r="M843">
        <v>66164</v>
      </c>
      <c r="N843">
        <v>2</v>
      </c>
    </row>
    <row r="844" spans="1:14" x14ac:dyDescent="0.2">
      <c r="A844" s="3">
        <f t="shared" si="14"/>
        <v>5761</v>
      </c>
      <c r="B844" t="str">
        <f>"00057610005"</f>
        <v>00057610005</v>
      </c>
      <c r="C844" t="s">
        <v>1139</v>
      </c>
      <c r="D844" t="s">
        <v>67</v>
      </c>
      <c r="E844">
        <v>33</v>
      </c>
      <c r="F844">
        <v>4206</v>
      </c>
      <c r="G844" t="s">
        <v>822</v>
      </c>
      <c r="H844">
        <v>30</v>
      </c>
      <c r="I844" t="s">
        <v>34</v>
      </c>
      <c r="J844">
        <v>20</v>
      </c>
      <c r="K844" t="s">
        <v>34</v>
      </c>
      <c r="L844">
        <v>8</v>
      </c>
      <c r="M844">
        <v>83217</v>
      </c>
      <c r="N844">
        <v>10</v>
      </c>
    </row>
    <row r="845" spans="1:14" x14ac:dyDescent="0.2">
      <c r="A845" s="3">
        <f t="shared" si="14"/>
        <v>5766</v>
      </c>
      <c r="B845" t="str">
        <f>"00057660068"</f>
        <v>00057660068</v>
      </c>
      <c r="C845" t="s">
        <v>1140</v>
      </c>
      <c r="D845" t="s">
        <v>52</v>
      </c>
      <c r="E845">
        <v>72</v>
      </c>
      <c r="F845">
        <v>3112</v>
      </c>
      <c r="G845" t="s">
        <v>245</v>
      </c>
      <c r="H845">
        <v>90</v>
      </c>
      <c r="I845" t="s">
        <v>34</v>
      </c>
      <c r="J845">
        <v>69</v>
      </c>
      <c r="K845" t="s">
        <v>34</v>
      </c>
      <c r="L845">
        <v>6</v>
      </c>
      <c r="M845">
        <v>2666</v>
      </c>
      <c r="N845">
        <v>21</v>
      </c>
    </row>
    <row r="846" spans="1:14" x14ac:dyDescent="0.2">
      <c r="A846" s="3">
        <f t="shared" si="14"/>
        <v>5773</v>
      </c>
      <c r="B846" t="str">
        <f>"00057730024"</f>
        <v>00057730024</v>
      </c>
      <c r="C846" t="s">
        <v>1141</v>
      </c>
      <c r="D846" t="s">
        <v>77</v>
      </c>
      <c r="E846">
        <v>45</v>
      </c>
      <c r="F846">
        <v>2131</v>
      </c>
      <c r="G846" t="s">
        <v>241</v>
      </c>
      <c r="H846">
        <v>45</v>
      </c>
      <c r="I846" t="s">
        <v>34</v>
      </c>
      <c r="J846">
        <v>34</v>
      </c>
      <c r="K846" t="s">
        <v>34</v>
      </c>
      <c r="L846">
        <v>8</v>
      </c>
      <c r="M846">
        <v>81091</v>
      </c>
      <c r="N846">
        <v>11</v>
      </c>
    </row>
    <row r="847" spans="1:14" x14ac:dyDescent="0.2">
      <c r="A847" s="3">
        <f t="shared" si="14"/>
        <v>5782</v>
      </c>
      <c r="B847" t="str">
        <f>"00057820102"</f>
        <v>00057820102</v>
      </c>
      <c r="C847" t="s">
        <v>1142</v>
      </c>
      <c r="D847" t="s">
        <v>52</v>
      </c>
      <c r="E847">
        <v>46</v>
      </c>
      <c r="F847">
        <v>1969</v>
      </c>
      <c r="G847" t="s">
        <v>383</v>
      </c>
      <c r="H847">
        <v>16</v>
      </c>
      <c r="I847" t="s">
        <v>25</v>
      </c>
      <c r="J847">
        <v>13</v>
      </c>
      <c r="K847" t="s">
        <v>25</v>
      </c>
      <c r="L847">
        <v>6</v>
      </c>
      <c r="M847">
        <v>1633</v>
      </c>
      <c r="N847">
        <v>3</v>
      </c>
    </row>
    <row r="848" spans="1:14" x14ac:dyDescent="0.2">
      <c r="A848" s="3">
        <f t="shared" si="14"/>
        <v>5786</v>
      </c>
      <c r="B848" t="str">
        <f>"00057860028"</f>
        <v>00057860028</v>
      </c>
      <c r="C848" t="s">
        <v>1143</v>
      </c>
      <c r="D848" t="s">
        <v>42</v>
      </c>
      <c r="E848">
        <v>71</v>
      </c>
      <c r="F848">
        <v>1267</v>
      </c>
      <c r="G848" t="s">
        <v>1144</v>
      </c>
      <c r="H848">
        <v>12</v>
      </c>
      <c r="I848" t="s">
        <v>25</v>
      </c>
      <c r="J848">
        <v>9</v>
      </c>
      <c r="K848" t="s">
        <v>25</v>
      </c>
      <c r="L848">
        <v>8</v>
      </c>
      <c r="M848">
        <v>72016</v>
      </c>
      <c r="N848">
        <v>3</v>
      </c>
    </row>
    <row r="849" spans="1:14" x14ac:dyDescent="0.2">
      <c r="A849" s="3">
        <f t="shared" si="14"/>
        <v>5790</v>
      </c>
      <c r="B849" t="str">
        <f>"00057900006"</f>
        <v>00057900006</v>
      </c>
      <c r="C849" t="s">
        <v>1145</v>
      </c>
      <c r="D849" t="s">
        <v>115</v>
      </c>
      <c r="E849">
        <v>62</v>
      </c>
      <c r="F849">
        <v>4652</v>
      </c>
      <c r="G849" t="s">
        <v>613</v>
      </c>
      <c r="H849">
        <v>160</v>
      </c>
      <c r="I849" t="s">
        <v>34</v>
      </c>
      <c r="J849">
        <v>125</v>
      </c>
      <c r="K849" t="s">
        <v>34</v>
      </c>
      <c r="L849">
        <v>8</v>
      </c>
      <c r="M849">
        <v>95164</v>
      </c>
      <c r="N849">
        <v>35</v>
      </c>
    </row>
    <row r="850" spans="1:14" x14ac:dyDescent="0.2">
      <c r="A850" s="3">
        <f t="shared" si="14"/>
        <v>5791</v>
      </c>
      <c r="B850" t="str">
        <f>"00057910008"</f>
        <v>00057910008</v>
      </c>
      <c r="C850" t="s">
        <v>1146</v>
      </c>
      <c r="D850" t="s">
        <v>36</v>
      </c>
      <c r="E850">
        <v>61</v>
      </c>
      <c r="F850">
        <v>1888</v>
      </c>
      <c r="G850" t="s">
        <v>1147</v>
      </c>
      <c r="H850" t="s">
        <v>44</v>
      </c>
      <c r="I850" t="s">
        <v>45</v>
      </c>
      <c r="J850" t="s">
        <v>44</v>
      </c>
      <c r="K850" t="s">
        <v>45</v>
      </c>
      <c r="L850">
        <v>5</v>
      </c>
      <c r="M850" t="s">
        <v>65</v>
      </c>
      <c r="N850" t="s">
        <v>46</v>
      </c>
    </row>
    <row r="851" spans="1:14" x14ac:dyDescent="0.2">
      <c r="A851" s="3">
        <f t="shared" si="14"/>
        <v>5793</v>
      </c>
      <c r="B851" t="str">
        <f>"00057930008"</f>
        <v>00057930008</v>
      </c>
      <c r="C851" t="s">
        <v>1148</v>
      </c>
      <c r="D851" t="s">
        <v>52</v>
      </c>
      <c r="E851">
        <v>61</v>
      </c>
      <c r="F851">
        <v>1888</v>
      </c>
      <c r="G851" t="s">
        <v>1147</v>
      </c>
      <c r="H851" t="s">
        <v>44</v>
      </c>
      <c r="I851" t="s">
        <v>45</v>
      </c>
      <c r="J851" t="s">
        <v>44</v>
      </c>
      <c r="K851" t="s">
        <v>45</v>
      </c>
      <c r="L851">
        <v>6</v>
      </c>
      <c r="M851">
        <v>52660</v>
      </c>
      <c r="N851" t="s">
        <v>46</v>
      </c>
    </row>
    <row r="852" spans="1:14" x14ac:dyDescent="0.2">
      <c r="A852" s="3">
        <f t="shared" si="14"/>
        <v>5796</v>
      </c>
      <c r="B852" t="str">
        <f>"00057960010"</f>
        <v>00057960010</v>
      </c>
      <c r="C852" t="s">
        <v>1149</v>
      </c>
      <c r="D852" t="s">
        <v>42</v>
      </c>
      <c r="E852">
        <v>82</v>
      </c>
      <c r="F852">
        <v>4678</v>
      </c>
      <c r="G852" t="s">
        <v>55</v>
      </c>
      <c r="H852" t="s">
        <v>44</v>
      </c>
      <c r="I852" t="s">
        <v>45</v>
      </c>
      <c r="J852" t="s">
        <v>44</v>
      </c>
      <c r="K852" t="s">
        <v>45</v>
      </c>
      <c r="L852">
        <v>8</v>
      </c>
      <c r="M852">
        <v>70232</v>
      </c>
      <c r="N852" t="s">
        <v>46</v>
      </c>
    </row>
    <row r="853" spans="1:14" x14ac:dyDescent="0.2">
      <c r="A853" s="3">
        <f t="shared" si="14"/>
        <v>5798</v>
      </c>
      <c r="B853" t="str">
        <f>"00057980016"</f>
        <v>00057980016</v>
      </c>
      <c r="C853" t="s">
        <v>1150</v>
      </c>
      <c r="D853" t="s">
        <v>42</v>
      </c>
      <c r="E853">
        <v>47</v>
      </c>
      <c r="F853">
        <v>2131</v>
      </c>
      <c r="G853" t="s">
        <v>241</v>
      </c>
      <c r="H853">
        <v>8</v>
      </c>
      <c r="I853" t="s">
        <v>25</v>
      </c>
      <c r="J853">
        <v>6</v>
      </c>
      <c r="K853" t="s">
        <v>25</v>
      </c>
      <c r="L853">
        <v>8</v>
      </c>
      <c r="M853">
        <v>66080</v>
      </c>
      <c r="N853">
        <v>2</v>
      </c>
    </row>
    <row r="854" spans="1:14" x14ac:dyDescent="0.2">
      <c r="A854" s="3">
        <f t="shared" si="14"/>
        <v>5800</v>
      </c>
      <c r="B854" t="str">
        <f>"00058000006"</f>
        <v>00058000006</v>
      </c>
      <c r="C854" t="s">
        <v>1151</v>
      </c>
      <c r="D854" t="s">
        <v>67</v>
      </c>
      <c r="E854">
        <v>36</v>
      </c>
      <c r="F854">
        <v>2503</v>
      </c>
      <c r="G854" t="s">
        <v>851</v>
      </c>
      <c r="H854">
        <v>17</v>
      </c>
      <c r="I854" t="s">
        <v>34</v>
      </c>
      <c r="J854">
        <v>11</v>
      </c>
      <c r="K854" t="s">
        <v>34</v>
      </c>
      <c r="L854">
        <v>8</v>
      </c>
      <c r="M854">
        <v>81072</v>
      </c>
      <c r="N854">
        <v>6</v>
      </c>
    </row>
    <row r="855" spans="1:14" x14ac:dyDescent="0.2">
      <c r="A855" s="3">
        <f t="shared" si="14"/>
        <v>5804</v>
      </c>
      <c r="B855" t="str">
        <f>"00058040016"</f>
        <v>00058040016</v>
      </c>
      <c r="C855" t="s">
        <v>1152</v>
      </c>
      <c r="D855" t="s">
        <v>77</v>
      </c>
      <c r="E855">
        <v>45</v>
      </c>
      <c r="F855">
        <v>2131</v>
      </c>
      <c r="G855" t="s">
        <v>241</v>
      </c>
      <c r="H855">
        <v>45</v>
      </c>
      <c r="I855" t="s">
        <v>34</v>
      </c>
      <c r="J855">
        <v>34</v>
      </c>
      <c r="K855" t="s">
        <v>34</v>
      </c>
      <c r="L855">
        <v>8</v>
      </c>
      <c r="M855">
        <v>81093</v>
      </c>
      <c r="N855">
        <v>11</v>
      </c>
    </row>
    <row r="856" spans="1:14" x14ac:dyDescent="0.2">
      <c r="A856" s="3">
        <f t="shared" si="14"/>
        <v>5805</v>
      </c>
      <c r="B856" t="str">
        <f>"00058050014"</f>
        <v>00058050014</v>
      </c>
      <c r="C856" t="s">
        <v>1153</v>
      </c>
      <c r="D856" t="s">
        <v>42</v>
      </c>
      <c r="E856">
        <v>44</v>
      </c>
      <c r="F856">
        <v>2131</v>
      </c>
      <c r="G856" t="s">
        <v>241</v>
      </c>
      <c r="H856">
        <v>90</v>
      </c>
      <c r="I856" t="s">
        <v>34</v>
      </c>
      <c r="J856">
        <v>69</v>
      </c>
      <c r="K856" t="s">
        <v>34</v>
      </c>
      <c r="L856">
        <v>8</v>
      </c>
      <c r="M856">
        <v>65263</v>
      </c>
      <c r="N856">
        <v>21</v>
      </c>
    </row>
    <row r="857" spans="1:14" x14ac:dyDescent="0.2">
      <c r="A857" s="3">
        <f t="shared" si="14"/>
        <v>5816</v>
      </c>
      <c r="B857" t="str">
        <f>"00058160004"</f>
        <v>00058160004</v>
      </c>
      <c r="C857" t="s">
        <v>1154</v>
      </c>
      <c r="D857" t="s">
        <v>52</v>
      </c>
      <c r="E857">
        <v>20</v>
      </c>
      <c r="F857">
        <v>8086</v>
      </c>
      <c r="G857" t="s">
        <v>290</v>
      </c>
      <c r="H857">
        <v>11</v>
      </c>
      <c r="I857" t="s">
        <v>25</v>
      </c>
      <c r="J857">
        <v>8</v>
      </c>
      <c r="K857" t="s">
        <v>25</v>
      </c>
      <c r="L857">
        <v>8</v>
      </c>
      <c r="M857">
        <v>89028</v>
      </c>
      <c r="N857">
        <v>3</v>
      </c>
    </row>
    <row r="858" spans="1:14" x14ac:dyDescent="0.2">
      <c r="A858" s="3">
        <f t="shared" si="14"/>
        <v>5820</v>
      </c>
      <c r="B858" t="str">
        <f>"00058200012"</f>
        <v>00058200012</v>
      </c>
      <c r="C858" t="s">
        <v>1155</v>
      </c>
      <c r="D858" t="s">
        <v>42</v>
      </c>
      <c r="E858">
        <v>82</v>
      </c>
      <c r="F858">
        <v>4287</v>
      </c>
      <c r="G858" t="s">
        <v>445</v>
      </c>
      <c r="H858" t="s">
        <v>44</v>
      </c>
      <c r="I858" t="s">
        <v>45</v>
      </c>
      <c r="J858" t="s">
        <v>44</v>
      </c>
      <c r="K858" t="s">
        <v>45</v>
      </c>
      <c r="L858">
        <v>8</v>
      </c>
      <c r="M858">
        <v>72263</v>
      </c>
      <c r="N858" t="s">
        <v>46</v>
      </c>
    </row>
    <row r="859" spans="1:14" x14ac:dyDescent="0.2">
      <c r="A859" s="3">
        <f t="shared" si="14"/>
        <v>5858</v>
      </c>
      <c r="B859" t="str">
        <f>"00058580004"</f>
        <v>00058580004</v>
      </c>
      <c r="C859" t="s">
        <v>1156</v>
      </c>
      <c r="D859" t="s">
        <v>115</v>
      </c>
      <c r="E859">
        <v>62</v>
      </c>
      <c r="F859">
        <v>4652</v>
      </c>
      <c r="G859" t="s">
        <v>613</v>
      </c>
      <c r="H859">
        <v>8</v>
      </c>
      <c r="I859" t="s">
        <v>25</v>
      </c>
      <c r="J859">
        <v>6</v>
      </c>
      <c r="K859" t="s">
        <v>25</v>
      </c>
      <c r="L859">
        <v>8</v>
      </c>
      <c r="M859">
        <v>71105</v>
      </c>
      <c r="N859">
        <v>2</v>
      </c>
    </row>
    <row r="860" spans="1:14" x14ac:dyDescent="0.2">
      <c r="A860" s="3">
        <f t="shared" si="14"/>
        <v>5872</v>
      </c>
      <c r="B860" t="str">
        <f>"00058720008"</f>
        <v>00058720008</v>
      </c>
      <c r="C860" t="s">
        <v>1157</v>
      </c>
      <c r="D860" t="s">
        <v>48</v>
      </c>
      <c r="E860">
        <v>30</v>
      </c>
      <c r="F860">
        <v>3601</v>
      </c>
      <c r="G860" t="s">
        <v>408</v>
      </c>
      <c r="H860">
        <v>20</v>
      </c>
      <c r="I860" t="s">
        <v>34</v>
      </c>
      <c r="J860">
        <v>14</v>
      </c>
      <c r="K860" t="s">
        <v>34</v>
      </c>
      <c r="L860">
        <v>8</v>
      </c>
      <c r="M860">
        <v>83100</v>
      </c>
      <c r="N860">
        <v>6</v>
      </c>
    </row>
    <row r="861" spans="1:14" x14ac:dyDescent="0.2">
      <c r="A861" s="3">
        <f t="shared" si="14"/>
        <v>5875</v>
      </c>
      <c r="B861" t="str">
        <f>"00058750008"</f>
        <v>00058750008</v>
      </c>
      <c r="C861" t="s">
        <v>1158</v>
      </c>
      <c r="D861" t="s">
        <v>48</v>
      </c>
      <c r="E861">
        <v>30</v>
      </c>
      <c r="F861">
        <v>3601</v>
      </c>
      <c r="G861" t="s">
        <v>408</v>
      </c>
      <c r="H861">
        <v>20</v>
      </c>
      <c r="I861" t="s">
        <v>34</v>
      </c>
      <c r="J861">
        <v>14</v>
      </c>
      <c r="K861" t="s">
        <v>34</v>
      </c>
      <c r="L861">
        <v>8</v>
      </c>
      <c r="M861">
        <v>83138</v>
      </c>
      <c r="N861">
        <v>6</v>
      </c>
    </row>
    <row r="862" spans="1:14" x14ac:dyDescent="0.2">
      <c r="A862" s="3">
        <f t="shared" si="14"/>
        <v>5888</v>
      </c>
      <c r="B862" t="str">
        <f>"00058880017"</f>
        <v>00058880017</v>
      </c>
      <c r="C862" t="s">
        <v>1159</v>
      </c>
      <c r="D862" t="s">
        <v>36</v>
      </c>
      <c r="E862">
        <v>71</v>
      </c>
      <c r="F862">
        <v>1301</v>
      </c>
      <c r="G862" t="s">
        <v>521</v>
      </c>
      <c r="H862">
        <v>136</v>
      </c>
      <c r="I862" t="s">
        <v>34</v>
      </c>
      <c r="J862">
        <v>109</v>
      </c>
      <c r="K862" t="s">
        <v>34</v>
      </c>
      <c r="L862">
        <v>8</v>
      </c>
      <c r="M862">
        <v>74228</v>
      </c>
      <c r="N862">
        <v>27</v>
      </c>
    </row>
    <row r="863" spans="1:14" x14ac:dyDescent="0.2">
      <c r="A863" s="3">
        <f t="shared" si="14"/>
        <v>5894</v>
      </c>
      <c r="B863" t="str">
        <f>"00058940012"</f>
        <v>00058940012</v>
      </c>
      <c r="C863" t="s">
        <v>1160</v>
      </c>
      <c r="D863" t="s">
        <v>42</v>
      </c>
      <c r="E863">
        <v>82</v>
      </c>
      <c r="F863">
        <v>4287</v>
      </c>
      <c r="G863" t="s">
        <v>445</v>
      </c>
      <c r="H863" t="s">
        <v>44</v>
      </c>
      <c r="I863" t="s">
        <v>45</v>
      </c>
      <c r="J863" t="s">
        <v>44</v>
      </c>
      <c r="K863" t="s">
        <v>45</v>
      </c>
      <c r="L863">
        <v>8</v>
      </c>
      <c r="M863">
        <v>72252</v>
      </c>
      <c r="N863" t="s">
        <v>46</v>
      </c>
    </row>
    <row r="864" spans="1:14" x14ac:dyDescent="0.2">
      <c r="A864" s="3">
        <f t="shared" si="14"/>
        <v>5896</v>
      </c>
      <c r="B864" t="str">
        <f>"00058960017"</f>
        <v>00058960017</v>
      </c>
      <c r="C864" t="s">
        <v>1161</v>
      </c>
      <c r="D864" t="s">
        <v>36</v>
      </c>
      <c r="E864">
        <v>71</v>
      </c>
      <c r="F864">
        <v>1301</v>
      </c>
      <c r="G864" t="s">
        <v>521</v>
      </c>
      <c r="H864">
        <v>108</v>
      </c>
      <c r="I864" t="s">
        <v>34</v>
      </c>
      <c r="J864">
        <v>80</v>
      </c>
      <c r="K864" t="s">
        <v>34</v>
      </c>
      <c r="L864">
        <v>8</v>
      </c>
      <c r="M864">
        <v>74208</v>
      </c>
      <c r="N864">
        <v>28</v>
      </c>
    </row>
    <row r="865" spans="1:14" x14ac:dyDescent="0.2">
      <c r="A865" s="3">
        <f t="shared" si="14"/>
        <v>5919</v>
      </c>
      <c r="B865" t="str">
        <f>"00059190018"</f>
        <v>00059190018</v>
      </c>
      <c r="C865" t="s">
        <v>1162</v>
      </c>
      <c r="D865" t="s">
        <v>115</v>
      </c>
      <c r="E865">
        <v>71</v>
      </c>
      <c r="F865">
        <v>1695</v>
      </c>
      <c r="G865" t="s">
        <v>627</v>
      </c>
      <c r="H865">
        <v>120</v>
      </c>
      <c r="I865" t="s">
        <v>34</v>
      </c>
      <c r="J865">
        <v>88</v>
      </c>
      <c r="K865" t="s">
        <v>34</v>
      </c>
      <c r="L865">
        <v>8</v>
      </c>
      <c r="M865">
        <v>76010</v>
      </c>
      <c r="N865">
        <v>32</v>
      </c>
    </row>
    <row r="866" spans="1:14" x14ac:dyDescent="0.2">
      <c r="A866" s="3">
        <f t="shared" si="14"/>
        <v>6002</v>
      </c>
      <c r="B866" t="str">
        <f>"00060020001"</f>
        <v>00060020001</v>
      </c>
      <c r="C866" t="s">
        <v>1163</v>
      </c>
      <c r="D866" t="s">
        <v>63</v>
      </c>
      <c r="E866">
        <v>997</v>
      </c>
      <c r="F866">
        <v>5003</v>
      </c>
      <c r="G866" t="s">
        <v>64</v>
      </c>
      <c r="H866" t="s">
        <v>44</v>
      </c>
      <c r="I866" t="s">
        <v>45</v>
      </c>
      <c r="J866" t="s">
        <v>44</v>
      </c>
      <c r="K866" t="s">
        <v>45</v>
      </c>
      <c r="L866">
        <v>8</v>
      </c>
      <c r="M866">
        <v>60057</v>
      </c>
      <c r="N866" t="s">
        <v>46</v>
      </c>
    </row>
    <row r="867" spans="1:14" x14ac:dyDescent="0.2">
      <c r="A867" s="3">
        <f t="shared" si="14"/>
        <v>6004</v>
      </c>
      <c r="B867" t="str">
        <f>"00060040021"</f>
        <v>00060040021</v>
      </c>
      <c r="C867" t="s">
        <v>1164</v>
      </c>
      <c r="D867" t="s">
        <v>52</v>
      </c>
      <c r="E867">
        <v>70</v>
      </c>
      <c r="F867">
        <v>7511</v>
      </c>
      <c r="G867" t="s">
        <v>1165</v>
      </c>
      <c r="H867">
        <v>100</v>
      </c>
      <c r="I867" t="s">
        <v>34</v>
      </c>
      <c r="J867">
        <v>75</v>
      </c>
      <c r="K867" t="s">
        <v>34</v>
      </c>
      <c r="L867">
        <v>6</v>
      </c>
      <c r="M867">
        <v>2622</v>
      </c>
      <c r="N867">
        <v>25</v>
      </c>
    </row>
    <row r="868" spans="1:14" x14ac:dyDescent="0.2">
      <c r="A868" s="3">
        <f t="shared" si="14"/>
        <v>6008</v>
      </c>
      <c r="B868" t="str">
        <f>"00060080001"</f>
        <v>00060080001</v>
      </c>
      <c r="C868" t="s">
        <v>1166</v>
      </c>
      <c r="D868" t="s">
        <v>63</v>
      </c>
      <c r="E868">
        <v>82</v>
      </c>
      <c r="F868">
        <v>5003</v>
      </c>
      <c r="G868" t="s">
        <v>64</v>
      </c>
      <c r="H868" t="s">
        <v>44</v>
      </c>
      <c r="I868" t="s">
        <v>45</v>
      </c>
      <c r="J868" t="s">
        <v>44</v>
      </c>
      <c r="K868" t="s">
        <v>45</v>
      </c>
      <c r="L868">
        <v>7</v>
      </c>
      <c r="M868" t="s">
        <v>65</v>
      </c>
      <c r="N868" t="s">
        <v>46</v>
      </c>
    </row>
    <row r="869" spans="1:14" x14ac:dyDescent="0.2">
      <c r="A869" s="3">
        <f t="shared" si="14"/>
        <v>6010</v>
      </c>
      <c r="B869" t="str">
        <f>"00060100001"</f>
        <v>00060100001</v>
      </c>
      <c r="C869" t="s">
        <v>1167</v>
      </c>
      <c r="D869" t="s">
        <v>52</v>
      </c>
      <c r="E869">
        <v>90</v>
      </c>
      <c r="F869">
        <v>8233</v>
      </c>
      <c r="G869" t="s">
        <v>1168</v>
      </c>
      <c r="H869">
        <v>7</v>
      </c>
      <c r="I869" t="s">
        <v>34</v>
      </c>
      <c r="J869">
        <v>5</v>
      </c>
      <c r="K869" t="s">
        <v>34</v>
      </c>
      <c r="L869">
        <v>8</v>
      </c>
      <c r="M869">
        <v>91130</v>
      </c>
      <c r="N869">
        <v>2</v>
      </c>
    </row>
    <row r="870" spans="1:14" x14ac:dyDescent="0.2">
      <c r="A870" s="3">
        <f t="shared" si="14"/>
        <v>6039</v>
      </c>
      <c r="B870" t="str">
        <f>"00060390006"</f>
        <v>00060390006</v>
      </c>
      <c r="C870" t="s">
        <v>1169</v>
      </c>
      <c r="D870" t="s">
        <v>52</v>
      </c>
      <c r="E870">
        <v>44</v>
      </c>
      <c r="F870">
        <v>4868</v>
      </c>
      <c r="G870" t="s">
        <v>1170</v>
      </c>
      <c r="H870">
        <v>6</v>
      </c>
      <c r="I870" t="s">
        <v>25</v>
      </c>
      <c r="J870">
        <v>4</v>
      </c>
      <c r="K870" t="s">
        <v>25</v>
      </c>
      <c r="L870">
        <v>6</v>
      </c>
      <c r="M870">
        <v>3600</v>
      </c>
      <c r="N870">
        <v>2</v>
      </c>
    </row>
    <row r="871" spans="1:14" x14ac:dyDescent="0.2">
      <c r="A871" s="3">
        <f t="shared" si="14"/>
        <v>6082</v>
      </c>
      <c r="B871" t="str">
        <f>"00060820001"</f>
        <v>00060820001</v>
      </c>
      <c r="C871" t="s">
        <v>1171</v>
      </c>
      <c r="D871" t="s">
        <v>337</v>
      </c>
      <c r="E871">
        <v>90</v>
      </c>
      <c r="F871">
        <v>8253</v>
      </c>
      <c r="G871" t="s">
        <v>343</v>
      </c>
      <c r="H871">
        <v>9</v>
      </c>
      <c r="I871" t="s">
        <v>34</v>
      </c>
      <c r="J871">
        <v>6</v>
      </c>
      <c r="K871" t="s">
        <v>34</v>
      </c>
      <c r="L871">
        <v>8</v>
      </c>
      <c r="M871">
        <v>91025</v>
      </c>
      <c r="N871">
        <v>3</v>
      </c>
    </row>
    <row r="872" spans="1:14" x14ac:dyDescent="0.2">
      <c r="A872" s="3">
        <f t="shared" si="14"/>
        <v>6155</v>
      </c>
      <c r="B872" t="str">
        <f>"00061550001"</f>
        <v>00061550001</v>
      </c>
      <c r="C872" t="s">
        <v>1172</v>
      </c>
      <c r="D872" t="s">
        <v>52</v>
      </c>
      <c r="E872">
        <v>90</v>
      </c>
      <c r="F872">
        <v>3759</v>
      </c>
      <c r="G872" t="s">
        <v>356</v>
      </c>
      <c r="H872">
        <v>9</v>
      </c>
      <c r="I872" t="s">
        <v>34</v>
      </c>
      <c r="J872">
        <v>6</v>
      </c>
      <c r="K872" t="s">
        <v>34</v>
      </c>
      <c r="L872">
        <v>8</v>
      </c>
      <c r="M872" t="s">
        <v>65</v>
      </c>
      <c r="N872">
        <v>3</v>
      </c>
    </row>
    <row r="873" spans="1:14" x14ac:dyDescent="0.2">
      <c r="A873" s="3">
        <f t="shared" si="14"/>
        <v>6165</v>
      </c>
      <c r="B873" t="str">
        <f>"00061650006"</f>
        <v>00061650006</v>
      </c>
      <c r="C873" t="s">
        <v>1173</v>
      </c>
      <c r="D873" t="s">
        <v>52</v>
      </c>
      <c r="E873">
        <v>33</v>
      </c>
      <c r="F873">
        <v>114</v>
      </c>
      <c r="G873" t="s">
        <v>1128</v>
      </c>
      <c r="H873">
        <v>21</v>
      </c>
      <c r="I873" t="s">
        <v>34</v>
      </c>
      <c r="J873">
        <v>15</v>
      </c>
      <c r="K873" t="s">
        <v>34</v>
      </c>
      <c r="L873">
        <v>6</v>
      </c>
      <c r="M873">
        <v>1502</v>
      </c>
      <c r="N873">
        <v>6</v>
      </c>
    </row>
    <row r="874" spans="1:14" x14ac:dyDescent="0.2">
      <c r="A874" s="3">
        <f t="shared" si="14"/>
        <v>6187</v>
      </c>
      <c r="B874" t="str">
        <f>"00061870008"</f>
        <v>00061870008</v>
      </c>
      <c r="C874" t="s">
        <v>1174</v>
      </c>
      <c r="D874" t="s">
        <v>48</v>
      </c>
      <c r="E874">
        <v>33</v>
      </c>
      <c r="F874">
        <v>4359</v>
      </c>
      <c r="G874" t="s">
        <v>49</v>
      </c>
      <c r="H874">
        <v>18</v>
      </c>
      <c r="I874" t="s">
        <v>34</v>
      </c>
      <c r="J874">
        <v>13</v>
      </c>
      <c r="K874" t="s">
        <v>34</v>
      </c>
      <c r="L874">
        <v>8</v>
      </c>
      <c r="M874">
        <v>84190</v>
      </c>
      <c r="N874">
        <v>5</v>
      </c>
    </row>
    <row r="875" spans="1:14" x14ac:dyDescent="0.2">
      <c r="A875" s="3">
        <f t="shared" si="14"/>
        <v>6195</v>
      </c>
      <c r="B875" t="str">
        <f>"00061950001"</f>
        <v>00061950001</v>
      </c>
      <c r="C875" t="s">
        <v>1175</v>
      </c>
      <c r="D875" t="s">
        <v>52</v>
      </c>
      <c r="E875">
        <v>90</v>
      </c>
      <c r="F875">
        <v>2785</v>
      </c>
      <c r="G875" t="s">
        <v>176</v>
      </c>
      <c r="H875">
        <v>8</v>
      </c>
      <c r="I875" t="s">
        <v>34</v>
      </c>
      <c r="J875">
        <v>5</v>
      </c>
      <c r="K875" t="s">
        <v>34</v>
      </c>
      <c r="L875">
        <v>6</v>
      </c>
      <c r="M875" t="s">
        <v>65</v>
      </c>
      <c r="N875">
        <v>3</v>
      </c>
    </row>
    <row r="876" spans="1:14" x14ac:dyDescent="0.2">
      <c r="A876" s="3">
        <f t="shared" si="14"/>
        <v>6202</v>
      </c>
      <c r="B876" t="str">
        <f>"00062020001"</f>
        <v>00062020001</v>
      </c>
      <c r="C876" t="s">
        <v>1176</v>
      </c>
      <c r="D876" t="s">
        <v>52</v>
      </c>
      <c r="E876">
        <v>90</v>
      </c>
      <c r="F876">
        <v>3759</v>
      </c>
      <c r="G876" t="s">
        <v>356</v>
      </c>
      <c r="H876">
        <v>9</v>
      </c>
      <c r="I876" t="s">
        <v>34</v>
      </c>
      <c r="J876">
        <v>6</v>
      </c>
      <c r="K876" t="s">
        <v>34</v>
      </c>
      <c r="L876">
        <v>6</v>
      </c>
      <c r="M876" t="s">
        <v>65</v>
      </c>
      <c r="N876">
        <v>3</v>
      </c>
    </row>
    <row r="877" spans="1:14" x14ac:dyDescent="0.2">
      <c r="A877" s="3">
        <f t="shared" si="14"/>
        <v>6215</v>
      </c>
      <c r="B877" t="str">
        <f>"00062150015"</f>
        <v>00062150015</v>
      </c>
      <c r="C877" t="s">
        <v>1177</v>
      </c>
      <c r="D877" t="s">
        <v>52</v>
      </c>
      <c r="E877">
        <v>40</v>
      </c>
      <c r="F877">
        <v>8229</v>
      </c>
      <c r="G877" t="s">
        <v>282</v>
      </c>
      <c r="H877">
        <v>40</v>
      </c>
      <c r="I877" t="s">
        <v>34</v>
      </c>
      <c r="J877">
        <v>30</v>
      </c>
      <c r="K877" t="s">
        <v>34</v>
      </c>
      <c r="L877">
        <v>6</v>
      </c>
      <c r="M877">
        <v>3623</v>
      </c>
      <c r="N877">
        <v>10</v>
      </c>
    </row>
    <row r="878" spans="1:14" x14ac:dyDescent="0.2">
      <c r="A878" s="3">
        <f t="shared" si="14"/>
        <v>6273</v>
      </c>
      <c r="B878" t="str">
        <f>"00062730008"</f>
        <v>00062730008</v>
      </c>
      <c r="C878" t="s">
        <v>1178</v>
      </c>
      <c r="D878" t="s">
        <v>115</v>
      </c>
      <c r="E878">
        <v>41</v>
      </c>
      <c r="F878">
        <v>2362</v>
      </c>
      <c r="G878" t="s">
        <v>1179</v>
      </c>
      <c r="H878">
        <v>90</v>
      </c>
      <c r="I878" t="s">
        <v>34</v>
      </c>
      <c r="J878">
        <v>69</v>
      </c>
      <c r="K878" t="s">
        <v>34</v>
      </c>
      <c r="L878">
        <v>8</v>
      </c>
      <c r="M878">
        <v>72173</v>
      </c>
      <c r="N878">
        <v>21</v>
      </c>
    </row>
    <row r="879" spans="1:14" x14ac:dyDescent="0.2">
      <c r="A879" s="3">
        <f t="shared" si="14"/>
        <v>6338</v>
      </c>
      <c r="B879" t="str">
        <f>"00063380001"</f>
        <v>00063380001</v>
      </c>
      <c r="C879" t="s">
        <v>1180</v>
      </c>
      <c r="D879" t="s">
        <v>337</v>
      </c>
      <c r="E879">
        <v>90</v>
      </c>
      <c r="F879">
        <v>8253</v>
      </c>
      <c r="G879" t="s">
        <v>343</v>
      </c>
      <c r="H879">
        <v>9</v>
      </c>
      <c r="I879" t="s">
        <v>34</v>
      </c>
      <c r="J879">
        <v>6</v>
      </c>
      <c r="K879" t="s">
        <v>34</v>
      </c>
      <c r="L879">
        <v>8</v>
      </c>
      <c r="M879">
        <v>91026</v>
      </c>
      <c r="N879">
        <v>2</v>
      </c>
    </row>
    <row r="880" spans="1:14" x14ac:dyDescent="0.2">
      <c r="A880" s="3">
        <f t="shared" si="14"/>
        <v>6340</v>
      </c>
      <c r="B880" t="str">
        <f>"00063400007"</f>
        <v>00063400007</v>
      </c>
      <c r="C880" t="s">
        <v>1181</v>
      </c>
      <c r="D880" t="s">
        <v>52</v>
      </c>
      <c r="E880">
        <v>70</v>
      </c>
      <c r="F880">
        <v>2201</v>
      </c>
      <c r="G880" t="s">
        <v>1182</v>
      </c>
      <c r="H880">
        <v>6</v>
      </c>
      <c r="I880" t="s">
        <v>25</v>
      </c>
      <c r="J880">
        <v>4</v>
      </c>
      <c r="K880" t="s">
        <v>25</v>
      </c>
      <c r="L880">
        <v>6</v>
      </c>
      <c r="M880">
        <v>52636</v>
      </c>
      <c r="N880">
        <v>2</v>
      </c>
    </row>
    <row r="881" spans="1:14" x14ac:dyDescent="0.2">
      <c r="A881" s="3">
        <f t="shared" si="14"/>
        <v>6341</v>
      </c>
      <c r="B881" t="str">
        <f>"00063410009"</f>
        <v>00063410009</v>
      </c>
      <c r="C881" t="s">
        <v>1183</v>
      </c>
      <c r="D881" t="s">
        <v>52</v>
      </c>
      <c r="E881">
        <v>70</v>
      </c>
      <c r="F881">
        <v>7511</v>
      </c>
      <c r="G881" t="s">
        <v>1165</v>
      </c>
      <c r="H881">
        <v>150</v>
      </c>
      <c r="I881" t="s">
        <v>34</v>
      </c>
      <c r="J881">
        <v>118</v>
      </c>
      <c r="K881" t="s">
        <v>34</v>
      </c>
      <c r="L881">
        <v>6</v>
      </c>
      <c r="M881">
        <v>51610</v>
      </c>
      <c r="N881">
        <v>32</v>
      </c>
    </row>
    <row r="882" spans="1:14" x14ac:dyDescent="0.2">
      <c r="A882" s="3">
        <f t="shared" si="14"/>
        <v>6360</v>
      </c>
      <c r="B882" t="str">
        <f>"00063600001"</f>
        <v>00063600001</v>
      </c>
      <c r="C882" t="s">
        <v>1184</v>
      </c>
      <c r="D882" t="s">
        <v>337</v>
      </c>
      <c r="E882">
        <v>90</v>
      </c>
      <c r="F882">
        <v>3759</v>
      </c>
      <c r="G882" t="s">
        <v>356</v>
      </c>
      <c r="H882">
        <v>9</v>
      </c>
      <c r="I882" t="s">
        <v>34</v>
      </c>
      <c r="J882">
        <v>6</v>
      </c>
      <c r="K882" t="s">
        <v>34</v>
      </c>
      <c r="L882">
        <v>8</v>
      </c>
      <c r="M882">
        <v>91023</v>
      </c>
      <c r="N882">
        <v>3</v>
      </c>
    </row>
    <row r="883" spans="1:14" x14ac:dyDescent="0.2">
      <c r="A883" s="3">
        <f t="shared" si="14"/>
        <v>6424</v>
      </c>
      <c r="B883" t="str">
        <f>"00064240007"</f>
        <v>00064240007</v>
      </c>
      <c r="C883" t="s">
        <v>1185</v>
      </c>
      <c r="D883" t="s">
        <v>52</v>
      </c>
      <c r="E883">
        <v>44</v>
      </c>
      <c r="F883">
        <v>3568</v>
      </c>
      <c r="G883" t="s">
        <v>1186</v>
      </c>
      <c r="H883">
        <v>16</v>
      </c>
      <c r="I883" t="s">
        <v>25</v>
      </c>
      <c r="J883">
        <v>13</v>
      </c>
      <c r="K883" t="s">
        <v>25</v>
      </c>
      <c r="L883">
        <v>6</v>
      </c>
      <c r="M883">
        <v>3607</v>
      </c>
      <c r="N883">
        <v>3</v>
      </c>
    </row>
    <row r="884" spans="1:14" x14ac:dyDescent="0.2">
      <c r="A884" s="3">
        <f t="shared" si="14"/>
        <v>6432</v>
      </c>
      <c r="B884" t="str">
        <f>"00064320008"</f>
        <v>00064320008</v>
      </c>
      <c r="C884" t="s">
        <v>1187</v>
      </c>
      <c r="D884" t="s">
        <v>52</v>
      </c>
      <c r="E884">
        <v>51</v>
      </c>
      <c r="F884">
        <v>227</v>
      </c>
      <c r="G884" t="s">
        <v>482</v>
      </c>
      <c r="H884">
        <v>30</v>
      </c>
      <c r="I884" t="s">
        <v>25</v>
      </c>
      <c r="J884">
        <v>24</v>
      </c>
      <c r="K884" t="s">
        <v>25</v>
      </c>
      <c r="L884">
        <v>9</v>
      </c>
      <c r="M884">
        <v>75073</v>
      </c>
      <c r="N884">
        <v>6</v>
      </c>
    </row>
    <row r="885" spans="1:14" x14ac:dyDescent="0.2">
      <c r="A885" s="3">
        <f t="shared" si="14"/>
        <v>6454</v>
      </c>
      <c r="B885" t="str">
        <f>"00064540006"</f>
        <v>00064540006</v>
      </c>
      <c r="C885" t="s">
        <v>1188</v>
      </c>
      <c r="D885" t="s">
        <v>52</v>
      </c>
      <c r="E885">
        <v>62</v>
      </c>
      <c r="F885">
        <v>5222</v>
      </c>
      <c r="G885" t="s">
        <v>1189</v>
      </c>
      <c r="H885">
        <v>18</v>
      </c>
      <c r="I885" t="s">
        <v>25</v>
      </c>
      <c r="J885">
        <v>14</v>
      </c>
      <c r="K885" t="s">
        <v>25</v>
      </c>
      <c r="L885">
        <v>6</v>
      </c>
      <c r="M885">
        <v>52614</v>
      </c>
      <c r="N885">
        <v>4</v>
      </c>
    </row>
    <row r="886" spans="1:14" x14ac:dyDescent="0.2">
      <c r="A886" s="3">
        <f t="shared" si="14"/>
        <v>6458</v>
      </c>
      <c r="B886" t="str">
        <f>"00064580012"</f>
        <v>00064580012</v>
      </c>
      <c r="C886" t="s">
        <v>1190</v>
      </c>
      <c r="D886" t="s">
        <v>115</v>
      </c>
      <c r="E886">
        <v>47</v>
      </c>
      <c r="F886">
        <v>2362</v>
      </c>
      <c r="G886" t="s">
        <v>1179</v>
      </c>
      <c r="H886">
        <v>90</v>
      </c>
      <c r="I886" t="s">
        <v>34</v>
      </c>
      <c r="J886">
        <v>69</v>
      </c>
      <c r="K886" t="s">
        <v>34</v>
      </c>
      <c r="L886">
        <v>8</v>
      </c>
      <c r="M886">
        <v>72181</v>
      </c>
      <c r="N886">
        <v>21</v>
      </c>
    </row>
    <row r="887" spans="1:14" x14ac:dyDescent="0.2">
      <c r="A887" s="3">
        <f t="shared" si="14"/>
        <v>6499</v>
      </c>
      <c r="B887" t="str">
        <f>"00064990001"</f>
        <v>00064990001</v>
      </c>
      <c r="C887" t="s">
        <v>1191</v>
      </c>
      <c r="D887" t="s">
        <v>337</v>
      </c>
      <c r="E887">
        <v>91</v>
      </c>
      <c r="F887">
        <v>7611</v>
      </c>
      <c r="G887" t="s">
        <v>370</v>
      </c>
      <c r="H887">
        <v>8</v>
      </c>
      <c r="I887" t="s">
        <v>34</v>
      </c>
      <c r="J887">
        <v>5</v>
      </c>
      <c r="K887" t="s">
        <v>34</v>
      </c>
      <c r="L887">
        <v>8</v>
      </c>
      <c r="M887">
        <v>91087</v>
      </c>
      <c r="N887">
        <v>2</v>
      </c>
    </row>
    <row r="888" spans="1:14" x14ac:dyDescent="0.2">
      <c r="A888" s="3">
        <f t="shared" si="14"/>
        <v>6508</v>
      </c>
      <c r="B888" t="str">
        <f>"00065080001"</f>
        <v>00065080001</v>
      </c>
      <c r="C888" t="s">
        <v>1192</v>
      </c>
      <c r="D888" t="s">
        <v>52</v>
      </c>
      <c r="E888">
        <v>90</v>
      </c>
      <c r="F888">
        <v>2785</v>
      </c>
      <c r="G888" t="s">
        <v>176</v>
      </c>
      <c r="H888">
        <v>9</v>
      </c>
      <c r="I888" t="s">
        <v>34</v>
      </c>
      <c r="J888">
        <v>6</v>
      </c>
      <c r="K888" t="s">
        <v>34</v>
      </c>
      <c r="L888">
        <v>8</v>
      </c>
      <c r="M888" t="s">
        <v>65</v>
      </c>
      <c r="N888">
        <v>3</v>
      </c>
    </row>
    <row r="889" spans="1:14" x14ac:dyDescent="0.2">
      <c r="A889" s="3">
        <f t="shared" si="14"/>
        <v>6516</v>
      </c>
      <c r="B889" t="str">
        <f>"00065160001"</f>
        <v>00065160001</v>
      </c>
      <c r="C889" t="s">
        <v>1193</v>
      </c>
      <c r="D889" t="s">
        <v>52</v>
      </c>
      <c r="E889">
        <v>90</v>
      </c>
      <c r="F889">
        <v>3759</v>
      </c>
      <c r="G889" t="s">
        <v>356</v>
      </c>
      <c r="H889">
        <v>9</v>
      </c>
      <c r="I889" t="s">
        <v>34</v>
      </c>
      <c r="J889">
        <v>6</v>
      </c>
      <c r="K889" t="s">
        <v>34</v>
      </c>
      <c r="L889">
        <v>6</v>
      </c>
      <c r="M889" t="s">
        <v>65</v>
      </c>
      <c r="N889">
        <v>3</v>
      </c>
    </row>
    <row r="890" spans="1:14" x14ac:dyDescent="0.2">
      <c r="A890" s="3">
        <f t="shared" si="14"/>
        <v>6522</v>
      </c>
      <c r="B890" t="str">
        <f>"00065220012"</f>
        <v>00065220012</v>
      </c>
      <c r="C890" t="s">
        <v>1194</v>
      </c>
      <c r="D890" t="s">
        <v>289</v>
      </c>
      <c r="E890">
        <v>20</v>
      </c>
      <c r="F890">
        <v>8086</v>
      </c>
      <c r="G890" t="s">
        <v>290</v>
      </c>
      <c r="H890">
        <v>16</v>
      </c>
      <c r="I890" t="s">
        <v>25</v>
      </c>
      <c r="J890">
        <v>13</v>
      </c>
      <c r="K890" t="s">
        <v>25</v>
      </c>
      <c r="L890">
        <v>8</v>
      </c>
      <c r="M890">
        <v>89057</v>
      </c>
      <c r="N890">
        <v>3</v>
      </c>
    </row>
    <row r="891" spans="1:14" x14ac:dyDescent="0.2">
      <c r="A891" s="3">
        <f t="shared" si="14"/>
        <v>6522</v>
      </c>
      <c r="B891" t="str">
        <f>"00065220012"</f>
        <v>00065220012</v>
      </c>
      <c r="C891" t="s">
        <v>1194</v>
      </c>
      <c r="D891" t="s">
        <v>289</v>
      </c>
      <c r="E891">
        <v>20</v>
      </c>
      <c r="F891">
        <v>5041</v>
      </c>
      <c r="G891" t="s">
        <v>1195</v>
      </c>
      <c r="H891">
        <v>16</v>
      </c>
      <c r="I891" t="s">
        <v>25</v>
      </c>
      <c r="J891">
        <v>13</v>
      </c>
      <c r="K891" t="s">
        <v>25</v>
      </c>
      <c r="L891">
        <v>8</v>
      </c>
      <c r="M891">
        <v>89057</v>
      </c>
      <c r="N891">
        <v>3</v>
      </c>
    </row>
    <row r="892" spans="1:14" x14ac:dyDescent="0.2">
      <c r="A892" s="3">
        <f t="shared" si="14"/>
        <v>6546</v>
      </c>
      <c r="B892" t="str">
        <f>"00065460015"</f>
        <v>00065460015</v>
      </c>
      <c r="C892" t="s">
        <v>1196</v>
      </c>
      <c r="D892" t="s">
        <v>77</v>
      </c>
      <c r="E892">
        <v>40</v>
      </c>
      <c r="F892">
        <v>8229</v>
      </c>
      <c r="G892" t="s">
        <v>282</v>
      </c>
      <c r="H892">
        <v>60</v>
      </c>
      <c r="I892" t="s">
        <v>34</v>
      </c>
      <c r="J892">
        <v>44</v>
      </c>
      <c r="K892" t="s">
        <v>34</v>
      </c>
      <c r="L892">
        <v>8</v>
      </c>
      <c r="M892">
        <v>76041</v>
      </c>
      <c r="N892">
        <v>11</v>
      </c>
    </row>
    <row r="893" spans="1:14" x14ac:dyDescent="0.2">
      <c r="A893" s="3">
        <f t="shared" si="14"/>
        <v>6553</v>
      </c>
      <c r="B893" t="str">
        <f>"00065530012"</f>
        <v>00065530012</v>
      </c>
      <c r="C893" t="s">
        <v>1197</v>
      </c>
      <c r="D893" t="s">
        <v>52</v>
      </c>
      <c r="E893">
        <v>43</v>
      </c>
      <c r="F893">
        <v>3306</v>
      </c>
      <c r="G893" t="s">
        <v>1198</v>
      </c>
      <c r="H893">
        <v>40</v>
      </c>
      <c r="I893" t="s">
        <v>34</v>
      </c>
      <c r="J893">
        <v>30</v>
      </c>
      <c r="K893" t="s">
        <v>34</v>
      </c>
      <c r="L893">
        <v>9</v>
      </c>
      <c r="M893">
        <v>75081</v>
      </c>
      <c r="N893">
        <v>10</v>
      </c>
    </row>
    <row r="894" spans="1:14" x14ac:dyDescent="0.2">
      <c r="A894" s="3">
        <f t="shared" si="14"/>
        <v>6559</v>
      </c>
      <c r="B894" t="str">
        <f>"00065590006"</f>
        <v>00065590006</v>
      </c>
      <c r="C894" t="s">
        <v>1199</v>
      </c>
      <c r="D894" t="s">
        <v>52</v>
      </c>
      <c r="E894">
        <v>52</v>
      </c>
      <c r="F894">
        <v>1906</v>
      </c>
      <c r="G894" t="s">
        <v>1200</v>
      </c>
      <c r="H894">
        <v>24</v>
      </c>
      <c r="I894" t="s">
        <v>25</v>
      </c>
      <c r="J894">
        <v>20</v>
      </c>
      <c r="K894" t="s">
        <v>25</v>
      </c>
      <c r="L894">
        <v>9</v>
      </c>
      <c r="M894">
        <v>75208</v>
      </c>
      <c r="N894">
        <v>4</v>
      </c>
    </row>
    <row r="895" spans="1:14" x14ac:dyDescent="0.2">
      <c r="A895" s="3">
        <f t="shared" si="14"/>
        <v>6571</v>
      </c>
      <c r="B895" t="str">
        <f>"00065710008"</f>
        <v>00065710008</v>
      </c>
      <c r="C895" t="s">
        <v>1201</v>
      </c>
      <c r="D895" t="s">
        <v>52</v>
      </c>
      <c r="E895">
        <v>72</v>
      </c>
      <c r="F895">
        <v>618</v>
      </c>
      <c r="G895" t="s">
        <v>1202</v>
      </c>
      <c r="H895">
        <v>120</v>
      </c>
      <c r="I895" t="s">
        <v>34</v>
      </c>
      <c r="J895">
        <v>88</v>
      </c>
      <c r="K895" t="s">
        <v>34</v>
      </c>
      <c r="L895">
        <v>9</v>
      </c>
      <c r="M895">
        <v>75079</v>
      </c>
      <c r="N895">
        <v>32</v>
      </c>
    </row>
    <row r="896" spans="1:14" x14ac:dyDescent="0.2">
      <c r="A896" s="3">
        <f t="shared" si="14"/>
        <v>6574</v>
      </c>
      <c r="B896" t="str">
        <f>"00065740008"</f>
        <v>00065740008</v>
      </c>
      <c r="C896" t="s">
        <v>1203</v>
      </c>
      <c r="D896" t="s">
        <v>52</v>
      </c>
      <c r="E896">
        <v>72</v>
      </c>
      <c r="F896">
        <v>618</v>
      </c>
      <c r="G896" t="s">
        <v>1202</v>
      </c>
      <c r="H896">
        <v>120</v>
      </c>
      <c r="I896" t="s">
        <v>34</v>
      </c>
      <c r="J896">
        <v>88</v>
      </c>
      <c r="K896" t="s">
        <v>34</v>
      </c>
      <c r="L896">
        <v>9</v>
      </c>
      <c r="M896">
        <v>75188</v>
      </c>
      <c r="N896">
        <v>32</v>
      </c>
    </row>
    <row r="897" spans="1:14" x14ac:dyDescent="0.2">
      <c r="A897" s="3">
        <f t="shared" si="14"/>
        <v>6623</v>
      </c>
      <c r="B897" t="str">
        <f>"00066230006"</f>
        <v>00066230006</v>
      </c>
      <c r="C897" t="s">
        <v>1204</v>
      </c>
      <c r="D897" t="s">
        <v>48</v>
      </c>
      <c r="E897">
        <v>33</v>
      </c>
      <c r="F897">
        <v>3275</v>
      </c>
      <c r="G897" t="s">
        <v>188</v>
      </c>
      <c r="H897">
        <v>21</v>
      </c>
      <c r="I897" t="s">
        <v>34</v>
      </c>
      <c r="J897">
        <v>15</v>
      </c>
      <c r="K897" t="s">
        <v>34</v>
      </c>
      <c r="L897">
        <v>8</v>
      </c>
      <c r="M897">
        <v>85239</v>
      </c>
      <c r="N897">
        <v>6</v>
      </c>
    </row>
    <row r="898" spans="1:14" x14ac:dyDescent="0.2">
      <c r="A898" s="3">
        <f t="shared" si="14"/>
        <v>6632</v>
      </c>
      <c r="B898" t="str">
        <f>"00066320006"</f>
        <v>00066320006</v>
      </c>
      <c r="C898" t="s">
        <v>1205</v>
      </c>
      <c r="D898" t="s">
        <v>52</v>
      </c>
      <c r="E898">
        <v>48</v>
      </c>
      <c r="F898">
        <v>1211</v>
      </c>
      <c r="G898" t="s">
        <v>1206</v>
      </c>
      <c r="H898">
        <v>24</v>
      </c>
      <c r="I898" t="s">
        <v>25</v>
      </c>
      <c r="J898">
        <v>20</v>
      </c>
      <c r="K898" t="s">
        <v>25</v>
      </c>
      <c r="L898">
        <v>9</v>
      </c>
      <c r="M898">
        <v>75202</v>
      </c>
      <c r="N898">
        <v>4</v>
      </c>
    </row>
    <row r="899" spans="1:14" x14ac:dyDescent="0.2">
      <c r="A899" s="3">
        <f t="shared" si="14"/>
        <v>6636</v>
      </c>
      <c r="B899" t="str">
        <f>"00066360006"</f>
        <v>00066360006</v>
      </c>
      <c r="C899" t="s">
        <v>1207</v>
      </c>
      <c r="D899" t="s">
        <v>52</v>
      </c>
      <c r="E899">
        <v>48</v>
      </c>
      <c r="F899">
        <v>1211</v>
      </c>
      <c r="G899" t="s">
        <v>1206</v>
      </c>
      <c r="H899">
        <v>24</v>
      </c>
      <c r="I899" t="s">
        <v>25</v>
      </c>
      <c r="J899">
        <v>20</v>
      </c>
      <c r="K899" t="s">
        <v>25</v>
      </c>
      <c r="L899">
        <v>9</v>
      </c>
      <c r="M899">
        <v>75075</v>
      </c>
      <c r="N899">
        <v>4</v>
      </c>
    </row>
    <row r="900" spans="1:14" x14ac:dyDescent="0.2">
      <c r="A900" s="3">
        <f t="shared" ref="A900:A963" si="15">(B900-RIGHT(B900,4))/10000</f>
        <v>6637</v>
      </c>
      <c r="B900" t="str">
        <f>"00066370008"</f>
        <v>00066370008</v>
      </c>
      <c r="C900" t="s">
        <v>1208</v>
      </c>
      <c r="D900" t="s">
        <v>48</v>
      </c>
      <c r="E900">
        <v>33</v>
      </c>
      <c r="F900">
        <v>3730</v>
      </c>
      <c r="G900" t="s">
        <v>1209</v>
      </c>
      <c r="H900">
        <v>18</v>
      </c>
      <c r="I900" t="s">
        <v>34</v>
      </c>
      <c r="J900">
        <v>13</v>
      </c>
      <c r="K900" t="s">
        <v>34</v>
      </c>
      <c r="L900">
        <v>8</v>
      </c>
      <c r="M900">
        <v>85237</v>
      </c>
      <c r="N900">
        <v>5</v>
      </c>
    </row>
    <row r="901" spans="1:14" x14ac:dyDescent="0.2">
      <c r="A901" s="3">
        <f t="shared" si="15"/>
        <v>6645</v>
      </c>
      <c r="B901" t="str">
        <f>"00066450012"</f>
        <v>00066450012</v>
      </c>
      <c r="C901" t="s">
        <v>1210</v>
      </c>
      <c r="D901" t="s">
        <v>52</v>
      </c>
      <c r="E901">
        <v>52</v>
      </c>
      <c r="F901">
        <v>1906</v>
      </c>
      <c r="G901" t="s">
        <v>1200</v>
      </c>
      <c r="H901">
        <v>24</v>
      </c>
      <c r="I901" t="s">
        <v>25</v>
      </c>
      <c r="J901">
        <v>20</v>
      </c>
      <c r="K901" t="s">
        <v>25</v>
      </c>
      <c r="L901">
        <v>9</v>
      </c>
      <c r="M901">
        <v>75077</v>
      </c>
      <c r="N901">
        <v>4</v>
      </c>
    </row>
    <row r="902" spans="1:14" x14ac:dyDescent="0.2">
      <c r="A902" s="3">
        <f t="shared" si="15"/>
        <v>6653</v>
      </c>
      <c r="B902" t="str">
        <f>"00066530006"</f>
        <v>00066530006</v>
      </c>
      <c r="C902" t="s">
        <v>1211</v>
      </c>
      <c r="D902" t="s">
        <v>115</v>
      </c>
      <c r="E902">
        <v>47</v>
      </c>
      <c r="F902">
        <v>2362</v>
      </c>
      <c r="G902" t="s">
        <v>1179</v>
      </c>
      <c r="H902">
        <v>120</v>
      </c>
      <c r="I902" t="s">
        <v>34</v>
      </c>
      <c r="J902">
        <v>88</v>
      </c>
      <c r="K902" t="s">
        <v>34</v>
      </c>
      <c r="L902">
        <v>8</v>
      </c>
      <c r="M902">
        <v>72192</v>
      </c>
      <c r="N902">
        <v>32</v>
      </c>
    </row>
    <row r="903" spans="1:14" x14ac:dyDescent="0.2">
      <c r="A903" s="3">
        <f t="shared" si="15"/>
        <v>6666</v>
      </c>
      <c r="B903" t="str">
        <f>"00066660006"</f>
        <v>00066660006</v>
      </c>
      <c r="C903" t="s">
        <v>1212</v>
      </c>
      <c r="D903" t="s">
        <v>48</v>
      </c>
      <c r="E903">
        <v>33</v>
      </c>
      <c r="F903">
        <v>705</v>
      </c>
      <c r="G903" t="s">
        <v>1213</v>
      </c>
      <c r="H903">
        <v>17</v>
      </c>
      <c r="I903" t="s">
        <v>34</v>
      </c>
      <c r="J903">
        <v>11</v>
      </c>
      <c r="K903" t="s">
        <v>34</v>
      </c>
      <c r="L903">
        <v>8</v>
      </c>
      <c r="M903">
        <v>85236</v>
      </c>
      <c r="N903">
        <v>6</v>
      </c>
    </row>
    <row r="904" spans="1:14" x14ac:dyDescent="0.2">
      <c r="A904" s="3">
        <f t="shared" si="15"/>
        <v>6669</v>
      </c>
      <c r="B904" t="str">
        <f>"00066690006"</f>
        <v>00066690006</v>
      </c>
      <c r="C904" t="s">
        <v>1214</v>
      </c>
      <c r="D904" t="s">
        <v>48</v>
      </c>
      <c r="E904">
        <v>33</v>
      </c>
      <c r="F904">
        <v>705</v>
      </c>
      <c r="G904" t="s">
        <v>1213</v>
      </c>
      <c r="H904">
        <v>17</v>
      </c>
      <c r="I904" t="s">
        <v>34</v>
      </c>
      <c r="J904">
        <v>11</v>
      </c>
      <c r="K904" t="s">
        <v>34</v>
      </c>
      <c r="L904">
        <v>8</v>
      </c>
      <c r="M904">
        <v>85234</v>
      </c>
      <c r="N904">
        <v>6</v>
      </c>
    </row>
    <row r="905" spans="1:14" x14ac:dyDescent="0.2">
      <c r="A905" s="3">
        <f t="shared" si="15"/>
        <v>6670</v>
      </c>
      <c r="B905" t="str">
        <f>"00066700006"</f>
        <v>00066700006</v>
      </c>
      <c r="C905" t="s">
        <v>1215</v>
      </c>
      <c r="D905" t="s">
        <v>48</v>
      </c>
      <c r="E905">
        <v>33</v>
      </c>
      <c r="F905">
        <v>705</v>
      </c>
      <c r="G905" t="s">
        <v>1213</v>
      </c>
      <c r="H905">
        <v>17</v>
      </c>
      <c r="I905" t="s">
        <v>34</v>
      </c>
      <c r="J905">
        <v>11</v>
      </c>
      <c r="K905" t="s">
        <v>34</v>
      </c>
      <c r="L905">
        <v>8</v>
      </c>
      <c r="M905">
        <v>85232</v>
      </c>
      <c r="N905">
        <v>6</v>
      </c>
    </row>
    <row r="906" spans="1:14" x14ac:dyDescent="0.2">
      <c r="A906" s="3">
        <f t="shared" si="15"/>
        <v>6707</v>
      </c>
      <c r="B906" t="str">
        <f>"00067070008"</f>
        <v>00067070008</v>
      </c>
      <c r="C906" t="s">
        <v>1216</v>
      </c>
      <c r="D906" t="s">
        <v>48</v>
      </c>
      <c r="E906">
        <v>33</v>
      </c>
      <c r="F906">
        <v>1985</v>
      </c>
      <c r="G906" t="s">
        <v>287</v>
      </c>
      <c r="H906">
        <v>14</v>
      </c>
      <c r="I906" t="s">
        <v>34</v>
      </c>
      <c r="J906">
        <v>9</v>
      </c>
      <c r="K906" t="s">
        <v>34</v>
      </c>
      <c r="L906">
        <v>8</v>
      </c>
      <c r="M906">
        <v>84017</v>
      </c>
      <c r="N906">
        <v>5</v>
      </c>
    </row>
    <row r="907" spans="1:14" x14ac:dyDescent="0.2">
      <c r="A907" s="3">
        <f t="shared" si="15"/>
        <v>6721</v>
      </c>
      <c r="B907" t="str">
        <f>"00067210012"</f>
        <v>00067210012</v>
      </c>
      <c r="C907" t="s">
        <v>1217</v>
      </c>
      <c r="D907" t="s">
        <v>67</v>
      </c>
      <c r="E907">
        <v>32</v>
      </c>
      <c r="F907">
        <v>3672</v>
      </c>
      <c r="G907" t="s">
        <v>1218</v>
      </c>
      <c r="H907">
        <v>21</v>
      </c>
      <c r="I907" t="s">
        <v>34</v>
      </c>
      <c r="J907">
        <v>15</v>
      </c>
      <c r="K907" t="s">
        <v>34</v>
      </c>
      <c r="L907">
        <v>8</v>
      </c>
      <c r="M907">
        <v>82113</v>
      </c>
      <c r="N907">
        <v>6</v>
      </c>
    </row>
    <row r="908" spans="1:14" x14ac:dyDescent="0.2">
      <c r="A908" s="3">
        <f t="shared" si="15"/>
        <v>6813</v>
      </c>
      <c r="B908" t="str">
        <f>"00068130010"</f>
        <v>00068130010</v>
      </c>
      <c r="C908" t="s">
        <v>1219</v>
      </c>
      <c r="D908" t="s">
        <v>289</v>
      </c>
      <c r="E908">
        <v>20</v>
      </c>
      <c r="F908">
        <v>8086</v>
      </c>
      <c r="G908" t="s">
        <v>290</v>
      </c>
      <c r="H908">
        <v>12</v>
      </c>
      <c r="I908" t="s">
        <v>25</v>
      </c>
      <c r="J908">
        <v>9</v>
      </c>
      <c r="K908" t="s">
        <v>25</v>
      </c>
      <c r="L908">
        <v>8</v>
      </c>
      <c r="M908">
        <v>87049</v>
      </c>
      <c r="N908">
        <v>3</v>
      </c>
    </row>
    <row r="909" spans="1:14" x14ac:dyDescent="0.2">
      <c r="A909" s="3">
        <f t="shared" si="15"/>
        <v>6813</v>
      </c>
      <c r="B909" t="str">
        <f>"00068130010"</f>
        <v>00068130010</v>
      </c>
      <c r="C909" t="s">
        <v>1219</v>
      </c>
      <c r="D909" t="s">
        <v>289</v>
      </c>
      <c r="E909">
        <v>20</v>
      </c>
      <c r="F909">
        <v>329</v>
      </c>
      <c r="G909" t="s">
        <v>252</v>
      </c>
      <c r="H909">
        <v>12</v>
      </c>
      <c r="I909" t="s">
        <v>25</v>
      </c>
      <c r="J909">
        <v>9</v>
      </c>
      <c r="K909" t="s">
        <v>25</v>
      </c>
      <c r="L909">
        <v>8</v>
      </c>
      <c r="M909">
        <v>87049</v>
      </c>
      <c r="N909">
        <v>3</v>
      </c>
    </row>
    <row r="910" spans="1:14" x14ac:dyDescent="0.2">
      <c r="A910" s="3">
        <f t="shared" si="15"/>
        <v>6828</v>
      </c>
      <c r="B910" t="str">
        <f>"00068280006"</f>
        <v>00068280006</v>
      </c>
      <c r="C910" t="s">
        <v>1220</v>
      </c>
      <c r="D910" t="s">
        <v>52</v>
      </c>
      <c r="E910">
        <v>33</v>
      </c>
      <c r="F910">
        <v>706</v>
      </c>
      <c r="G910" t="s">
        <v>998</v>
      </c>
      <c r="H910">
        <v>25</v>
      </c>
      <c r="I910" t="s">
        <v>34</v>
      </c>
      <c r="J910">
        <v>18</v>
      </c>
      <c r="K910" t="s">
        <v>34</v>
      </c>
      <c r="L910">
        <v>9</v>
      </c>
      <c r="M910">
        <v>85171</v>
      </c>
      <c r="N910">
        <v>7</v>
      </c>
    </row>
    <row r="911" spans="1:14" x14ac:dyDescent="0.2">
      <c r="A911" s="3">
        <f t="shared" si="15"/>
        <v>6862</v>
      </c>
      <c r="B911" t="str">
        <f>"00068620001"</f>
        <v>00068620001</v>
      </c>
      <c r="C911" t="s">
        <v>1221</v>
      </c>
      <c r="D911" t="s">
        <v>337</v>
      </c>
      <c r="E911">
        <v>91</v>
      </c>
      <c r="F911">
        <v>3781</v>
      </c>
      <c r="G911" t="s">
        <v>341</v>
      </c>
      <c r="H911">
        <v>6</v>
      </c>
      <c r="I911" t="s">
        <v>34</v>
      </c>
      <c r="J911">
        <v>4</v>
      </c>
      <c r="K911" t="s">
        <v>34</v>
      </c>
      <c r="L911">
        <v>8</v>
      </c>
      <c r="M911">
        <v>91043</v>
      </c>
      <c r="N911">
        <v>2</v>
      </c>
    </row>
    <row r="912" spans="1:14" x14ac:dyDescent="0.2">
      <c r="A912" s="3">
        <f t="shared" si="15"/>
        <v>6906</v>
      </c>
      <c r="B912" t="str">
        <f>"00069060006"</f>
        <v>00069060006</v>
      </c>
      <c r="C912" t="s">
        <v>1222</v>
      </c>
      <c r="D912" t="s">
        <v>67</v>
      </c>
      <c r="E912">
        <v>32</v>
      </c>
      <c r="F912">
        <v>3624</v>
      </c>
      <c r="G912" t="s">
        <v>1223</v>
      </c>
      <c r="H912">
        <v>24</v>
      </c>
      <c r="I912" t="s">
        <v>34</v>
      </c>
      <c r="J912">
        <v>18</v>
      </c>
      <c r="K912" t="s">
        <v>34</v>
      </c>
      <c r="L912">
        <v>8</v>
      </c>
      <c r="M912">
        <v>82039</v>
      </c>
      <c r="N912">
        <v>6</v>
      </c>
    </row>
    <row r="913" spans="1:14" x14ac:dyDescent="0.2">
      <c r="A913" s="3">
        <f t="shared" si="15"/>
        <v>6920</v>
      </c>
      <c r="B913" t="str">
        <f>"00069200008"</f>
        <v>00069200008</v>
      </c>
      <c r="C913" t="s">
        <v>1224</v>
      </c>
      <c r="D913" t="s">
        <v>32</v>
      </c>
      <c r="E913">
        <v>30</v>
      </c>
      <c r="F913">
        <v>4806</v>
      </c>
      <c r="G913" t="s">
        <v>160</v>
      </c>
      <c r="H913">
        <v>14</v>
      </c>
      <c r="I913" t="s">
        <v>34</v>
      </c>
      <c r="J913">
        <v>9</v>
      </c>
      <c r="K913" t="s">
        <v>34</v>
      </c>
      <c r="L913">
        <v>8</v>
      </c>
      <c r="M913">
        <v>85226</v>
      </c>
      <c r="N913">
        <v>5</v>
      </c>
    </row>
    <row r="914" spans="1:14" x14ac:dyDescent="0.2">
      <c r="A914" s="3">
        <f t="shared" si="15"/>
        <v>6924</v>
      </c>
      <c r="B914" t="str">
        <f>"00069240001"</f>
        <v>00069240001</v>
      </c>
      <c r="C914" t="s">
        <v>1225</v>
      </c>
      <c r="D914" t="s">
        <v>337</v>
      </c>
      <c r="E914">
        <v>92</v>
      </c>
      <c r="F914">
        <v>1873</v>
      </c>
      <c r="G914" t="s">
        <v>1115</v>
      </c>
      <c r="H914">
        <v>6</v>
      </c>
      <c r="I914" t="s">
        <v>34</v>
      </c>
      <c r="J914">
        <v>4</v>
      </c>
      <c r="K914" t="s">
        <v>34</v>
      </c>
      <c r="L914">
        <v>8</v>
      </c>
      <c r="M914">
        <v>91104</v>
      </c>
      <c r="N914">
        <v>2</v>
      </c>
    </row>
    <row r="915" spans="1:14" x14ac:dyDescent="0.2">
      <c r="A915" s="3">
        <f t="shared" si="15"/>
        <v>6945</v>
      </c>
      <c r="B915" t="str">
        <f>"00069450022"</f>
        <v>00069450022</v>
      </c>
      <c r="C915" t="s">
        <v>1226</v>
      </c>
      <c r="D915" t="s">
        <v>52</v>
      </c>
      <c r="E915">
        <v>71</v>
      </c>
      <c r="F915">
        <v>1477</v>
      </c>
      <c r="G915" t="s">
        <v>1227</v>
      </c>
      <c r="H915">
        <v>12</v>
      </c>
      <c r="I915" t="s">
        <v>25</v>
      </c>
      <c r="J915">
        <v>9</v>
      </c>
      <c r="K915" t="s">
        <v>25</v>
      </c>
      <c r="L915">
        <v>9</v>
      </c>
      <c r="M915">
        <v>75198</v>
      </c>
      <c r="N915">
        <v>3</v>
      </c>
    </row>
    <row r="916" spans="1:14" x14ac:dyDescent="0.2">
      <c r="A916" s="3">
        <f t="shared" si="15"/>
        <v>6960</v>
      </c>
      <c r="B916" t="str">
        <f>"00069600016"</f>
        <v>00069600016</v>
      </c>
      <c r="C916" t="s">
        <v>1228</v>
      </c>
      <c r="D916" t="s">
        <v>52</v>
      </c>
      <c r="E916">
        <v>71</v>
      </c>
      <c r="F916">
        <v>310</v>
      </c>
      <c r="G916" t="s">
        <v>1229</v>
      </c>
      <c r="H916">
        <v>6</v>
      </c>
      <c r="I916" t="s">
        <v>25</v>
      </c>
      <c r="J916">
        <v>4</v>
      </c>
      <c r="K916" t="s">
        <v>25</v>
      </c>
      <c r="L916">
        <v>9</v>
      </c>
      <c r="M916">
        <v>75204</v>
      </c>
      <c r="N916">
        <v>2</v>
      </c>
    </row>
    <row r="917" spans="1:14" x14ac:dyDescent="0.2">
      <c r="A917" s="3">
        <f t="shared" si="15"/>
        <v>6997</v>
      </c>
      <c r="B917" t="str">
        <f>"00069970006"</f>
        <v>00069970006</v>
      </c>
      <c r="C917" t="s">
        <v>1230</v>
      </c>
      <c r="D917" t="s">
        <v>386</v>
      </c>
      <c r="E917">
        <v>60</v>
      </c>
      <c r="F917">
        <v>5962</v>
      </c>
      <c r="G917" t="s">
        <v>945</v>
      </c>
      <c r="H917" t="s">
        <v>44</v>
      </c>
      <c r="I917" t="s">
        <v>45</v>
      </c>
      <c r="J917" t="s">
        <v>44</v>
      </c>
      <c r="K917" t="s">
        <v>45</v>
      </c>
      <c r="L917">
        <v>8</v>
      </c>
      <c r="M917">
        <v>61001</v>
      </c>
      <c r="N917" t="s">
        <v>46</v>
      </c>
    </row>
    <row r="918" spans="1:14" x14ac:dyDescent="0.2">
      <c r="A918" s="3">
        <f t="shared" si="15"/>
        <v>7010</v>
      </c>
      <c r="B918" t="str">
        <f>"00070100001"</f>
        <v>00070100001</v>
      </c>
      <c r="C918" t="s">
        <v>1231</v>
      </c>
      <c r="D918" t="s">
        <v>63</v>
      </c>
      <c r="E918">
        <v>997</v>
      </c>
      <c r="F918">
        <v>5003</v>
      </c>
      <c r="G918" t="s">
        <v>64</v>
      </c>
      <c r="H918" t="s">
        <v>44</v>
      </c>
      <c r="I918" t="s">
        <v>45</v>
      </c>
      <c r="J918" t="s">
        <v>44</v>
      </c>
      <c r="K918" t="s">
        <v>45</v>
      </c>
      <c r="L918">
        <v>7</v>
      </c>
      <c r="M918" t="s">
        <v>65</v>
      </c>
      <c r="N918" t="s">
        <v>46</v>
      </c>
    </row>
    <row r="919" spans="1:14" x14ac:dyDescent="0.2">
      <c r="A919" s="3">
        <f t="shared" si="15"/>
        <v>7011</v>
      </c>
      <c r="B919" t="str">
        <f>"00070110001"</f>
        <v>00070110001</v>
      </c>
      <c r="C919" t="s">
        <v>1232</v>
      </c>
      <c r="D919" t="s">
        <v>63</v>
      </c>
      <c r="E919">
        <v>997</v>
      </c>
      <c r="F919">
        <v>5003</v>
      </c>
      <c r="G919" t="s">
        <v>64</v>
      </c>
      <c r="H919" t="s">
        <v>44</v>
      </c>
      <c r="I919" t="s">
        <v>45</v>
      </c>
      <c r="J919" t="s">
        <v>44</v>
      </c>
      <c r="K919" t="s">
        <v>45</v>
      </c>
      <c r="L919">
        <v>7</v>
      </c>
      <c r="M919" t="s">
        <v>65</v>
      </c>
      <c r="N919" t="s">
        <v>46</v>
      </c>
    </row>
    <row r="920" spans="1:14" x14ac:dyDescent="0.2">
      <c r="A920" s="3">
        <f t="shared" si="15"/>
        <v>7094</v>
      </c>
      <c r="B920" t="str">
        <f>"00070940001"</f>
        <v>00070940001</v>
      </c>
      <c r="C920" t="s">
        <v>1233</v>
      </c>
      <c r="D920" t="s">
        <v>337</v>
      </c>
      <c r="E920">
        <v>91</v>
      </c>
      <c r="F920">
        <v>326</v>
      </c>
      <c r="G920" t="s">
        <v>1234</v>
      </c>
      <c r="H920">
        <v>6</v>
      </c>
      <c r="I920" t="s">
        <v>34</v>
      </c>
      <c r="J920">
        <v>4</v>
      </c>
      <c r="K920" t="s">
        <v>34</v>
      </c>
      <c r="L920">
        <v>8</v>
      </c>
      <c r="M920">
        <v>91045</v>
      </c>
      <c r="N920">
        <v>2</v>
      </c>
    </row>
    <row r="921" spans="1:14" x14ac:dyDescent="0.2">
      <c r="A921" s="3">
        <f t="shared" si="15"/>
        <v>7098</v>
      </c>
      <c r="B921" t="str">
        <f>"00070980001"</f>
        <v>00070980001</v>
      </c>
      <c r="C921" t="s">
        <v>1235</v>
      </c>
      <c r="D921" t="s">
        <v>52</v>
      </c>
      <c r="E921">
        <v>90</v>
      </c>
      <c r="F921">
        <v>3428</v>
      </c>
      <c r="G921" t="s">
        <v>206</v>
      </c>
      <c r="H921">
        <v>12</v>
      </c>
      <c r="I921" t="s">
        <v>34</v>
      </c>
      <c r="J921">
        <v>8</v>
      </c>
      <c r="K921" t="s">
        <v>34</v>
      </c>
      <c r="L921">
        <v>6</v>
      </c>
      <c r="M921" t="s">
        <v>65</v>
      </c>
      <c r="N921">
        <v>4</v>
      </c>
    </row>
    <row r="922" spans="1:14" x14ac:dyDescent="0.2">
      <c r="A922" s="3">
        <f t="shared" si="15"/>
        <v>7100</v>
      </c>
      <c r="B922" t="str">
        <f>"00071000001"</f>
        <v>00071000001</v>
      </c>
      <c r="C922" t="s">
        <v>1236</v>
      </c>
      <c r="D922" t="s">
        <v>337</v>
      </c>
      <c r="E922">
        <v>92</v>
      </c>
      <c r="F922">
        <v>186</v>
      </c>
      <c r="G922" t="s">
        <v>1237</v>
      </c>
      <c r="H922">
        <v>17</v>
      </c>
      <c r="I922" t="s">
        <v>34</v>
      </c>
      <c r="J922">
        <v>11</v>
      </c>
      <c r="K922" t="s">
        <v>34</v>
      </c>
      <c r="L922">
        <v>8</v>
      </c>
      <c r="M922">
        <v>91096</v>
      </c>
      <c r="N922">
        <v>6</v>
      </c>
    </row>
    <row r="923" spans="1:14" x14ac:dyDescent="0.2">
      <c r="A923" s="3">
        <f t="shared" si="15"/>
        <v>7145</v>
      </c>
      <c r="B923" t="str">
        <f>"00071450001"</f>
        <v>00071450001</v>
      </c>
      <c r="C923" t="s">
        <v>1238</v>
      </c>
      <c r="D923" t="s">
        <v>52</v>
      </c>
      <c r="E923">
        <v>90</v>
      </c>
      <c r="F923">
        <v>2785</v>
      </c>
      <c r="G923" t="s">
        <v>176</v>
      </c>
      <c r="H923">
        <v>9</v>
      </c>
      <c r="I923" t="s">
        <v>34</v>
      </c>
      <c r="J923">
        <v>6</v>
      </c>
      <c r="K923" t="s">
        <v>34</v>
      </c>
      <c r="L923">
        <v>8</v>
      </c>
      <c r="M923" t="s">
        <v>65</v>
      </c>
      <c r="N923">
        <v>3</v>
      </c>
    </row>
    <row r="924" spans="1:14" x14ac:dyDescent="0.2">
      <c r="A924" s="3">
        <f t="shared" si="15"/>
        <v>7159</v>
      </c>
      <c r="B924" t="str">
        <f>"00071590020"</f>
        <v>00071590020</v>
      </c>
      <c r="C924" t="s">
        <v>1239</v>
      </c>
      <c r="D924" t="s">
        <v>101</v>
      </c>
      <c r="E924">
        <v>30</v>
      </c>
      <c r="F924">
        <v>8003</v>
      </c>
      <c r="G924" t="s">
        <v>164</v>
      </c>
      <c r="H924">
        <v>60</v>
      </c>
      <c r="I924" t="s">
        <v>34</v>
      </c>
      <c r="J924">
        <v>44</v>
      </c>
      <c r="K924" t="s">
        <v>34</v>
      </c>
      <c r="L924">
        <v>8</v>
      </c>
      <c r="M924">
        <v>83012</v>
      </c>
      <c r="N924">
        <v>16</v>
      </c>
    </row>
    <row r="925" spans="1:14" x14ac:dyDescent="0.2">
      <c r="A925" s="3">
        <f t="shared" si="15"/>
        <v>7161</v>
      </c>
      <c r="B925" t="str">
        <f>"00071610004"</f>
        <v>00071610004</v>
      </c>
      <c r="C925" t="s">
        <v>1240</v>
      </c>
      <c r="D925" t="s">
        <v>172</v>
      </c>
      <c r="E925">
        <v>30</v>
      </c>
      <c r="F925">
        <v>2785</v>
      </c>
      <c r="G925" t="s">
        <v>176</v>
      </c>
      <c r="H925">
        <v>16</v>
      </c>
      <c r="I925" t="s">
        <v>34</v>
      </c>
      <c r="J925">
        <v>10</v>
      </c>
      <c r="K925" t="s">
        <v>34</v>
      </c>
      <c r="L925">
        <v>8</v>
      </c>
      <c r="M925">
        <v>83188</v>
      </c>
      <c r="N925">
        <v>6</v>
      </c>
    </row>
    <row r="926" spans="1:14" x14ac:dyDescent="0.2">
      <c r="A926" s="3">
        <f t="shared" si="15"/>
        <v>7275</v>
      </c>
      <c r="B926" t="str">
        <f>"00072750020"</f>
        <v>00072750020</v>
      </c>
      <c r="C926" t="s">
        <v>1241</v>
      </c>
      <c r="D926" t="s">
        <v>52</v>
      </c>
      <c r="E926">
        <v>44</v>
      </c>
      <c r="F926">
        <v>1852</v>
      </c>
      <c r="G926" t="s">
        <v>1242</v>
      </c>
      <c r="H926">
        <v>20</v>
      </c>
      <c r="I926" t="s">
        <v>25</v>
      </c>
      <c r="J926">
        <v>16</v>
      </c>
      <c r="K926" t="s">
        <v>25</v>
      </c>
      <c r="L926">
        <v>6</v>
      </c>
      <c r="M926">
        <v>3616</v>
      </c>
      <c r="N926">
        <v>4</v>
      </c>
    </row>
    <row r="927" spans="1:14" x14ac:dyDescent="0.2">
      <c r="A927" s="3">
        <f t="shared" si="15"/>
        <v>7284</v>
      </c>
      <c r="B927" t="str">
        <f>"00072840020"</f>
        <v>00072840020</v>
      </c>
      <c r="C927" t="s">
        <v>1243</v>
      </c>
      <c r="D927" t="s">
        <v>52</v>
      </c>
      <c r="E927">
        <v>44</v>
      </c>
      <c r="F927">
        <v>1852</v>
      </c>
      <c r="G927" t="s">
        <v>1242</v>
      </c>
      <c r="H927">
        <v>20</v>
      </c>
      <c r="I927" t="s">
        <v>25</v>
      </c>
      <c r="J927">
        <v>16</v>
      </c>
      <c r="K927" t="s">
        <v>25</v>
      </c>
      <c r="L927">
        <v>6</v>
      </c>
      <c r="M927">
        <v>3617</v>
      </c>
      <c r="N927">
        <v>4</v>
      </c>
    </row>
    <row r="928" spans="1:14" x14ac:dyDescent="0.2">
      <c r="A928" s="3">
        <f t="shared" si="15"/>
        <v>7337</v>
      </c>
      <c r="B928" t="str">
        <f>"00073370007"</f>
        <v>00073370007</v>
      </c>
      <c r="C928" t="s">
        <v>1244</v>
      </c>
      <c r="D928" t="s">
        <v>52</v>
      </c>
      <c r="E928">
        <v>44</v>
      </c>
      <c r="F928">
        <v>3568</v>
      </c>
      <c r="G928" t="s">
        <v>1186</v>
      </c>
      <c r="H928">
        <v>16</v>
      </c>
      <c r="I928" t="s">
        <v>25</v>
      </c>
      <c r="J928">
        <v>13</v>
      </c>
      <c r="K928" t="s">
        <v>25</v>
      </c>
      <c r="L928">
        <v>9</v>
      </c>
      <c r="M928">
        <v>75083</v>
      </c>
      <c r="N928">
        <v>3</v>
      </c>
    </row>
    <row r="929" spans="1:14" x14ac:dyDescent="0.2">
      <c r="A929" s="3">
        <f t="shared" si="15"/>
        <v>7616</v>
      </c>
      <c r="B929" t="str">
        <f>"00076160006"</f>
        <v>00076160006</v>
      </c>
      <c r="C929" t="s">
        <v>1245</v>
      </c>
      <c r="D929" t="s">
        <v>52</v>
      </c>
      <c r="E929">
        <v>32</v>
      </c>
      <c r="F929">
        <v>3672</v>
      </c>
      <c r="G929" t="s">
        <v>1218</v>
      </c>
      <c r="H929">
        <v>25</v>
      </c>
      <c r="I929" t="s">
        <v>34</v>
      </c>
      <c r="J929">
        <v>18</v>
      </c>
      <c r="K929" t="s">
        <v>34</v>
      </c>
      <c r="L929">
        <v>9</v>
      </c>
      <c r="M929">
        <v>85215</v>
      </c>
      <c r="N929">
        <v>7</v>
      </c>
    </row>
    <row r="930" spans="1:14" x14ac:dyDescent="0.2">
      <c r="A930" s="3">
        <f t="shared" si="15"/>
        <v>7662</v>
      </c>
      <c r="B930" t="str">
        <f>"00076620012"</f>
        <v>00076620012</v>
      </c>
      <c r="C930" t="s">
        <v>1246</v>
      </c>
      <c r="D930" t="s">
        <v>52</v>
      </c>
      <c r="E930">
        <v>47</v>
      </c>
      <c r="F930">
        <v>272</v>
      </c>
      <c r="G930" t="s">
        <v>1247</v>
      </c>
      <c r="H930">
        <v>12</v>
      </c>
      <c r="I930" t="s">
        <v>25</v>
      </c>
      <c r="J930">
        <v>9</v>
      </c>
      <c r="K930" t="s">
        <v>25</v>
      </c>
      <c r="L930">
        <v>6</v>
      </c>
      <c r="M930">
        <v>2661</v>
      </c>
      <c r="N930">
        <v>3</v>
      </c>
    </row>
    <row r="931" spans="1:14" x14ac:dyDescent="0.2">
      <c r="A931" s="3">
        <f t="shared" si="15"/>
        <v>7768</v>
      </c>
      <c r="B931" t="str">
        <f>"00077680001"</f>
        <v>00077680001</v>
      </c>
      <c r="C931" t="s">
        <v>1248</v>
      </c>
      <c r="D931" t="s">
        <v>337</v>
      </c>
      <c r="E931">
        <v>91</v>
      </c>
      <c r="F931">
        <v>8050</v>
      </c>
      <c r="G931" t="s">
        <v>322</v>
      </c>
      <c r="H931">
        <v>7</v>
      </c>
      <c r="I931" t="s">
        <v>34</v>
      </c>
      <c r="J931">
        <v>5</v>
      </c>
      <c r="K931" t="s">
        <v>34</v>
      </c>
      <c r="L931">
        <v>8</v>
      </c>
      <c r="M931">
        <v>91052</v>
      </c>
      <c r="N931">
        <v>2</v>
      </c>
    </row>
    <row r="932" spans="1:14" x14ac:dyDescent="0.2">
      <c r="A932" s="3">
        <f t="shared" si="15"/>
        <v>7816</v>
      </c>
      <c r="B932" t="str">
        <f>"00078160012"</f>
        <v>00078160012</v>
      </c>
      <c r="C932" t="s">
        <v>1249</v>
      </c>
      <c r="D932" t="s">
        <v>289</v>
      </c>
      <c r="E932">
        <v>20</v>
      </c>
      <c r="F932">
        <v>8086</v>
      </c>
      <c r="G932" t="s">
        <v>290</v>
      </c>
      <c r="H932">
        <v>12</v>
      </c>
      <c r="I932" t="s">
        <v>25</v>
      </c>
      <c r="J932">
        <v>9</v>
      </c>
      <c r="K932" t="s">
        <v>25</v>
      </c>
      <c r="L932">
        <v>8</v>
      </c>
      <c r="M932">
        <v>89051</v>
      </c>
      <c r="N932">
        <v>3</v>
      </c>
    </row>
    <row r="933" spans="1:14" x14ac:dyDescent="0.2">
      <c r="A933" s="3">
        <f t="shared" si="15"/>
        <v>7816</v>
      </c>
      <c r="B933" t="str">
        <f>"00078160012"</f>
        <v>00078160012</v>
      </c>
      <c r="C933" t="s">
        <v>1249</v>
      </c>
      <c r="D933" t="s">
        <v>289</v>
      </c>
      <c r="E933">
        <v>20</v>
      </c>
      <c r="F933">
        <v>2504</v>
      </c>
      <c r="G933" t="s">
        <v>715</v>
      </c>
      <c r="H933">
        <v>12</v>
      </c>
      <c r="I933" t="s">
        <v>25</v>
      </c>
      <c r="J933">
        <v>9</v>
      </c>
      <c r="K933" t="s">
        <v>25</v>
      </c>
      <c r="L933">
        <v>8</v>
      </c>
      <c r="M933">
        <v>89051</v>
      </c>
      <c r="N933">
        <v>3</v>
      </c>
    </row>
    <row r="934" spans="1:14" x14ac:dyDescent="0.2">
      <c r="A934" s="3">
        <f t="shared" si="15"/>
        <v>7820</v>
      </c>
      <c r="B934" t="str">
        <f>"00078200001"</f>
        <v>00078200001</v>
      </c>
      <c r="C934" t="s">
        <v>1250</v>
      </c>
      <c r="D934" t="s">
        <v>337</v>
      </c>
      <c r="E934">
        <v>91</v>
      </c>
      <c r="F934">
        <v>1998</v>
      </c>
      <c r="G934" t="s">
        <v>341</v>
      </c>
      <c r="H934">
        <v>6</v>
      </c>
      <c r="I934" t="s">
        <v>34</v>
      </c>
      <c r="J934">
        <v>4</v>
      </c>
      <c r="K934" t="s">
        <v>34</v>
      </c>
      <c r="L934">
        <v>8</v>
      </c>
      <c r="M934">
        <v>91044</v>
      </c>
      <c r="N934">
        <v>2</v>
      </c>
    </row>
    <row r="935" spans="1:14" x14ac:dyDescent="0.2">
      <c r="A935" s="3">
        <f t="shared" si="15"/>
        <v>7869</v>
      </c>
      <c r="B935" t="str">
        <f>"00078690008"</f>
        <v>00078690008</v>
      </c>
      <c r="C935" t="s">
        <v>1251</v>
      </c>
      <c r="D935" t="s">
        <v>32</v>
      </c>
      <c r="E935">
        <v>30</v>
      </c>
      <c r="F935">
        <v>4806</v>
      </c>
      <c r="G935" t="s">
        <v>160</v>
      </c>
      <c r="H935">
        <v>14</v>
      </c>
      <c r="I935" t="s">
        <v>34</v>
      </c>
      <c r="J935">
        <v>9</v>
      </c>
      <c r="K935" t="s">
        <v>34</v>
      </c>
      <c r="L935">
        <v>8</v>
      </c>
      <c r="M935">
        <v>85228</v>
      </c>
      <c r="N935">
        <v>5</v>
      </c>
    </row>
    <row r="936" spans="1:14" x14ac:dyDescent="0.2">
      <c r="A936" s="3">
        <f t="shared" si="15"/>
        <v>7956</v>
      </c>
      <c r="B936" t="str">
        <f>"00079560007"</f>
        <v>00079560007</v>
      </c>
      <c r="C936" t="s">
        <v>1252</v>
      </c>
      <c r="D936" t="s">
        <v>52</v>
      </c>
      <c r="E936">
        <v>32</v>
      </c>
      <c r="F936">
        <v>3672</v>
      </c>
      <c r="G936" t="s">
        <v>1218</v>
      </c>
      <c r="H936">
        <v>30</v>
      </c>
      <c r="I936" t="s">
        <v>34</v>
      </c>
      <c r="J936">
        <v>20</v>
      </c>
      <c r="K936" t="s">
        <v>34</v>
      </c>
      <c r="L936">
        <v>9</v>
      </c>
      <c r="M936">
        <v>85173</v>
      </c>
      <c r="N936">
        <v>10</v>
      </c>
    </row>
    <row r="937" spans="1:14" x14ac:dyDescent="0.2">
      <c r="A937" s="3">
        <f t="shared" si="15"/>
        <v>7977</v>
      </c>
      <c r="B937" t="str">
        <f>"00079770007"</f>
        <v>00079770007</v>
      </c>
      <c r="C937" t="s">
        <v>1253</v>
      </c>
      <c r="D937" t="s">
        <v>52</v>
      </c>
      <c r="E937">
        <v>32</v>
      </c>
      <c r="F937">
        <v>3672</v>
      </c>
      <c r="G937" t="s">
        <v>1218</v>
      </c>
      <c r="H937">
        <v>25</v>
      </c>
      <c r="I937" t="s">
        <v>34</v>
      </c>
      <c r="J937">
        <v>18</v>
      </c>
      <c r="K937" t="s">
        <v>34</v>
      </c>
      <c r="L937">
        <v>9</v>
      </c>
      <c r="M937">
        <v>85214</v>
      </c>
      <c r="N937">
        <v>7</v>
      </c>
    </row>
    <row r="938" spans="1:14" x14ac:dyDescent="0.2">
      <c r="A938" s="3">
        <f t="shared" si="15"/>
        <v>7991</v>
      </c>
      <c r="B938" t="str">
        <f>"00079910009"</f>
        <v>00079910009</v>
      </c>
      <c r="C938" t="s">
        <v>1254</v>
      </c>
      <c r="D938" t="s">
        <v>1124</v>
      </c>
      <c r="E938">
        <v>20</v>
      </c>
      <c r="F938">
        <v>8086</v>
      </c>
      <c r="G938" t="s">
        <v>290</v>
      </c>
      <c r="H938">
        <v>12</v>
      </c>
      <c r="I938" t="s">
        <v>25</v>
      </c>
      <c r="J938">
        <v>9</v>
      </c>
      <c r="K938" t="s">
        <v>25</v>
      </c>
      <c r="L938">
        <v>6</v>
      </c>
      <c r="M938">
        <v>99662</v>
      </c>
      <c r="N938">
        <v>3</v>
      </c>
    </row>
    <row r="939" spans="1:14" x14ac:dyDescent="0.2">
      <c r="A939" s="3">
        <f t="shared" si="15"/>
        <v>7991</v>
      </c>
      <c r="B939" t="str">
        <f>"00079910009"</f>
        <v>00079910009</v>
      </c>
      <c r="C939" t="s">
        <v>1254</v>
      </c>
      <c r="D939" t="s">
        <v>1124</v>
      </c>
      <c r="E939">
        <v>20</v>
      </c>
      <c r="F939">
        <v>2841</v>
      </c>
      <c r="G939" t="s">
        <v>713</v>
      </c>
      <c r="H939">
        <v>12</v>
      </c>
      <c r="I939" t="s">
        <v>25</v>
      </c>
      <c r="J939">
        <v>9</v>
      </c>
      <c r="K939" t="s">
        <v>25</v>
      </c>
      <c r="L939">
        <v>6</v>
      </c>
      <c r="M939">
        <v>99662</v>
      </c>
      <c r="N939">
        <v>3</v>
      </c>
    </row>
    <row r="940" spans="1:14" x14ac:dyDescent="0.2">
      <c r="A940" s="3">
        <f t="shared" si="15"/>
        <v>8061</v>
      </c>
      <c r="B940" t="str">
        <f>"00080610008"</f>
        <v>00080610008</v>
      </c>
      <c r="C940" t="s">
        <v>1255</v>
      </c>
      <c r="D940" t="s">
        <v>67</v>
      </c>
      <c r="E940">
        <v>33</v>
      </c>
      <c r="F940">
        <v>2049</v>
      </c>
      <c r="G940" t="s">
        <v>1256</v>
      </c>
      <c r="H940">
        <v>28</v>
      </c>
      <c r="I940" t="s">
        <v>34</v>
      </c>
      <c r="J940">
        <v>20</v>
      </c>
      <c r="K940" t="s">
        <v>34</v>
      </c>
      <c r="L940">
        <v>8</v>
      </c>
      <c r="M940">
        <v>82168</v>
      </c>
      <c r="N940">
        <v>8</v>
      </c>
    </row>
    <row r="941" spans="1:14" x14ac:dyDescent="0.2">
      <c r="A941" s="3">
        <f t="shared" si="15"/>
        <v>8158</v>
      </c>
      <c r="B941" t="str">
        <f>"00081580010"</f>
        <v>00081580010</v>
      </c>
      <c r="C941" t="s">
        <v>1257</v>
      </c>
      <c r="D941" t="s">
        <v>52</v>
      </c>
      <c r="E941">
        <v>70</v>
      </c>
      <c r="F941">
        <v>213</v>
      </c>
      <c r="G941" t="s">
        <v>1258</v>
      </c>
      <c r="H941">
        <v>8</v>
      </c>
      <c r="I941" t="s">
        <v>25</v>
      </c>
      <c r="J941">
        <v>6</v>
      </c>
      <c r="K941" t="s">
        <v>25</v>
      </c>
      <c r="L941">
        <v>6</v>
      </c>
      <c r="M941">
        <v>2600</v>
      </c>
      <c r="N941">
        <v>2</v>
      </c>
    </row>
    <row r="942" spans="1:14" x14ac:dyDescent="0.2">
      <c r="A942" s="3">
        <f t="shared" si="15"/>
        <v>8297</v>
      </c>
      <c r="B942" t="str">
        <f>"00082970006"</f>
        <v>00082970006</v>
      </c>
      <c r="C942" t="s">
        <v>1259</v>
      </c>
      <c r="D942" t="s">
        <v>23</v>
      </c>
      <c r="E942">
        <v>63</v>
      </c>
      <c r="F942">
        <v>102</v>
      </c>
      <c r="G942" t="s">
        <v>894</v>
      </c>
      <c r="H942">
        <v>9</v>
      </c>
      <c r="I942" t="s">
        <v>25</v>
      </c>
      <c r="J942">
        <v>7</v>
      </c>
      <c r="K942" t="s">
        <v>25</v>
      </c>
      <c r="L942">
        <v>8</v>
      </c>
      <c r="M942">
        <v>62190</v>
      </c>
      <c r="N942">
        <v>2</v>
      </c>
    </row>
    <row r="943" spans="1:14" x14ac:dyDescent="0.2">
      <c r="A943" s="3">
        <f t="shared" si="15"/>
        <v>8370</v>
      </c>
      <c r="B943" t="str">
        <f>"00083700008"</f>
        <v>00083700008</v>
      </c>
      <c r="C943" t="s">
        <v>1260</v>
      </c>
      <c r="D943" t="s">
        <v>52</v>
      </c>
      <c r="E943">
        <v>30</v>
      </c>
      <c r="F943">
        <v>8006</v>
      </c>
      <c r="G943" t="s">
        <v>162</v>
      </c>
      <c r="H943">
        <v>23</v>
      </c>
      <c r="I943" t="s">
        <v>34</v>
      </c>
      <c r="J943">
        <v>17</v>
      </c>
      <c r="K943" t="s">
        <v>34</v>
      </c>
      <c r="L943">
        <v>8</v>
      </c>
      <c r="M943">
        <v>82117</v>
      </c>
      <c r="N943">
        <v>6</v>
      </c>
    </row>
    <row r="944" spans="1:14" x14ac:dyDescent="0.2">
      <c r="A944" s="3">
        <f t="shared" si="15"/>
        <v>8375</v>
      </c>
      <c r="B944" t="str">
        <f>"00083750012"</f>
        <v>00083750012</v>
      </c>
      <c r="C944" t="s">
        <v>1261</v>
      </c>
      <c r="D944" t="s">
        <v>52</v>
      </c>
      <c r="E944">
        <v>32</v>
      </c>
      <c r="F944">
        <v>635</v>
      </c>
      <c r="G944" t="s">
        <v>1262</v>
      </c>
      <c r="H944">
        <v>60</v>
      </c>
      <c r="I944" t="s">
        <v>34</v>
      </c>
      <c r="J944">
        <v>44</v>
      </c>
      <c r="K944" t="s">
        <v>34</v>
      </c>
      <c r="L944">
        <v>6</v>
      </c>
      <c r="M944">
        <v>3525</v>
      </c>
      <c r="N944">
        <v>16</v>
      </c>
    </row>
    <row r="945" spans="1:14" x14ac:dyDescent="0.2">
      <c r="A945" s="3">
        <f t="shared" si="15"/>
        <v>8530</v>
      </c>
      <c r="B945" t="str">
        <f>"00085300020"</f>
        <v>00085300020</v>
      </c>
      <c r="C945" t="s">
        <v>1263</v>
      </c>
      <c r="D945" t="s">
        <v>42</v>
      </c>
      <c r="E945">
        <v>85</v>
      </c>
      <c r="F945">
        <v>2177</v>
      </c>
      <c r="G945" t="s">
        <v>1264</v>
      </c>
      <c r="H945" t="s">
        <v>44</v>
      </c>
      <c r="I945" t="s">
        <v>45</v>
      </c>
      <c r="J945" t="s">
        <v>44</v>
      </c>
      <c r="K945" t="s">
        <v>45</v>
      </c>
      <c r="L945">
        <v>8</v>
      </c>
      <c r="M945">
        <v>70019</v>
      </c>
      <c r="N945" t="s">
        <v>46</v>
      </c>
    </row>
    <row r="946" spans="1:14" x14ac:dyDescent="0.2">
      <c r="A946" s="3">
        <f t="shared" si="15"/>
        <v>8549</v>
      </c>
      <c r="B946" t="str">
        <f>"00085490060"</f>
        <v>00085490060</v>
      </c>
      <c r="C946" t="s">
        <v>1265</v>
      </c>
      <c r="D946" t="s">
        <v>36</v>
      </c>
      <c r="E946">
        <v>71</v>
      </c>
      <c r="F946">
        <v>3112</v>
      </c>
      <c r="G946" t="s">
        <v>245</v>
      </c>
      <c r="H946">
        <v>8</v>
      </c>
      <c r="I946" t="s">
        <v>25</v>
      </c>
      <c r="J946">
        <v>6</v>
      </c>
      <c r="K946" t="s">
        <v>25</v>
      </c>
      <c r="L946">
        <v>8</v>
      </c>
      <c r="M946">
        <v>73010</v>
      </c>
      <c r="N946">
        <v>2</v>
      </c>
    </row>
    <row r="947" spans="1:14" x14ac:dyDescent="0.2">
      <c r="A947" s="3">
        <f t="shared" si="15"/>
        <v>8555</v>
      </c>
      <c r="B947" t="str">
        <f>"00085550020"</f>
        <v>00085550020</v>
      </c>
      <c r="C947" t="s">
        <v>1266</v>
      </c>
      <c r="D947" t="s">
        <v>42</v>
      </c>
      <c r="E947">
        <v>85</v>
      </c>
      <c r="F947">
        <v>2177</v>
      </c>
      <c r="G947" t="s">
        <v>1264</v>
      </c>
      <c r="H947" t="s">
        <v>44</v>
      </c>
      <c r="I947" t="s">
        <v>45</v>
      </c>
      <c r="J947" t="s">
        <v>44</v>
      </c>
      <c r="K947" t="s">
        <v>45</v>
      </c>
      <c r="L947">
        <v>8</v>
      </c>
      <c r="M947">
        <v>70028</v>
      </c>
      <c r="N947" t="s">
        <v>46</v>
      </c>
    </row>
    <row r="948" spans="1:14" x14ac:dyDescent="0.2">
      <c r="A948" s="3">
        <f t="shared" si="15"/>
        <v>8558</v>
      </c>
      <c r="B948" t="str">
        <f>"00085581500"</f>
        <v>00085581500</v>
      </c>
      <c r="C948" t="s">
        <v>1267</v>
      </c>
      <c r="D948" t="s">
        <v>52</v>
      </c>
      <c r="E948">
        <v>109</v>
      </c>
      <c r="F948">
        <v>4691</v>
      </c>
      <c r="G948" t="s">
        <v>1268</v>
      </c>
      <c r="H948" t="s">
        <v>44</v>
      </c>
      <c r="I948" t="s">
        <v>45</v>
      </c>
      <c r="J948" t="s">
        <v>44</v>
      </c>
      <c r="K948" t="s">
        <v>45</v>
      </c>
      <c r="L948">
        <v>5</v>
      </c>
      <c r="M948" t="s">
        <v>65</v>
      </c>
      <c r="N948" t="s">
        <v>46</v>
      </c>
    </row>
    <row r="949" spans="1:14" x14ac:dyDescent="0.2">
      <c r="A949" s="3">
        <f t="shared" si="15"/>
        <v>8563</v>
      </c>
      <c r="B949" t="str">
        <f>"00085630012"</f>
        <v>00085630012</v>
      </c>
      <c r="C949" t="s">
        <v>1269</v>
      </c>
      <c r="D949" t="s">
        <v>42</v>
      </c>
      <c r="E949">
        <v>82</v>
      </c>
      <c r="F949">
        <v>4287</v>
      </c>
      <c r="G949" t="s">
        <v>445</v>
      </c>
      <c r="H949" t="s">
        <v>44</v>
      </c>
      <c r="I949" t="s">
        <v>45</v>
      </c>
      <c r="J949" t="s">
        <v>44</v>
      </c>
      <c r="K949" t="s">
        <v>45</v>
      </c>
      <c r="L949">
        <v>8</v>
      </c>
      <c r="M949">
        <v>70010</v>
      </c>
      <c r="N949" t="s">
        <v>46</v>
      </c>
    </row>
    <row r="950" spans="1:14" x14ac:dyDescent="0.2">
      <c r="A950" s="3">
        <f t="shared" si="15"/>
        <v>8569</v>
      </c>
      <c r="B950" t="str">
        <f>"00085690040"</f>
        <v>00085690040</v>
      </c>
      <c r="C950" t="s">
        <v>1270</v>
      </c>
      <c r="D950" t="s">
        <v>216</v>
      </c>
      <c r="E950">
        <v>71</v>
      </c>
      <c r="F950">
        <v>1887</v>
      </c>
      <c r="G950" t="s">
        <v>701</v>
      </c>
      <c r="H950">
        <v>8</v>
      </c>
      <c r="I950" t="s">
        <v>25</v>
      </c>
      <c r="J950">
        <v>6</v>
      </c>
      <c r="K950" t="s">
        <v>25</v>
      </c>
      <c r="L950">
        <v>8</v>
      </c>
      <c r="M950">
        <v>76008</v>
      </c>
      <c r="N950">
        <v>2</v>
      </c>
    </row>
    <row r="951" spans="1:14" x14ac:dyDescent="0.2">
      <c r="A951" s="3">
        <f t="shared" si="15"/>
        <v>8573</v>
      </c>
      <c r="B951" t="str">
        <f>"00085730012"</f>
        <v>00085730012</v>
      </c>
      <c r="C951" t="s">
        <v>1271</v>
      </c>
      <c r="D951" t="s">
        <v>42</v>
      </c>
      <c r="E951">
        <v>82</v>
      </c>
      <c r="F951">
        <v>4287</v>
      </c>
      <c r="G951" t="s">
        <v>445</v>
      </c>
      <c r="H951" t="s">
        <v>44</v>
      </c>
      <c r="I951" t="s">
        <v>45</v>
      </c>
      <c r="J951" t="s">
        <v>44</v>
      </c>
      <c r="K951" t="s">
        <v>45</v>
      </c>
      <c r="L951">
        <v>8</v>
      </c>
      <c r="M951">
        <v>70014</v>
      </c>
      <c r="N951" t="s">
        <v>46</v>
      </c>
    </row>
    <row r="952" spans="1:14" x14ac:dyDescent="0.2">
      <c r="A952" s="3">
        <f t="shared" si="15"/>
        <v>8575</v>
      </c>
      <c r="B952" t="str">
        <f>"00085750012"</f>
        <v>00085750012</v>
      </c>
      <c r="C952" t="s">
        <v>1272</v>
      </c>
      <c r="D952" t="s">
        <v>42</v>
      </c>
      <c r="E952">
        <v>82</v>
      </c>
      <c r="F952">
        <v>4287</v>
      </c>
      <c r="G952" t="s">
        <v>445</v>
      </c>
      <c r="H952" t="s">
        <v>44</v>
      </c>
      <c r="I952" t="s">
        <v>45</v>
      </c>
      <c r="J952" t="s">
        <v>44</v>
      </c>
      <c r="K952" t="s">
        <v>45</v>
      </c>
      <c r="L952">
        <v>8</v>
      </c>
      <c r="M952">
        <v>70012</v>
      </c>
      <c r="N952" t="s">
        <v>46</v>
      </c>
    </row>
    <row r="953" spans="1:14" x14ac:dyDescent="0.2">
      <c r="A953" s="3">
        <f t="shared" si="15"/>
        <v>8598</v>
      </c>
      <c r="B953" t="str">
        <f>"00085980010"</f>
        <v>00085980010</v>
      </c>
      <c r="C953" t="s">
        <v>1273</v>
      </c>
      <c r="D953" t="s">
        <v>115</v>
      </c>
      <c r="E953">
        <v>44</v>
      </c>
      <c r="F953">
        <v>7234</v>
      </c>
      <c r="G953" t="s">
        <v>617</v>
      </c>
      <c r="H953">
        <v>18</v>
      </c>
      <c r="I953" t="s">
        <v>25</v>
      </c>
      <c r="J953">
        <v>14</v>
      </c>
      <c r="K953" t="s">
        <v>25</v>
      </c>
      <c r="L953">
        <v>8</v>
      </c>
      <c r="M953">
        <v>67019</v>
      </c>
      <c r="N953">
        <v>4</v>
      </c>
    </row>
    <row r="954" spans="1:14" x14ac:dyDescent="0.2">
      <c r="A954" s="3">
        <f t="shared" si="15"/>
        <v>8600</v>
      </c>
      <c r="B954" t="str">
        <f>"00086000025"</f>
        <v>00086000025</v>
      </c>
      <c r="C954" t="s">
        <v>1274</v>
      </c>
      <c r="D954" t="s">
        <v>42</v>
      </c>
      <c r="E954">
        <v>82</v>
      </c>
      <c r="F954">
        <v>4287</v>
      </c>
      <c r="G954" t="s">
        <v>445</v>
      </c>
      <c r="H954" t="s">
        <v>44</v>
      </c>
      <c r="I954" t="s">
        <v>45</v>
      </c>
      <c r="J954" t="s">
        <v>44</v>
      </c>
      <c r="K954" t="s">
        <v>45</v>
      </c>
      <c r="L954">
        <v>8</v>
      </c>
      <c r="M954">
        <v>73060</v>
      </c>
      <c r="N954" t="s">
        <v>46</v>
      </c>
    </row>
    <row r="955" spans="1:14" x14ac:dyDescent="0.2">
      <c r="A955" s="3">
        <f t="shared" si="15"/>
        <v>8629</v>
      </c>
      <c r="B955" t="str">
        <f>"00086290006"</f>
        <v>00086290006</v>
      </c>
      <c r="C955" t="s">
        <v>1275</v>
      </c>
      <c r="D955" t="s">
        <v>115</v>
      </c>
      <c r="E955">
        <v>47</v>
      </c>
      <c r="F955">
        <v>2362</v>
      </c>
      <c r="G955" t="s">
        <v>1179</v>
      </c>
      <c r="H955">
        <v>120</v>
      </c>
      <c r="I955" t="s">
        <v>34</v>
      </c>
      <c r="J955">
        <v>88</v>
      </c>
      <c r="K955" t="s">
        <v>34</v>
      </c>
      <c r="L955">
        <v>8</v>
      </c>
      <c r="M955">
        <v>72197</v>
      </c>
      <c r="N955">
        <v>32</v>
      </c>
    </row>
    <row r="956" spans="1:14" x14ac:dyDescent="0.2">
      <c r="A956" s="3">
        <f t="shared" si="15"/>
        <v>8723</v>
      </c>
      <c r="B956" t="str">
        <f>"00087230006"</f>
        <v>00087230006</v>
      </c>
      <c r="C956" t="s">
        <v>1276</v>
      </c>
      <c r="D956" t="s">
        <v>48</v>
      </c>
      <c r="E956">
        <v>30</v>
      </c>
      <c r="F956">
        <v>3601</v>
      </c>
      <c r="G956" t="s">
        <v>408</v>
      </c>
      <c r="H956">
        <v>20</v>
      </c>
      <c r="I956" t="s">
        <v>34</v>
      </c>
      <c r="J956">
        <v>14</v>
      </c>
      <c r="K956" t="s">
        <v>34</v>
      </c>
      <c r="L956">
        <v>8</v>
      </c>
      <c r="M956">
        <v>83131</v>
      </c>
      <c r="N956">
        <v>6</v>
      </c>
    </row>
    <row r="957" spans="1:14" x14ac:dyDescent="0.2">
      <c r="A957" s="3">
        <f t="shared" si="15"/>
        <v>8730</v>
      </c>
      <c r="B957" t="str">
        <f>"00087300016"</f>
        <v>00087300016</v>
      </c>
      <c r="C957" t="s">
        <v>1277</v>
      </c>
      <c r="D957" t="s">
        <v>115</v>
      </c>
      <c r="E957">
        <v>70</v>
      </c>
      <c r="F957">
        <v>3112</v>
      </c>
      <c r="G957" t="s">
        <v>245</v>
      </c>
      <c r="H957">
        <v>120</v>
      </c>
      <c r="I957" t="s">
        <v>34</v>
      </c>
      <c r="J957">
        <v>88</v>
      </c>
      <c r="K957" t="s">
        <v>34</v>
      </c>
      <c r="L957">
        <v>8</v>
      </c>
      <c r="M957">
        <v>74166</v>
      </c>
      <c r="N957">
        <v>32</v>
      </c>
    </row>
    <row r="958" spans="1:14" x14ac:dyDescent="0.2">
      <c r="A958" s="3">
        <f t="shared" si="15"/>
        <v>8736</v>
      </c>
      <c r="B958" t="str">
        <f>"00087360024"</f>
        <v>00087360024</v>
      </c>
      <c r="C958" t="s">
        <v>1278</v>
      </c>
      <c r="D958" t="s">
        <v>42</v>
      </c>
      <c r="E958">
        <v>82</v>
      </c>
      <c r="F958">
        <v>3790</v>
      </c>
      <c r="G958" t="s">
        <v>1279</v>
      </c>
      <c r="H958" t="s">
        <v>44</v>
      </c>
      <c r="I958" t="s">
        <v>45</v>
      </c>
      <c r="J958" t="s">
        <v>44</v>
      </c>
      <c r="K958" t="s">
        <v>45</v>
      </c>
      <c r="L958">
        <v>8</v>
      </c>
      <c r="M958">
        <v>70181</v>
      </c>
      <c r="N958" t="s">
        <v>46</v>
      </c>
    </row>
    <row r="959" spans="1:14" x14ac:dyDescent="0.2">
      <c r="A959" s="3">
        <f t="shared" si="15"/>
        <v>8741</v>
      </c>
      <c r="B959" t="str">
        <f>"00087410015"</f>
        <v>00087410015</v>
      </c>
      <c r="C959" t="s">
        <v>1280</v>
      </c>
      <c r="D959" t="s">
        <v>42</v>
      </c>
      <c r="E959">
        <v>82</v>
      </c>
      <c r="F959">
        <v>8237</v>
      </c>
      <c r="G959" t="s">
        <v>378</v>
      </c>
      <c r="H959" t="s">
        <v>44</v>
      </c>
      <c r="I959" t="s">
        <v>45</v>
      </c>
      <c r="J959" t="s">
        <v>44</v>
      </c>
      <c r="K959" t="s">
        <v>45</v>
      </c>
      <c r="L959">
        <v>8</v>
      </c>
      <c r="M959">
        <v>70171</v>
      </c>
      <c r="N959" t="s">
        <v>46</v>
      </c>
    </row>
    <row r="960" spans="1:14" x14ac:dyDescent="0.2">
      <c r="A960" s="3">
        <f t="shared" si="15"/>
        <v>8748</v>
      </c>
      <c r="B960" t="str">
        <f>"00087480060"</f>
        <v>00087480060</v>
      </c>
      <c r="C960" t="s">
        <v>1281</v>
      </c>
      <c r="D960" t="s">
        <v>52</v>
      </c>
      <c r="E960">
        <v>62</v>
      </c>
      <c r="F960">
        <v>4859</v>
      </c>
      <c r="G960" t="s">
        <v>889</v>
      </c>
      <c r="H960">
        <v>16</v>
      </c>
      <c r="I960" t="s">
        <v>25</v>
      </c>
      <c r="J960">
        <v>13</v>
      </c>
      <c r="K960" t="s">
        <v>25</v>
      </c>
      <c r="L960">
        <v>6</v>
      </c>
      <c r="M960">
        <v>51622</v>
      </c>
      <c r="N960">
        <v>3</v>
      </c>
    </row>
    <row r="961" spans="1:14" x14ac:dyDescent="0.2">
      <c r="A961" s="3">
        <f t="shared" si="15"/>
        <v>8749</v>
      </c>
      <c r="B961" t="str">
        <f>"00087490020"</f>
        <v>00087490020</v>
      </c>
      <c r="C961" t="s">
        <v>1282</v>
      </c>
      <c r="D961" t="s">
        <v>42</v>
      </c>
      <c r="E961">
        <v>83</v>
      </c>
      <c r="F961">
        <v>4838</v>
      </c>
      <c r="G961" t="s">
        <v>536</v>
      </c>
      <c r="H961" t="s">
        <v>44</v>
      </c>
      <c r="I961" t="s">
        <v>45</v>
      </c>
      <c r="J961" t="s">
        <v>44</v>
      </c>
      <c r="K961" t="s">
        <v>45</v>
      </c>
      <c r="L961">
        <v>8</v>
      </c>
      <c r="M961">
        <v>69032</v>
      </c>
      <c r="N961" t="s">
        <v>46</v>
      </c>
    </row>
    <row r="962" spans="1:14" x14ac:dyDescent="0.2">
      <c r="A962" s="3">
        <f t="shared" si="15"/>
        <v>8753</v>
      </c>
      <c r="B962" t="str">
        <f>"00087530001"</f>
        <v>00087530001</v>
      </c>
      <c r="C962" t="s">
        <v>1283</v>
      </c>
      <c r="D962" t="s">
        <v>52</v>
      </c>
      <c r="E962">
        <v>997</v>
      </c>
      <c r="F962">
        <v>9990</v>
      </c>
      <c r="G962" t="s">
        <v>247</v>
      </c>
      <c r="H962" t="s">
        <v>44</v>
      </c>
      <c r="I962" t="s">
        <v>45</v>
      </c>
      <c r="J962" t="s">
        <v>44</v>
      </c>
      <c r="K962" t="s">
        <v>45</v>
      </c>
      <c r="L962">
        <v>5</v>
      </c>
      <c r="M962" t="s">
        <v>65</v>
      </c>
      <c r="N962" t="s">
        <v>46</v>
      </c>
    </row>
    <row r="963" spans="1:14" x14ac:dyDescent="0.2">
      <c r="A963" s="3">
        <f t="shared" si="15"/>
        <v>8756</v>
      </c>
      <c r="B963" t="str">
        <f>"00087560044"</f>
        <v>00087560044</v>
      </c>
      <c r="C963" t="s">
        <v>1284</v>
      </c>
      <c r="D963" t="s">
        <v>52</v>
      </c>
      <c r="E963">
        <v>113</v>
      </c>
      <c r="F963">
        <v>4284</v>
      </c>
      <c r="G963" t="s">
        <v>1285</v>
      </c>
      <c r="H963" t="s">
        <v>44</v>
      </c>
      <c r="I963" t="s">
        <v>45</v>
      </c>
      <c r="J963" t="s">
        <v>44</v>
      </c>
      <c r="K963" t="s">
        <v>45</v>
      </c>
      <c r="L963">
        <v>5</v>
      </c>
      <c r="M963" t="s">
        <v>65</v>
      </c>
      <c r="N963" t="s">
        <v>46</v>
      </c>
    </row>
    <row r="964" spans="1:14" x14ac:dyDescent="0.2">
      <c r="A964" s="3">
        <f t="shared" ref="A964:A1027" si="16">(B964-RIGHT(B964,4))/10000</f>
        <v>8762</v>
      </c>
      <c r="B964" t="str">
        <f>"00087620006"</f>
        <v>00087620006</v>
      </c>
      <c r="C964" t="s">
        <v>1286</v>
      </c>
      <c r="D964" t="s">
        <v>115</v>
      </c>
      <c r="E964">
        <v>62</v>
      </c>
      <c r="F964">
        <v>3525</v>
      </c>
      <c r="G964" t="s">
        <v>883</v>
      </c>
      <c r="H964">
        <v>120</v>
      </c>
      <c r="I964" t="s">
        <v>34</v>
      </c>
      <c r="J964">
        <v>88</v>
      </c>
      <c r="K964" t="s">
        <v>34</v>
      </c>
      <c r="L964">
        <v>8</v>
      </c>
      <c r="M964">
        <v>71201</v>
      </c>
      <c r="N964">
        <v>32</v>
      </c>
    </row>
    <row r="965" spans="1:14" x14ac:dyDescent="0.2">
      <c r="A965" s="3">
        <f t="shared" si="16"/>
        <v>8813</v>
      </c>
      <c r="B965" t="str">
        <f>"00088130006"</f>
        <v>00088130006</v>
      </c>
      <c r="C965" t="s">
        <v>1287</v>
      </c>
      <c r="D965" t="s">
        <v>23</v>
      </c>
      <c r="E965">
        <v>62</v>
      </c>
      <c r="F965">
        <v>2120</v>
      </c>
      <c r="G965" t="s">
        <v>1007</v>
      </c>
      <c r="H965">
        <v>122</v>
      </c>
      <c r="I965" t="s">
        <v>34</v>
      </c>
      <c r="J965">
        <v>90</v>
      </c>
      <c r="K965" t="s">
        <v>34</v>
      </c>
      <c r="L965">
        <v>8</v>
      </c>
      <c r="M965">
        <v>95218</v>
      </c>
      <c r="N965">
        <v>32</v>
      </c>
    </row>
    <row r="966" spans="1:14" x14ac:dyDescent="0.2">
      <c r="A966" s="3">
        <f t="shared" si="16"/>
        <v>8815</v>
      </c>
      <c r="B966" t="str">
        <f>"00088150007"</f>
        <v>00088150007</v>
      </c>
      <c r="C966" t="s">
        <v>1288</v>
      </c>
      <c r="D966" t="s">
        <v>289</v>
      </c>
      <c r="E966">
        <v>20</v>
      </c>
      <c r="F966">
        <v>8086</v>
      </c>
      <c r="G966" t="s">
        <v>290</v>
      </c>
      <c r="H966">
        <v>90</v>
      </c>
      <c r="I966" t="s">
        <v>34</v>
      </c>
      <c r="J966">
        <v>69</v>
      </c>
      <c r="K966" t="s">
        <v>34</v>
      </c>
      <c r="L966">
        <v>8</v>
      </c>
      <c r="M966">
        <v>87030</v>
      </c>
      <c r="N966">
        <v>21</v>
      </c>
    </row>
    <row r="967" spans="1:14" x14ac:dyDescent="0.2">
      <c r="A967" s="3">
        <f t="shared" si="16"/>
        <v>8815</v>
      </c>
      <c r="B967" t="str">
        <f>"00088150007"</f>
        <v>00088150007</v>
      </c>
      <c r="C967" t="s">
        <v>1288</v>
      </c>
      <c r="D967" t="s">
        <v>289</v>
      </c>
      <c r="E967">
        <v>20</v>
      </c>
      <c r="F967">
        <v>3477</v>
      </c>
      <c r="G967" t="s">
        <v>1289</v>
      </c>
      <c r="H967">
        <v>90</v>
      </c>
      <c r="I967" t="s">
        <v>34</v>
      </c>
      <c r="J967">
        <v>69</v>
      </c>
      <c r="K967" t="s">
        <v>34</v>
      </c>
      <c r="L967">
        <v>8</v>
      </c>
      <c r="M967">
        <v>87030</v>
      </c>
      <c r="N967">
        <v>21</v>
      </c>
    </row>
    <row r="968" spans="1:14" x14ac:dyDescent="0.2">
      <c r="A968" s="3">
        <f t="shared" si="16"/>
        <v>8816</v>
      </c>
      <c r="B968" t="str">
        <f>"00088160001"</f>
        <v>00088160001</v>
      </c>
      <c r="C968" t="s">
        <v>1290</v>
      </c>
      <c r="D968" t="s">
        <v>115</v>
      </c>
      <c r="E968">
        <v>63</v>
      </c>
      <c r="F968">
        <v>5821</v>
      </c>
      <c r="G968" t="s">
        <v>736</v>
      </c>
      <c r="H968">
        <v>6</v>
      </c>
      <c r="I968" t="s">
        <v>25</v>
      </c>
      <c r="J968">
        <v>4</v>
      </c>
      <c r="K968" t="s">
        <v>25</v>
      </c>
      <c r="L968">
        <v>8</v>
      </c>
      <c r="M968">
        <v>62156</v>
      </c>
      <c r="N968">
        <v>2</v>
      </c>
    </row>
    <row r="969" spans="1:14" x14ac:dyDescent="0.2">
      <c r="A969" s="3">
        <f t="shared" si="16"/>
        <v>8819</v>
      </c>
      <c r="B969" t="str">
        <f>"00088190004"</f>
        <v>00088190004</v>
      </c>
      <c r="C969" t="s">
        <v>1291</v>
      </c>
      <c r="D969" t="s">
        <v>42</v>
      </c>
      <c r="E969">
        <v>83</v>
      </c>
      <c r="F969">
        <v>4678</v>
      </c>
      <c r="G969" t="s">
        <v>55</v>
      </c>
      <c r="H969" t="s">
        <v>44</v>
      </c>
      <c r="I969" t="s">
        <v>45</v>
      </c>
      <c r="J969" t="s">
        <v>44</v>
      </c>
      <c r="K969" t="s">
        <v>45</v>
      </c>
      <c r="L969">
        <v>8</v>
      </c>
      <c r="M969">
        <v>67171</v>
      </c>
      <c r="N969" t="s">
        <v>46</v>
      </c>
    </row>
    <row r="970" spans="1:14" x14ac:dyDescent="0.2">
      <c r="A970" s="3">
        <f t="shared" si="16"/>
        <v>8829</v>
      </c>
      <c r="B970" t="str">
        <f>"00088290005"</f>
        <v>00088290005</v>
      </c>
      <c r="C970" t="s">
        <v>1292</v>
      </c>
      <c r="D970" t="s">
        <v>67</v>
      </c>
      <c r="E970">
        <v>33</v>
      </c>
      <c r="F970">
        <v>4206</v>
      </c>
      <c r="G970" t="s">
        <v>822</v>
      </c>
      <c r="H970">
        <v>20</v>
      </c>
      <c r="I970" t="s">
        <v>34</v>
      </c>
      <c r="J970">
        <v>14</v>
      </c>
      <c r="K970" t="s">
        <v>34</v>
      </c>
      <c r="L970">
        <v>8</v>
      </c>
      <c r="M970">
        <v>83248</v>
      </c>
      <c r="N970">
        <v>6</v>
      </c>
    </row>
    <row r="971" spans="1:14" x14ac:dyDescent="0.2">
      <c r="A971" s="3">
        <f t="shared" si="16"/>
        <v>8836</v>
      </c>
      <c r="B971" t="str">
        <f>"00088360016"</f>
        <v>00088360016</v>
      </c>
      <c r="C971" t="s">
        <v>1293</v>
      </c>
      <c r="D971" t="s">
        <v>42</v>
      </c>
      <c r="E971">
        <v>82</v>
      </c>
      <c r="F971">
        <v>4287</v>
      </c>
      <c r="G971" t="s">
        <v>445</v>
      </c>
      <c r="H971" t="s">
        <v>44</v>
      </c>
      <c r="I971" t="s">
        <v>45</v>
      </c>
      <c r="J971" t="s">
        <v>44</v>
      </c>
      <c r="K971" t="s">
        <v>45</v>
      </c>
      <c r="L971">
        <v>8</v>
      </c>
      <c r="M971">
        <v>70094</v>
      </c>
      <c r="N971" t="s">
        <v>46</v>
      </c>
    </row>
    <row r="972" spans="1:14" x14ac:dyDescent="0.2">
      <c r="A972" s="3">
        <f t="shared" si="16"/>
        <v>8840</v>
      </c>
      <c r="B972" t="str">
        <f>"00088400014"</f>
        <v>00088400014</v>
      </c>
      <c r="C972" t="s">
        <v>1294</v>
      </c>
      <c r="D972" t="s">
        <v>67</v>
      </c>
      <c r="E972">
        <v>32</v>
      </c>
      <c r="F972">
        <v>4249</v>
      </c>
      <c r="G972" t="s">
        <v>264</v>
      </c>
      <c r="H972">
        <v>24</v>
      </c>
      <c r="I972" t="s">
        <v>34</v>
      </c>
      <c r="J972">
        <v>18</v>
      </c>
      <c r="K972" t="s">
        <v>34</v>
      </c>
      <c r="L972">
        <v>8</v>
      </c>
      <c r="M972">
        <v>81217</v>
      </c>
      <c r="N972">
        <v>6</v>
      </c>
    </row>
    <row r="973" spans="1:14" x14ac:dyDescent="0.2">
      <c r="A973" s="3">
        <f t="shared" si="16"/>
        <v>8841</v>
      </c>
      <c r="B973" t="str">
        <f>"00088410024"</f>
        <v>00088410024</v>
      </c>
      <c r="C973" t="s">
        <v>1295</v>
      </c>
      <c r="D973" t="s">
        <v>36</v>
      </c>
      <c r="E973">
        <v>82</v>
      </c>
      <c r="F973">
        <v>2131</v>
      </c>
      <c r="G973" t="s">
        <v>241</v>
      </c>
      <c r="H973" t="s">
        <v>44</v>
      </c>
      <c r="I973" t="s">
        <v>45</v>
      </c>
      <c r="J973" t="s">
        <v>44</v>
      </c>
      <c r="K973" t="s">
        <v>45</v>
      </c>
      <c r="L973">
        <v>8</v>
      </c>
      <c r="M973">
        <v>72270</v>
      </c>
      <c r="N973" t="s">
        <v>46</v>
      </c>
    </row>
    <row r="974" spans="1:14" x14ac:dyDescent="0.2">
      <c r="A974" s="3">
        <f t="shared" si="16"/>
        <v>8859</v>
      </c>
      <c r="B974" t="str">
        <f>"00088590016"</f>
        <v>00088590016</v>
      </c>
      <c r="C974" t="s">
        <v>1296</v>
      </c>
      <c r="D974" t="s">
        <v>42</v>
      </c>
      <c r="E974">
        <v>84</v>
      </c>
      <c r="F974">
        <v>4678</v>
      </c>
      <c r="G974" t="s">
        <v>55</v>
      </c>
      <c r="H974" t="s">
        <v>44</v>
      </c>
      <c r="I974" t="s">
        <v>45</v>
      </c>
      <c r="J974" t="s">
        <v>44</v>
      </c>
      <c r="K974" t="s">
        <v>45</v>
      </c>
      <c r="L974">
        <v>8</v>
      </c>
      <c r="M974">
        <v>71008</v>
      </c>
      <c r="N974" t="s">
        <v>46</v>
      </c>
    </row>
    <row r="975" spans="1:14" x14ac:dyDescent="0.2">
      <c r="A975" s="3">
        <f t="shared" si="16"/>
        <v>8868</v>
      </c>
      <c r="B975" t="str">
        <f>"00088680008"</f>
        <v>00088680008</v>
      </c>
      <c r="C975" t="s">
        <v>1297</v>
      </c>
      <c r="D975" t="s">
        <v>36</v>
      </c>
      <c r="E975">
        <v>47</v>
      </c>
      <c r="F975">
        <v>389</v>
      </c>
      <c r="G975" t="s">
        <v>37</v>
      </c>
      <c r="H975">
        <v>9</v>
      </c>
      <c r="I975" t="s">
        <v>25</v>
      </c>
      <c r="J975">
        <v>7</v>
      </c>
      <c r="K975" t="s">
        <v>25</v>
      </c>
      <c r="L975">
        <v>8</v>
      </c>
      <c r="M975">
        <v>67144</v>
      </c>
      <c r="N975">
        <v>2</v>
      </c>
    </row>
    <row r="976" spans="1:14" x14ac:dyDescent="0.2">
      <c r="A976" s="3">
        <f t="shared" si="16"/>
        <v>8872</v>
      </c>
      <c r="B976" t="str">
        <f>"00088720006"</f>
        <v>00088720006</v>
      </c>
      <c r="C976" t="s">
        <v>1298</v>
      </c>
      <c r="D976" t="s">
        <v>67</v>
      </c>
      <c r="E976">
        <v>31</v>
      </c>
      <c r="F976">
        <v>3453</v>
      </c>
      <c r="G976" t="s">
        <v>91</v>
      </c>
      <c r="H976">
        <v>19</v>
      </c>
      <c r="I976" t="s">
        <v>34</v>
      </c>
      <c r="J976">
        <v>14</v>
      </c>
      <c r="K976" t="s">
        <v>34</v>
      </c>
      <c r="L976">
        <v>8</v>
      </c>
      <c r="M976">
        <v>80105</v>
      </c>
      <c r="N976">
        <v>5</v>
      </c>
    </row>
    <row r="977" spans="1:14" x14ac:dyDescent="0.2">
      <c r="A977" s="3">
        <f t="shared" si="16"/>
        <v>8873</v>
      </c>
      <c r="B977" t="str">
        <f>"00088730015"</f>
        <v>00088730015</v>
      </c>
      <c r="C977" t="s">
        <v>1299</v>
      </c>
      <c r="D977" t="s">
        <v>216</v>
      </c>
      <c r="E977">
        <v>71</v>
      </c>
      <c r="F977">
        <v>1205</v>
      </c>
      <c r="G977" t="s">
        <v>325</v>
      </c>
      <c r="H977">
        <v>120</v>
      </c>
      <c r="I977" t="s">
        <v>34</v>
      </c>
      <c r="J977">
        <v>88</v>
      </c>
      <c r="K977" t="s">
        <v>34</v>
      </c>
      <c r="L977">
        <v>8</v>
      </c>
      <c r="M977">
        <v>74188</v>
      </c>
      <c r="N977">
        <v>32</v>
      </c>
    </row>
    <row r="978" spans="1:14" x14ac:dyDescent="0.2">
      <c r="A978" s="3">
        <f t="shared" si="16"/>
        <v>8875</v>
      </c>
      <c r="B978" t="str">
        <f>"00088750016"</f>
        <v>00088750016</v>
      </c>
      <c r="C978" t="s">
        <v>1300</v>
      </c>
      <c r="D978" t="s">
        <v>216</v>
      </c>
      <c r="E978">
        <v>71</v>
      </c>
      <c r="F978">
        <v>1205</v>
      </c>
      <c r="G978" t="s">
        <v>325</v>
      </c>
      <c r="H978">
        <v>120</v>
      </c>
      <c r="I978" t="s">
        <v>34</v>
      </c>
      <c r="J978">
        <v>88</v>
      </c>
      <c r="K978" t="s">
        <v>34</v>
      </c>
      <c r="L978">
        <v>8</v>
      </c>
      <c r="M978">
        <v>74221</v>
      </c>
      <c r="N978">
        <v>32</v>
      </c>
    </row>
    <row r="979" spans="1:14" x14ac:dyDescent="0.2">
      <c r="A979" s="3">
        <f t="shared" si="16"/>
        <v>8881</v>
      </c>
      <c r="B979" t="str">
        <f>"00088810014"</f>
        <v>00088810014</v>
      </c>
      <c r="C979" t="s">
        <v>1301</v>
      </c>
      <c r="D979" t="s">
        <v>115</v>
      </c>
      <c r="E979">
        <v>70</v>
      </c>
      <c r="F979">
        <v>3112</v>
      </c>
      <c r="G979" t="s">
        <v>245</v>
      </c>
      <c r="H979">
        <v>90</v>
      </c>
      <c r="I979" t="s">
        <v>34</v>
      </c>
      <c r="J979">
        <v>69</v>
      </c>
      <c r="K979" t="s">
        <v>34</v>
      </c>
      <c r="L979">
        <v>8</v>
      </c>
      <c r="M979">
        <v>74124</v>
      </c>
      <c r="N979">
        <v>21</v>
      </c>
    </row>
    <row r="980" spans="1:14" x14ac:dyDescent="0.2">
      <c r="A980" s="3">
        <f t="shared" si="16"/>
        <v>8886</v>
      </c>
      <c r="B980" t="str">
        <f>"00088860016"</f>
        <v>00088860016</v>
      </c>
      <c r="C980" t="s">
        <v>1302</v>
      </c>
      <c r="D980" t="s">
        <v>36</v>
      </c>
      <c r="E980">
        <v>71</v>
      </c>
      <c r="F980">
        <v>2168</v>
      </c>
      <c r="G980" t="s">
        <v>788</v>
      </c>
      <c r="H980">
        <v>120</v>
      </c>
      <c r="I980" t="s">
        <v>34</v>
      </c>
      <c r="J980">
        <v>88</v>
      </c>
      <c r="K980" t="s">
        <v>34</v>
      </c>
      <c r="L980">
        <v>8</v>
      </c>
      <c r="M980">
        <v>72021</v>
      </c>
      <c r="N980">
        <v>32</v>
      </c>
    </row>
    <row r="981" spans="1:14" x14ac:dyDescent="0.2">
      <c r="A981" s="3">
        <f t="shared" si="16"/>
        <v>8891</v>
      </c>
      <c r="B981" t="str">
        <f>"00088910009"</f>
        <v>00088910009</v>
      </c>
      <c r="C981" t="s">
        <v>1303</v>
      </c>
      <c r="D981" t="s">
        <v>42</v>
      </c>
      <c r="E981">
        <v>44</v>
      </c>
      <c r="F981">
        <v>6916</v>
      </c>
      <c r="G981" t="s">
        <v>60</v>
      </c>
      <c r="H981">
        <v>12</v>
      </c>
      <c r="I981" t="s">
        <v>25</v>
      </c>
      <c r="J981">
        <v>9</v>
      </c>
      <c r="K981" t="s">
        <v>25</v>
      </c>
      <c r="L981">
        <v>8</v>
      </c>
      <c r="M981">
        <v>66060</v>
      </c>
      <c r="N981">
        <v>3</v>
      </c>
    </row>
    <row r="982" spans="1:14" x14ac:dyDescent="0.2">
      <c r="A982" s="3">
        <f t="shared" si="16"/>
        <v>8893</v>
      </c>
      <c r="B982" t="str">
        <f>"00088930009"</f>
        <v>00088930009</v>
      </c>
      <c r="C982" t="s">
        <v>1304</v>
      </c>
      <c r="D982" t="s">
        <v>42</v>
      </c>
      <c r="E982">
        <v>44</v>
      </c>
      <c r="F982">
        <v>6916</v>
      </c>
      <c r="G982" t="s">
        <v>60</v>
      </c>
      <c r="H982">
        <v>12</v>
      </c>
      <c r="I982" t="s">
        <v>25</v>
      </c>
      <c r="J982">
        <v>9</v>
      </c>
      <c r="K982" t="s">
        <v>25</v>
      </c>
      <c r="L982">
        <v>8</v>
      </c>
      <c r="M982">
        <v>66039</v>
      </c>
      <c r="N982">
        <v>3</v>
      </c>
    </row>
    <row r="983" spans="1:14" x14ac:dyDescent="0.2">
      <c r="A983" s="3">
        <f t="shared" si="16"/>
        <v>8914</v>
      </c>
      <c r="B983" t="str">
        <f>"00089140016"</f>
        <v>00089140016</v>
      </c>
      <c r="C983" t="s">
        <v>1305</v>
      </c>
      <c r="D983" t="s">
        <v>42</v>
      </c>
      <c r="E983">
        <v>83</v>
      </c>
      <c r="F983">
        <v>4838</v>
      </c>
      <c r="G983" t="s">
        <v>536</v>
      </c>
      <c r="H983" t="s">
        <v>44</v>
      </c>
      <c r="I983" t="s">
        <v>45</v>
      </c>
      <c r="J983" t="s">
        <v>44</v>
      </c>
      <c r="K983" t="s">
        <v>45</v>
      </c>
      <c r="L983">
        <v>8</v>
      </c>
      <c r="M983">
        <v>67190</v>
      </c>
      <c r="N983" t="s">
        <v>46</v>
      </c>
    </row>
    <row r="984" spans="1:14" x14ac:dyDescent="0.2">
      <c r="A984" s="3">
        <f t="shared" si="16"/>
        <v>8920</v>
      </c>
      <c r="B984" t="str">
        <f>"00089200006"</f>
        <v>00089200006</v>
      </c>
      <c r="C984" t="s">
        <v>1306</v>
      </c>
      <c r="D984" t="s">
        <v>36</v>
      </c>
      <c r="E984">
        <v>46</v>
      </c>
      <c r="F984">
        <v>2074</v>
      </c>
      <c r="G984" t="s">
        <v>661</v>
      </c>
      <c r="H984">
        <v>8</v>
      </c>
      <c r="I984" t="s">
        <v>25</v>
      </c>
      <c r="J984">
        <v>6</v>
      </c>
      <c r="K984" t="s">
        <v>25</v>
      </c>
      <c r="L984">
        <v>8</v>
      </c>
      <c r="M984">
        <v>73197</v>
      </c>
      <c r="N984">
        <v>2</v>
      </c>
    </row>
    <row r="985" spans="1:14" x14ac:dyDescent="0.2">
      <c r="A985" s="3">
        <f t="shared" si="16"/>
        <v>8922</v>
      </c>
      <c r="B985" t="str">
        <f>"00089220006"</f>
        <v>00089220006</v>
      </c>
      <c r="C985" t="s">
        <v>1307</v>
      </c>
      <c r="D985" t="s">
        <v>42</v>
      </c>
      <c r="E985">
        <v>83</v>
      </c>
      <c r="F985">
        <v>4678</v>
      </c>
      <c r="G985" t="s">
        <v>55</v>
      </c>
      <c r="H985" t="s">
        <v>44</v>
      </c>
      <c r="I985" t="s">
        <v>45</v>
      </c>
      <c r="J985" t="s">
        <v>44</v>
      </c>
      <c r="K985" t="s">
        <v>45</v>
      </c>
      <c r="L985">
        <v>8</v>
      </c>
      <c r="M985">
        <v>67212</v>
      </c>
      <c r="N985" t="s">
        <v>46</v>
      </c>
    </row>
    <row r="986" spans="1:14" x14ac:dyDescent="0.2">
      <c r="A986" s="3">
        <f t="shared" si="16"/>
        <v>8936</v>
      </c>
      <c r="B986" t="str">
        <f>"00089360012"</f>
        <v>00089360012</v>
      </c>
      <c r="C986" t="s">
        <v>1308</v>
      </c>
      <c r="D986" t="s">
        <v>67</v>
      </c>
      <c r="E986">
        <v>32</v>
      </c>
      <c r="F986">
        <v>4249</v>
      </c>
      <c r="G986" t="s">
        <v>264</v>
      </c>
      <c r="H986">
        <v>28</v>
      </c>
      <c r="I986" t="s">
        <v>34</v>
      </c>
      <c r="J986">
        <v>20</v>
      </c>
      <c r="K986" t="s">
        <v>34</v>
      </c>
      <c r="L986">
        <v>6</v>
      </c>
      <c r="M986" t="s">
        <v>65</v>
      </c>
      <c r="N986">
        <v>8</v>
      </c>
    </row>
    <row r="987" spans="1:14" x14ac:dyDescent="0.2">
      <c r="A987" s="3">
        <f t="shared" si="16"/>
        <v>8947</v>
      </c>
      <c r="B987" t="str">
        <f>"00089470018"</f>
        <v>00089470018</v>
      </c>
      <c r="C987" t="s">
        <v>1309</v>
      </c>
      <c r="D987" t="s">
        <v>115</v>
      </c>
      <c r="E987">
        <v>70</v>
      </c>
      <c r="F987">
        <v>4652</v>
      </c>
      <c r="G987" t="s">
        <v>613</v>
      </c>
      <c r="H987">
        <v>77</v>
      </c>
      <c r="I987" t="s">
        <v>34</v>
      </c>
      <c r="J987">
        <v>60</v>
      </c>
      <c r="K987" t="s">
        <v>34</v>
      </c>
      <c r="L987">
        <v>8</v>
      </c>
      <c r="M987">
        <v>66248</v>
      </c>
      <c r="N987">
        <v>17</v>
      </c>
    </row>
    <row r="988" spans="1:14" x14ac:dyDescent="0.2">
      <c r="A988" s="3">
        <f t="shared" si="16"/>
        <v>8948</v>
      </c>
      <c r="B988" t="str">
        <f>"00089480006"</f>
        <v>00089480006</v>
      </c>
      <c r="C988" t="s">
        <v>1310</v>
      </c>
      <c r="D988" t="s">
        <v>67</v>
      </c>
      <c r="E988">
        <v>33</v>
      </c>
      <c r="F988">
        <v>4206</v>
      </c>
      <c r="G988" t="s">
        <v>822</v>
      </c>
      <c r="H988">
        <v>17</v>
      </c>
      <c r="I988" t="s">
        <v>34</v>
      </c>
      <c r="J988">
        <v>11</v>
      </c>
      <c r="K988" t="s">
        <v>34</v>
      </c>
      <c r="L988">
        <v>8</v>
      </c>
      <c r="M988">
        <v>83241</v>
      </c>
      <c r="N988">
        <v>6</v>
      </c>
    </row>
    <row r="989" spans="1:14" x14ac:dyDescent="0.2">
      <c r="A989" s="3">
        <f t="shared" si="16"/>
        <v>8949</v>
      </c>
      <c r="B989" t="str">
        <f>"00089490008"</f>
        <v>00089490008</v>
      </c>
      <c r="C989" t="s">
        <v>1311</v>
      </c>
      <c r="D989" t="s">
        <v>67</v>
      </c>
      <c r="E989">
        <v>33</v>
      </c>
      <c r="F989">
        <v>4206</v>
      </c>
      <c r="G989" t="s">
        <v>822</v>
      </c>
      <c r="H989">
        <v>30</v>
      </c>
      <c r="I989" t="s">
        <v>34</v>
      </c>
      <c r="J989">
        <v>20</v>
      </c>
      <c r="K989" t="s">
        <v>34</v>
      </c>
      <c r="L989">
        <v>8</v>
      </c>
      <c r="M989">
        <v>83228</v>
      </c>
      <c r="N989">
        <v>10</v>
      </c>
    </row>
    <row r="990" spans="1:14" x14ac:dyDescent="0.2">
      <c r="A990" s="3">
        <f t="shared" si="16"/>
        <v>8986</v>
      </c>
      <c r="B990" t="str">
        <f>"00089860006"</f>
        <v>00089860006</v>
      </c>
      <c r="C990" t="s">
        <v>1312</v>
      </c>
      <c r="D990" t="s">
        <v>48</v>
      </c>
      <c r="E990">
        <v>30</v>
      </c>
      <c r="F990">
        <v>8210</v>
      </c>
      <c r="G990" t="s">
        <v>1313</v>
      </c>
      <c r="H990">
        <v>17</v>
      </c>
      <c r="I990" t="s">
        <v>34</v>
      </c>
      <c r="J990">
        <v>11</v>
      </c>
      <c r="K990" t="s">
        <v>34</v>
      </c>
      <c r="L990">
        <v>8</v>
      </c>
      <c r="M990">
        <v>84050</v>
      </c>
      <c r="N990">
        <v>6</v>
      </c>
    </row>
    <row r="991" spans="1:14" x14ac:dyDescent="0.2">
      <c r="A991" s="3">
        <f t="shared" si="16"/>
        <v>8995</v>
      </c>
      <c r="B991" t="str">
        <f>"00089950012"</f>
        <v>00089950012</v>
      </c>
      <c r="C991" t="s">
        <v>1314</v>
      </c>
      <c r="D991" t="s">
        <v>101</v>
      </c>
      <c r="E991">
        <v>40</v>
      </c>
      <c r="F991">
        <v>8003</v>
      </c>
      <c r="G991" t="s">
        <v>164</v>
      </c>
      <c r="H991">
        <v>50</v>
      </c>
      <c r="I991" t="s">
        <v>34</v>
      </c>
      <c r="J991">
        <v>37</v>
      </c>
      <c r="K991" t="s">
        <v>34</v>
      </c>
      <c r="L991">
        <v>8</v>
      </c>
      <c r="M991">
        <v>76034</v>
      </c>
      <c r="N991">
        <v>13</v>
      </c>
    </row>
    <row r="992" spans="1:14" x14ac:dyDescent="0.2">
      <c r="A992" s="3">
        <f t="shared" si="16"/>
        <v>8995</v>
      </c>
      <c r="B992" t="str">
        <f>"00089950090"</f>
        <v>00089950090</v>
      </c>
      <c r="C992" t="s">
        <v>1314</v>
      </c>
      <c r="D992" t="s">
        <v>52</v>
      </c>
      <c r="E992">
        <v>40</v>
      </c>
      <c r="F992">
        <v>8003</v>
      </c>
      <c r="G992" t="s">
        <v>164</v>
      </c>
      <c r="H992">
        <v>50</v>
      </c>
      <c r="I992" t="s">
        <v>34</v>
      </c>
      <c r="J992">
        <v>37</v>
      </c>
      <c r="K992" t="s">
        <v>34</v>
      </c>
      <c r="L992">
        <v>5</v>
      </c>
      <c r="M992">
        <v>50520</v>
      </c>
      <c r="N992">
        <v>13</v>
      </c>
    </row>
    <row r="993" spans="1:14" x14ac:dyDescent="0.2">
      <c r="A993" s="3">
        <f t="shared" si="16"/>
        <v>9932</v>
      </c>
      <c r="B993" t="str">
        <f>"00099320015"</f>
        <v>00099320015</v>
      </c>
      <c r="C993" t="s">
        <v>1315</v>
      </c>
      <c r="D993" t="s">
        <v>101</v>
      </c>
      <c r="E993">
        <v>40</v>
      </c>
      <c r="F993">
        <v>8003</v>
      </c>
      <c r="G993" t="s">
        <v>164</v>
      </c>
      <c r="H993">
        <v>45</v>
      </c>
      <c r="I993" t="s">
        <v>34</v>
      </c>
      <c r="J993">
        <v>34</v>
      </c>
      <c r="K993" t="s">
        <v>34</v>
      </c>
      <c r="L993">
        <v>8</v>
      </c>
      <c r="M993">
        <v>76045</v>
      </c>
      <c r="N993">
        <v>11</v>
      </c>
    </row>
    <row r="994" spans="1:14" x14ac:dyDescent="0.2">
      <c r="A994" s="3">
        <f t="shared" si="16"/>
        <v>9962</v>
      </c>
      <c r="B994" t="str">
        <f>"00099620012"</f>
        <v>00099620012</v>
      </c>
      <c r="C994" t="s">
        <v>1316</v>
      </c>
      <c r="D994" t="s">
        <v>48</v>
      </c>
      <c r="E994">
        <v>30</v>
      </c>
      <c r="F994">
        <v>277</v>
      </c>
      <c r="G994" t="s">
        <v>405</v>
      </c>
      <c r="H994">
        <v>30</v>
      </c>
      <c r="I994" t="s">
        <v>34</v>
      </c>
      <c r="J994">
        <v>20</v>
      </c>
      <c r="K994" t="s">
        <v>34</v>
      </c>
      <c r="L994">
        <v>8</v>
      </c>
      <c r="M994">
        <v>82089</v>
      </c>
      <c r="N994">
        <v>10</v>
      </c>
    </row>
    <row r="995" spans="1:14" x14ac:dyDescent="0.2">
      <c r="A995" s="3">
        <f t="shared" si="16"/>
        <v>10433</v>
      </c>
      <c r="B995" t="str">
        <f>"00104330012"</f>
        <v>00104330012</v>
      </c>
      <c r="C995" t="s">
        <v>1317</v>
      </c>
      <c r="D995" t="s">
        <v>418</v>
      </c>
      <c r="E995">
        <v>44</v>
      </c>
      <c r="F995">
        <v>2750</v>
      </c>
      <c r="G995" t="s">
        <v>1318</v>
      </c>
      <c r="H995">
        <v>28</v>
      </c>
      <c r="I995" t="s">
        <v>25</v>
      </c>
      <c r="J995">
        <v>23</v>
      </c>
      <c r="K995" t="s">
        <v>25</v>
      </c>
      <c r="L995">
        <v>8</v>
      </c>
      <c r="M995">
        <v>65201</v>
      </c>
      <c r="N995">
        <v>5</v>
      </c>
    </row>
    <row r="996" spans="1:14" x14ac:dyDescent="0.2">
      <c r="A996" s="3">
        <f t="shared" si="16"/>
        <v>10470</v>
      </c>
      <c r="B996" t="str">
        <f>"00104700014"</f>
        <v>00104700014</v>
      </c>
      <c r="C996" t="s">
        <v>1319</v>
      </c>
      <c r="D996" t="s">
        <v>70</v>
      </c>
      <c r="E996">
        <v>30</v>
      </c>
      <c r="F996">
        <v>5031</v>
      </c>
      <c r="G996" t="s">
        <v>1320</v>
      </c>
      <c r="H996">
        <v>80</v>
      </c>
      <c r="I996" t="s">
        <v>34</v>
      </c>
      <c r="J996">
        <v>62</v>
      </c>
      <c r="K996" t="s">
        <v>34</v>
      </c>
      <c r="L996">
        <v>8</v>
      </c>
      <c r="M996">
        <v>83027</v>
      </c>
      <c r="N996">
        <v>18</v>
      </c>
    </row>
    <row r="997" spans="1:14" x14ac:dyDescent="0.2">
      <c r="A997" s="3">
        <f t="shared" si="16"/>
        <v>10615</v>
      </c>
      <c r="B997" t="str">
        <f>"00106150008"</f>
        <v>00106150008</v>
      </c>
      <c r="C997" t="s">
        <v>1321</v>
      </c>
      <c r="D997" t="s">
        <v>70</v>
      </c>
      <c r="E997">
        <v>30</v>
      </c>
      <c r="F997">
        <v>4980</v>
      </c>
      <c r="G997" t="s">
        <v>154</v>
      </c>
      <c r="H997">
        <v>21</v>
      </c>
      <c r="I997" t="s">
        <v>34</v>
      </c>
      <c r="J997">
        <v>15</v>
      </c>
      <c r="K997" t="s">
        <v>34</v>
      </c>
      <c r="L997">
        <v>9</v>
      </c>
      <c r="M997">
        <v>82248</v>
      </c>
      <c r="N997">
        <v>6</v>
      </c>
    </row>
    <row r="998" spans="1:14" x14ac:dyDescent="0.2">
      <c r="A998" s="3">
        <f t="shared" si="16"/>
        <v>10820</v>
      </c>
      <c r="B998" t="str">
        <f>"00108200006"</f>
        <v>00108200006</v>
      </c>
      <c r="C998" t="s">
        <v>1322</v>
      </c>
      <c r="D998" t="s">
        <v>70</v>
      </c>
      <c r="E998">
        <v>30</v>
      </c>
      <c r="F998">
        <v>8006</v>
      </c>
      <c r="G998" t="s">
        <v>162</v>
      </c>
      <c r="H998">
        <v>21</v>
      </c>
      <c r="I998" t="s">
        <v>34</v>
      </c>
      <c r="J998">
        <v>15</v>
      </c>
      <c r="K998" t="s">
        <v>34</v>
      </c>
      <c r="L998">
        <v>8</v>
      </c>
      <c r="M998">
        <v>82087</v>
      </c>
      <c r="N998">
        <v>6</v>
      </c>
    </row>
    <row r="999" spans="1:14" x14ac:dyDescent="0.2">
      <c r="A999" s="3">
        <f t="shared" si="16"/>
        <v>10953</v>
      </c>
      <c r="B999" t="str">
        <f>"00109530120"</f>
        <v>00109530120</v>
      </c>
      <c r="C999" t="s">
        <v>1323</v>
      </c>
      <c r="D999" t="s">
        <v>23</v>
      </c>
      <c r="E999">
        <v>45</v>
      </c>
      <c r="F999">
        <v>1701</v>
      </c>
      <c r="G999" t="s">
        <v>389</v>
      </c>
      <c r="H999">
        <v>12</v>
      </c>
      <c r="I999" t="s">
        <v>25</v>
      </c>
      <c r="J999">
        <v>9</v>
      </c>
      <c r="K999" t="s">
        <v>25</v>
      </c>
      <c r="L999">
        <v>8</v>
      </c>
      <c r="M999">
        <v>95453</v>
      </c>
      <c r="N999">
        <v>3</v>
      </c>
    </row>
    <row r="1000" spans="1:14" x14ac:dyDescent="0.2">
      <c r="A1000" s="3">
        <f t="shared" si="16"/>
        <v>11034</v>
      </c>
      <c r="B1000" t="str">
        <f>"00110340008"</f>
        <v>00110340008</v>
      </c>
      <c r="C1000" t="s">
        <v>1324</v>
      </c>
      <c r="D1000" t="s">
        <v>70</v>
      </c>
      <c r="E1000">
        <v>30</v>
      </c>
      <c r="F1000">
        <v>2499</v>
      </c>
      <c r="G1000" t="s">
        <v>1325</v>
      </c>
      <c r="H1000">
        <v>35</v>
      </c>
      <c r="I1000" t="s">
        <v>34</v>
      </c>
      <c r="J1000">
        <v>27</v>
      </c>
      <c r="K1000" t="s">
        <v>34</v>
      </c>
      <c r="L1000">
        <v>8</v>
      </c>
      <c r="M1000">
        <v>82119</v>
      </c>
      <c r="N1000">
        <v>8</v>
      </c>
    </row>
    <row r="1001" spans="1:14" x14ac:dyDescent="0.2">
      <c r="A1001" s="3">
        <f t="shared" si="16"/>
        <v>11219</v>
      </c>
      <c r="B1001" t="str">
        <f>"00112190001"</f>
        <v>00112190001</v>
      </c>
      <c r="C1001" t="s">
        <v>1326</v>
      </c>
      <c r="D1001" t="s">
        <v>52</v>
      </c>
      <c r="E1001">
        <v>90</v>
      </c>
      <c r="F1001">
        <v>1091</v>
      </c>
      <c r="G1001" t="s">
        <v>1327</v>
      </c>
      <c r="H1001">
        <v>7</v>
      </c>
      <c r="I1001" t="s">
        <v>34</v>
      </c>
      <c r="J1001">
        <v>5</v>
      </c>
      <c r="K1001" t="s">
        <v>34</v>
      </c>
      <c r="L1001">
        <v>8</v>
      </c>
      <c r="M1001">
        <v>91016</v>
      </c>
      <c r="N1001">
        <v>2</v>
      </c>
    </row>
    <row r="1002" spans="1:14" x14ac:dyDescent="0.2">
      <c r="A1002" s="3">
        <f t="shared" si="16"/>
        <v>11498</v>
      </c>
      <c r="B1002" t="str">
        <f>"00114980018"</f>
        <v>00114980018</v>
      </c>
      <c r="C1002" t="s">
        <v>1328</v>
      </c>
      <c r="D1002" t="s">
        <v>70</v>
      </c>
      <c r="E1002">
        <v>30</v>
      </c>
      <c r="F1002">
        <v>8232</v>
      </c>
      <c r="G1002" t="s">
        <v>262</v>
      </c>
      <c r="H1002">
        <v>28</v>
      </c>
      <c r="I1002" t="s">
        <v>34</v>
      </c>
      <c r="J1002">
        <v>20</v>
      </c>
      <c r="K1002" t="s">
        <v>34</v>
      </c>
      <c r="L1002">
        <v>8</v>
      </c>
      <c r="M1002">
        <v>83098</v>
      </c>
      <c r="N1002">
        <v>8</v>
      </c>
    </row>
    <row r="1003" spans="1:14" x14ac:dyDescent="0.2">
      <c r="A1003" s="3">
        <f t="shared" si="16"/>
        <v>11882</v>
      </c>
      <c r="B1003" t="str">
        <f>"00118820012"</f>
        <v>00118820012</v>
      </c>
      <c r="C1003" t="s">
        <v>1329</v>
      </c>
      <c r="D1003" t="s">
        <v>52</v>
      </c>
      <c r="E1003">
        <v>30</v>
      </c>
      <c r="F1003">
        <v>1161</v>
      </c>
      <c r="G1003" t="s">
        <v>1330</v>
      </c>
      <c r="H1003">
        <v>17</v>
      </c>
      <c r="I1003" t="s">
        <v>34</v>
      </c>
      <c r="J1003">
        <v>11</v>
      </c>
      <c r="K1003" t="s">
        <v>34</v>
      </c>
      <c r="L1003">
        <v>6</v>
      </c>
      <c r="M1003">
        <v>2503</v>
      </c>
      <c r="N1003">
        <v>6</v>
      </c>
    </row>
    <row r="1004" spans="1:14" x14ac:dyDescent="0.2">
      <c r="A1004" s="3">
        <f t="shared" si="16"/>
        <v>12043</v>
      </c>
      <c r="B1004" t="str">
        <f>"00120430012"</f>
        <v>00120430012</v>
      </c>
      <c r="C1004" t="s">
        <v>1331</v>
      </c>
      <c r="D1004" t="s">
        <v>320</v>
      </c>
      <c r="E1004">
        <v>20</v>
      </c>
      <c r="F1004">
        <v>8086</v>
      </c>
      <c r="G1004" t="s">
        <v>290</v>
      </c>
      <c r="H1004">
        <v>11</v>
      </c>
      <c r="I1004" t="s">
        <v>25</v>
      </c>
      <c r="J1004">
        <v>8</v>
      </c>
      <c r="K1004" t="s">
        <v>25</v>
      </c>
      <c r="L1004">
        <v>8</v>
      </c>
      <c r="M1004">
        <v>87057</v>
      </c>
      <c r="N1004">
        <v>3</v>
      </c>
    </row>
    <row r="1005" spans="1:14" x14ac:dyDescent="0.2">
      <c r="A1005" s="3">
        <f t="shared" si="16"/>
        <v>12043</v>
      </c>
      <c r="B1005" t="str">
        <f>"00120430012"</f>
        <v>00120430012</v>
      </c>
      <c r="C1005" t="s">
        <v>1331</v>
      </c>
      <c r="D1005" t="s">
        <v>320</v>
      </c>
      <c r="E1005">
        <v>20</v>
      </c>
      <c r="F1005">
        <v>5930</v>
      </c>
      <c r="G1005" t="s">
        <v>747</v>
      </c>
      <c r="H1005">
        <v>11</v>
      </c>
      <c r="I1005" t="s">
        <v>25</v>
      </c>
      <c r="J1005">
        <v>8</v>
      </c>
      <c r="K1005" t="s">
        <v>25</v>
      </c>
      <c r="L1005">
        <v>8</v>
      </c>
      <c r="M1005">
        <v>87057</v>
      </c>
      <c r="N1005">
        <v>3</v>
      </c>
    </row>
    <row r="1006" spans="1:14" x14ac:dyDescent="0.2">
      <c r="A1006" s="3">
        <f t="shared" si="16"/>
        <v>12050</v>
      </c>
      <c r="B1006" t="str">
        <f>"00120500018"</f>
        <v>00120500018</v>
      </c>
      <c r="C1006" t="s">
        <v>1332</v>
      </c>
      <c r="D1006" t="s">
        <v>42</v>
      </c>
      <c r="E1006">
        <v>44</v>
      </c>
      <c r="F1006">
        <v>6916</v>
      </c>
      <c r="G1006" t="s">
        <v>60</v>
      </c>
      <c r="H1006">
        <v>18</v>
      </c>
      <c r="I1006" t="s">
        <v>25</v>
      </c>
      <c r="J1006">
        <v>14</v>
      </c>
      <c r="K1006" t="s">
        <v>25</v>
      </c>
      <c r="L1006">
        <v>8</v>
      </c>
      <c r="M1006">
        <v>66054</v>
      </c>
      <c r="N1006">
        <v>4</v>
      </c>
    </row>
    <row r="1007" spans="1:14" x14ac:dyDescent="0.2">
      <c r="A1007" s="3">
        <f t="shared" si="16"/>
        <v>12116</v>
      </c>
      <c r="B1007" t="str">
        <f>"00121160009"</f>
        <v>00121160009</v>
      </c>
      <c r="C1007" t="s">
        <v>1333</v>
      </c>
      <c r="D1007" t="s">
        <v>320</v>
      </c>
      <c r="E1007">
        <v>20</v>
      </c>
      <c r="F1007">
        <v>8086</v>
      </c>
      <c r="G1007" t="s">
        <v>290</v>
      </c>
      <c r="H1007">
        <v>12</v>
      </c>
      <c r="I1007" t="s">
        <v>25</v>
      </c>
      <c r="J1007">
        <v>9</v>
      </c>
      <c r="K1007" t="s">
        <v>25</v>
      </c>
      <c r="L1007">
        <v>8</v>
      </c>
      <c r="M1007">
        <v>88048</v>
      </c>
      <c r="N1007">
        <v>3</v>
      </c>
    </row>
    <row r="1008" spans="1:14" x14ac:dyDescent="0.2">
      <c r="A1008" s="3">
        <f t="shared" si="16"/>
        <v>12116</v>
      </c>
      <c r="B1008" t="str">
        <f>"00121160009"</f>
        <v>00121160009</v>
      </c>
      <c r="C1008" t="s">
        <v>1333</v>
      </c>
      <c r="D1008" t="s">
        <v>320</v>
      </c>
      <c r="E1008">
        <v>20</v>
      </c>
      <c r="F1008">
        <v>2158</v>
      </c>
      <c r="G1008" t="s">
        <v>1334</v>
      </c>
      <c r="H1008">
        <v>12</v>
      </c>
      <c r="I1008" t="s">
        <v>25</v>
      </c>
      <c r="J1008">
        <v>9</v>
      </c>
      <c r="K1008" t="s">
        <v>25</v>
      </c>
      <c r="L1008">
        <v>8</v>
      </c>
      <c r="M1008">
        <v>88048</v>
      </c>
      <c r="N1008">
        <v>3</v>
      </c>
    </row>
    <row r="1009" spans="1:14" x14ac:dyDescent="0.2">
      <c r="A1009" s="3">
        <f t="shared" si="16"/>
        <v>12192</v>
      </c>
      <c r="B1009" t="str">
        <f>"00121920012"</f>
        <v>00121920012</v>
      </c>
      <c r="C1009" t="s">
        <v>1335</v>
      </c>
      <c r="D1009" t="s">
        <v>52</v>
      </c>
      <c r="E1009">
        <v>20</v>
      </c>
      <c r="F1009">
        <v>8086</v>
      </c>
      <c r="G1009" t="s">
        <v>290</v>
      </c>
      <c r="H1009">
        <v>8</v>
      </c>
      <c r="I1009" t="s">
        <v>25</v>
      </c>
      <c r="J1009">
        <v>6</v>
      </c>
      <c r="K1009" t="s">
        <v>25</v>
      </c>
      <c r="L1009">
        <v>6</v>
      </c>
      <c r="M1009">
        <v>99224</v>
      </c>
      <c r="N1009">
        <v>2</v>
      </c>
    </row>
    <row r="1010" spans="1:14" x14ac:dyDescent="0.2">
      <c r="A1010" s="3">
        <f t="shared" si="16"/>
        <v>12192</v>
      </c>
      <c r="B1010" t="str">
        <f>"00121920012"</f>
        <v>00121920012</v>
      </c>
      <c r="C1010" t="s">
        <v>1335</v>
      </c>
      <c r="D1010" t="s">
        <v>52</v>
      </c>
      <c r="E1010">
        <v>20</v>
      </c>
      <c r="F1010">
        <v>1441</v>
      </c>
      <c r="G1010" t="s">
        <v>1336</v>
      </c>
      <c r="H1010">
        <v>8</v>
      </c>
      <c r="I1010" t="s">
        <v>25</v>
      </c>
      <c r="J1010">
        <v>6</v>
      </c>
      <c r="K1010" t="s">
        <v>25</v>
      </c>
      <c r="L1010">
        <v>6</v>
      </c>
      <c r="M1010">
        <v>99224</v>
      </c>
      <c r="N1010">
        <v>2</v>
      </c>
    </row>
    <row r="1011" spans="1:14" x14ac:dyDescent="0.2">
      <c r="A1011" s="3">
        <f t="shared" si="16"/>
        <v>12869</v>
      </c>
      <c r="B1011" t="str">
        <f>"00128690018"</f>
        <v>00128690018</v>
      </c>
      <c r="C1011" t="s">
        <v>1337</v>
      </c>
      <c r="D1011" t="s">
        <v>42</v>
      </c>
      <c r="E1011">
        <v>44</v>
      </c>
      <c r="F1011">
        <v>6916</v>
      </c>
      <c r="G1011" t="s">
        <v>60</v>
      </c>
      <c r="H1011">
        <v>18</v>
      </c>
      <c r="I1011" t="s">
        <v>25</v>
      </c>
      <c r="J1011">
        <v>14</v>
      </c>
      <c r="K1011" t="s">
        <v>25</v>
      </c>
      <c r="L1011">
        <v>8</v>
      </c>
      <c r="M1011">
        <v>66041</v>
      </c>
      <c r="N1011">
        <v>4</v>
      </c>
    </row>
    <row r="1012" spans="1:14" x14ac:dyDescent="0.2">
      <c r="A1012" s="3">
        <f t="shared" si="16"/>
        <v>12893</v>
      </c>
      <c r="B1012" t="str">
        <f>"00128930016"</f>
        <v>00128930016</v>
      </c>
      <c r="C1012" t="s">
        <v>1338</v>
      </c>
      <c r="D1012" t="s">
        <v>1339</v>
      </c>
      <c r="E1012">
        <v>44</v>
      </c>
      <c r="F1012">
        <v>355</v>
      </c>
      <c r="G1012" t="s">
        <v>1340</v>
      </c>
      <c r="H1012">
        <v>10</v>
      </c>
      <c r="I1012" t="s">
        <v>25</v>
      </c>
      <c r="J1012">
        <v>7</v>
      </c>
      <c r="K1012" t="s">
        <v>25</v>
      </c>
      <c r="L1012">
        <v>6</v>
      </c>
      <c r="M1012">
        <v>43603</v>
      </c>
      <c r="N1012">
        <v>3</v>
      </c>
    </row>
    <row r="1013" spans="1:14" x14ac:dyDescent="0.2">
      <c r="A1013" s="3">
        <f t="shared" si="16"/>
        <v>12957</v>
      </c>
      <c r="B1013" t="str">
        <f>"00129570024"</f>
        <v>00129570024</v>
      </c>
      <c r="C1013" t="s">
        <v>1341</v>
      </c>
      <c r="D1013" t="s">
        <v>52</v>
      </c>
      <c r="E1013">
        <v>20</v>
      </c>
      <c r="F1013">
        <v>8086</v>
      </c>
      <c r="G1013" t="s">
        <v>290</v>
      </c>
      <c r="H1013">
        <v>18</v>
      </c>
      <c r="I1013" t="s">
        <v>25</v>
      </c>
      <c r="J1013">
        <v>14</v>
      </c>
      <c r="K1013" t="s">
        <v>25</v>
      </c>
      <c r="L1013">
        <v>6</v>
      </c>
      <c r="M1013">
        <v>99501</v>
      </c>
      <c r="N1013">
        <v>4</v>
      </c>
    </row>
    <row r="1014" spans="1:14" x14ac:dyDescent="0.2">
      <c r="A1014" s="3">
        <f t="shared" si="16"/>
        <v>12957</v>
      </c>
      <c r="B1014" t="str">
        <f>"00129570024"</f>
        <v>00129570024</v>
      </c>
      <c r="C1014" t="s">
        <v>1341</v>
      </c>
      <c r="D1014" t="s">
        <v>52</v>
      </c>
      <c r="E1014">
        <v>20</v>
      </c>
      <c r="F1014">
        <v>4264</v>
      </c>
      <c r="G1014" t="s">
        <v>1342</v>
      </c>
      <c r="H1014">
        <v>18</v>
      </c>
      <c r="I1014" t="s">
        <v>25</v>
      </c>
      <c r="J1014">
        <v>14</v>
      </c>
      <c r="K1014" t="s">
        <v>25</v>
      </c>
      <c r="L1014">
        <v>6</v>
      </c>
      <c r="M1014">
        <v>99501</v>
      </c>
      <c r="N1014">
        <v>4</v>
      </c>
    </row>
    <row r="1015" spans="1:14" x14ac:dyDescent="0.2">
      <c r="A1015" s="3">
        <f t="shared" si="16"/>
        <v>12968</v>
      </c>
      <c r="B1015" t="str">
        <f>"00129680021"</f>
        <v>00129680021</v>
      </c>
      <c r="C1015" t="s">
        <v>1343</v>
      </c>
      <c r="D1015" t="s">
        <v>1344</v>
      </c>
      <c r="E1015">
        <v>47</v>
      </c>
      <c r="F1015">
        <v>3629</v>
      </c>
      <c r="G1015" t="s">
        <v>1345</v>
      </c>
      <c r="H1015">
        <v>9</v>
      </c>
      <c r="I1015" t="s">
        <v>25</v>
      </c>
      <c r="J1015">
        <v>7</v>
      </c>
      <c r="K1015" t="s">
        <v>25</v>
      </c>
      <c r="L1015">
        <v>6</v>
      </c>
      <c r="M1015">
        <v>43635</v>
      </c>
      <c r="N1015">
        <v>2</v>
      </c>
    </row>
    <row r="1016" spans="1:14" x14ac:dyDescent="0.2">
      <c r="A1016" s="3">
        <f t="shared" si="16"/>
        <v>12969</v>
      </c>
      <c r="B1016" t="str">
        <f>"00129690027"</f>
        <v>00129690027</v>
      </c>
      <c r="C1016" t="s">
        <v>1346</v>
      </c>
      <c r="D1016" t="s">
        <v>622</v>
      </c>
      <c r="E1016">
        <v>70</v>
      </c>
      <c r="F1016">
        <v>919</v>
      </c>
      <c r="G1016" t="s">
        <v>623</v>
      </c>
      <c r="H1016">
        <v>6</v>
      </c>
      <c r="I1016" t="s">
        <v>25</v>
      </c>
      <c r="J1016">
        <v>4</v>
      </c>
      <c r="K1016" t="s">
        <v>25</v>
      </c>
      <c r="L1016">
        <v>8</v>
      </c>
      <c r="M1016">
        <v>72082</v>
      </c>
      <c r="N1016">
        <v>2</v>
      </c>
    </row>
    <row r="1017" spans="1:14" x14ac:dyDescent="0.2">
      <c r="A1017" s="3">
        <f t="shared" si="16"/>
        <v>12970</v>
      </c>
      <c r="B1017" t="str">
        <f>"00129700018"</f>
        <v>00129700018</v>
      </c>
      <c r="C1017" t="s">
        <v>1347</v>
      </c>
      <c r="D1017" t="s">
        <v>622</v>
      </c>
      <c r="E1017">
        <v>70</v>
      </c>
      <c r="F1017">
        <v>919</v>
      </c>
      <c r="G1017" t="s">
        <v>623</v>
      </c>
      <c r="H1017">
        <v>6</v>
      </c>
      <c r="I1017" t="s">
        <v>25</v>
      </c>
      <c r="J1017">
        <v>4</v>
      </c>
      <c r="K1017" t="s">
        <v>25</v>
      </c>
      <c r="L1017">
        <v>5</v>
      </c>
      <c r="M1017" t="s">
        <v>65</v>
      </c>
      <c r="N1017">
        <v>2</v>
      </c>
    </row>
    <row r="1018" spans="1:14" x14ac:dyDescent="0.2">
      <c r="A1018" s="3">
        <f t="shared" si="16"/>
        <v>12970</v>
      </c>
      <c r="B1018" t="str">
        <f>"00129700024"</f>
        <v>00129700024</v>
      </c>
      <c r="C1018" t="s">
        <v>1347</v>
      </c>
      <c r="D1018" t="s">
        <v>622</v>
      </c>
      <c r="E1018">
        <v>70</v>
      </c>
      <c r="F1018">
        <v>919</v>
      </c>
      <c r="G1018" t="s">
        <v>623</v>
      </c>
      <c r="H1018">
        <v>6</v>
      </c>
      <c r="I1018" t="s">
        <v>25</v>
      </c>
      <c r="J1018">
        <v>4</v>
      </c>
      <c r="K1018" t="s">
        <v>25</v>
      </c>
      <c r="L1018">
        <v>9</v>
      </c>
      <c r="M1018">
        <v>72094</v>
      </c>
      <c r="N1018">
        <v>2</v>
      </c>
    </row>
    <row r="1019" spans="1:14" x14ac:dyDescent="0.2">
      <c r="A1019" s="3">
        <f t="shared" si="16"/>
        <v>12971</v>
      </c>
      <c r="B1019" t="str">
        <f>"00129710027"</f>
        <v>00129710027</v>
      </c>
      <c r="C1019" t="s">
        <v>1348</v>
      </c>
      <c r="D1019" t="s">
        <v>622</v>
      </c>
      <c r="E1019">
        <v>70</v>
      </c>
      <c r="F1019">
        <v>919</v>
      </c>
      <c r="G1019" t="s">
        <v>623</v>
      </c>
      <c r="H1019">
        <v>6</v>
      </c>
      <c r="I1019" t="s">
        <v>25</v>
      </c>
      <c r="J1019">
        <v>4</v>
      </c>
      <c r="K1019" t="s">
        <v>25</v>
      </c>
      <c r="L1019">
        <v>8</v>
      </c>
      <c r="M1019">
        <v>72083</v>
      </c>
      <c r="N1019">
        <v>2</v>
      </c>
    </row>
    <row r="1020" spans="1:14" x14ac:dyDescent="0.2">
      <c r="A1020" s="3">
        <f t="shared" si="16"/>
        <v>13075</v>
      </c>
      <c r="B1020" t="str">
        <f>"00130750024"</f>
        <v>00130750024</v>
      </c>
      <c r="C1020" t="s">
        <v>1349</v>
      </c>
      <c r="D1020" t="s">
        <v>216</v>
      </c>
      <c r="E1020">
        <v>70</v>
      </c>
      <c r="F1020">
        <v>4355</v>
      </c>
      <c r="G1020" t="s">
        <v>553</v>
      </c>
      <c r="H1020">
        <v>6</v>
      </c>
      <c r="I1020" t="s">
        <v>25</v>
      </c>
      <c r="J1020">
        <v>4</v>
      </c>
      <c r="K1020" t="s">
        <v>25</v>
      </c>
      <c r="L1020">
        <v>8</v>
      </c>
      <c r="M1020">
        <v>74082</v>
      </c>
      <c r="N1020">
        <v>2</v>
      </c>
    </row>
    <row r="1021" spans="1:14" x14ac:dyDescent="0.2">
      <c r="A1021" s="3">
        <f t="shared" si="16"/>
        <v>13219</v>
      </c>
      <c r="B1021" t="str">
        <f>"00132190012"</f>
        <v>00132190012</v>
      </c>
      <c r="C1021" t="s">
        <v>1350</v>
      </c>
      <c r="D1021" t="s">
        <v>604</v>
      </c>
      <c r="E1021">
        <v>83</v>
      </c>
      <c r="F1021">
        <v>2724</v>
      </c>
      <c r="G1021" t="s">
        <v>1028</v>
      </c>
      <c r="H1021">
        <v>16</v>
      </c>
      <c r="I1021" t="s">
        <v>25</v>
      </c>
      <c r="J1021">
        <v>13</v>
      </c>
      <c r="K1021" t="s">
        <v>25</v>
      </c>
      <c r="L1021">
        <v>8</v>
      </c>
      <c r="M1021">
        <v>67269</v>
      </c>
      <c r="N1021">
        <v>3</v>
      </c>
    </row>
    <row r="1022" spans="1:14" x14ac:dyDescent="0.2">
      <c r="A1022" s="3">
        <f t="shared" si="16"/>
        <v>13257</v>
      </c>
      <c r="B1022" t="str">
        <f>"00132570024"</f>
        <v>00132570024</v>
      </c>
      <c r="C1022" t="s">
        <v>1351</v>
      </c>
      <c r="D1022" t="s">
        <v>604</v>
      </c>
      <c r="E1022">
        <v>70</v>
      </c>
      <c r="F1022">
        <v>655</v>
      </c>
      <c r="G1022" t="s">
        <v>1352</v>
      </c>
      <c r="H1022">
        <v>7</v>
      </c>
      <c r="I1022" t="s">
        <v>25</v>
      </c>
      <c r="J1022">
        <v>5</v>
      </c>
      <c r="K1022" t="s">
        <v>25</v>
      </c>
      <c r="L1022">
        <v>6</v>
      </c>
      <c r="M1022">
        <v>72089</v>
      </c>
      <c r="N1022">
        <v>2</v>
      </c>
    </row>
    <row r="1023" spans="1:14" x14ac:dyDescent="0.2">
      <c r="A1023" s="3">
        <f t="shared" si="16"/>
        <v>13261</v>
      </c>
      <c r="B1023" t="str">
        <f>"00132610012"</f>
        <v>00132610012</v>
      </c>
      <c r="C1023" t="s">
        <v>1353</v>
      </c>
      <c r="D1023" t="s">
        <v>1339</v>
      </c>
      <c r="E1023">
        <v>70</v>
      </c>
      <c r="F1023">
        <v>655</v>
      </c>
      <c r="G1023" t="s">
        <v>1352</v>
      </c>
      <c r="H1023">
        <v>9</v>
      </c>
      <c r="I1023" t="s">
        <v>25</v>
      </c>
      <c r="J1023">
        <v>7</v>
      </c>
      <c r="K1023" t="s">
        <v>25</v>
      </c>
      <c r="L1023">
        <v>6</v>
      </c>
      <c r="M1023">
        <v>2623</v>
      </c>
      <c r="N1023">
        <v>2</v>
      </c>
    </row>
    <row r="1024" spans="1:14" x14ac:dyDescent="0.2">
      <c r="A1024" s="3">
        <f t="shared" si="16"/>
        <v>13331</v>
      </c>
      <c r="B1024" t="str">
        <f>"00133310006"</f>
        <v>00133310006</v>
      </c>
      <c r="C1024" t="s">
        <v>1354</v>
      </c>
      <c r="D1024" t="s">
        <v>543</v>
      </c>
      <c r="E1024">
        <v>61</v>
      </c>
      <c r="F1024">
        <v>1667</v>
      </c>
      <c r="G1024" t="s">
        <v>978</v>
      </c>
      <c r="H1024" t="s">
        <v>44</v>
      </c>
      <c r="I1024" t="s">
        <v>45</v>
      </c>
      <c r="J1024" t="s">
        <v>44</v>
      </c>
      <c r="K1024" t="s">
        <v>45</v>
      </c>
      <c r="L1024">
        <v>8</v>
      </c>
      <c r="M1024">
        <v>62006</v>
      </c>
      <c r="N1024" t="s">
        <v>46</v>
      </c>
    </row>
    <row r="1025" spans="1:14" x14ac:dyDescent="0.2">
      <c r="A1025" s="3">
        <f t="shared" si="16"/>
        <v>18692</v>
      </c>
      <c r="B1025" t="str">
        <f>"00186920015"</f>
        <v>00186920015</v>
      </c>
      <c r="C1025" t="s">
        <v>1355</v>
      </c>
      <c r="D1025" t="s">
        <v>216</v>
      </c>
      <c r="E1025">
        <v>70</v>
      </c>
      <c r="F1025">
        <v>3690</v>
      </c>
      <c r="G1025" t="s">
        <v>549</v>
      </c>
      <c r="H1025">
        <v>6</v>
      </c>
      <c r="I1025" t="s">
        <v>25</v>
      </c>
      <c r="J1025">
        <v>4</v>
      </c>
      <c r="K1025" t="s">
        <v>25</v>
      </c>
      <c r="L1025">
        <v>8</v>
      </c>
      <c r="M1025">
        <v>74168</v>
      </c>
      <c r="N1025">
        <v>2</v>
      </c>
    </row>
    <row r="1026" spans="1:14" x14ac:dyDescent="0.2">
      <c r="A1026" s="3">
        <f t="shared" si="16"/>
        <v>18796</v>
      </c>
      <c r="B1026" t="str">
        <f>"00187960024"</f>
        <v>00187960024</v>
      </c>
      <c r="C1026" t="s">
        <v>1356</v>
      </c>
      <c r="D1026" t="s">
        <v>604</v>
      </c>
      <c r="E1026">
        <v>84</v>
      </c>
      <c r="F1026">
        <v>1653</v>
      </c>
      <c r="G1026" t="s">
        <v>1357</v>
      </c>
      <c r="H1026" t="s">
        <v>44</v>
      </c>
      <c r="I1026" t="s">
        <v>45</v>
      </c>
      <c r="J1026" t="s">
        <v>44</v>
      </c>
      <c r="K1026" t="s">
        <v>45</v>
      </c>
      <c r="L1026">
        <v>8</v>
      </c>
      <c r="M1026">
        <v>69043</v>
      </c>
      <c r="N1026" t="s">
        <v>46</v>
      </c>
    </row>
    <row r="1027" spans="1:14" x14ac:dyDescent="0.2">
      <c r="A1027" s="3">
        <f t="shared" si="16"/>
        <v>18838</v>
      </c>
      <c r="B1027" t="str">
        <f>"00188380012"</f>
        <v>00188380012</v>
      </c>
      <c r="C1027" t="s">
        <v>1358</v>
      </c>
      <c r="D1027" t="s">
        <v>686</v>
      </c>
      <c r="E1027">
        <v>47</v>
      </c>
      <c r="F1027">
        <v>1417</v>
      </c>
      <c r="G1027" t="s">
        <v>687</v>
      </c>
      <c r="H1027">
        <v>9</v>
      </c>
      <c r="I1027" t="s">
        <v>25</v>
      </c>
      <c r="J1027">
        <v>7</v>
      </c>
      <c r="K1027" t="s">
        <v>25</v>
      </c>
      <c r="L1027">
        <v>8</v>
      </c>
      <c r="M1027">
        <v>76076</v>
      </c>
      <c r="N1027">
        <v>2</v>
      </c>
    </row>
    <row r="1028" spans="1:14" x14ac:dyDescent="0.2">
      <c r="A1028" s="3">
        <f t="shared" ref="A1028:A1091" si="17">(B1028-RIGHT(B1028,4))/10000</f>
        <v>18844</v>
      </c>
      <c r="B1028" t="str">
        <f>"00188440009"</f>
        <v>00188440009</v>
      </c>
      <c r="C1028" t="s">
        <v>1359</v>
      </c>
      <c r="D1028" t="s">
        <v>622</v>
      </c>
      <c r="E1028">
        <v>83</v>
      </c>
      <c r="F1028">
        <v>1224</v>
      </c>
      <c r="G1028" t="s">
        <v>1014</v>
      </c>
      <c r="H1028" t="s">
        <v>44</v>
      </c>
      <c r="I1028" t="s">
        <v>45</v>
      </c>
      <c r="J1028" t="s">
        <v>44</v>
      </c>
      <c r="K1028" t="s">
        <v>45</v>
      </c>
      <c r="L1028">
        <v>8</v>
      </c>
      <c r="M1028">
        <v>67186</v>
      </c>
      <c r="N1028" t="s">
        <v>46</v>
      </c>
    </row>
    <row r="1029" spans="1:14" x14ac:dyDescent="0.2">
      <c r="A1029" s="3">
        <f t="shared" si="17"/>
        <v>19041</v>
      </c>
      <c r="B1029" t="str">
        <f>"00190410033"</f>
        <v>00190410033</v>
      </c>
      <c r="C1029" t="s">
        <v>1360</v>
      </c>
      <c r="D1029" t="s">
        <v>418</v>
      </c>
      <c r="E1029">
        <v>72</v>
      </c>
      <c r="F1029">
        <v>2413</v>
      </c>
      <c r="G1029" t="s">
        <v>1361</v>
      </c>
      <c r="H1029">
        <v>10</v>
      </c>
      <c r="I1029" t="s">
        <v>25</v>
      </c>
      <c r="J1029">
        <v>7</v>
      </c>
      <c r="K1029" t="s">
        <v>25</v>
      </c>
      <c r="L1029">
        <v>8</v>
      </c>
      <c r="M1029">
        <v>72190</v>
      </c>
      <c r="N1029">
        <v>3</v>
      </c>
    </row>
    <row r="1030" spans="1:14" x14ac:dyDescent="0.2">
      <c r="A1030" s="3">
        <f t="shared" si="17"/>
        <v>19057</v>
      </c>
      <c r="B1030" t="str">
        <f>"00190570021"</f>
        <v>00190570021</v>
      </c>
      <c r="C1030" t="s">
        <v>1362</v>
      </c>
      <c r="D1030" t="s">
        <v>70</v>
      </c>
      <c r="E1030">
        <v>32</v>
      </c>
      <c r="F1030">
        <v>782</v>
      </c>
      <c r="G1030" t="s">
        <v>1363</v>
      </c>
      <c r="H1030">
        <v>21</v>
      </c>
      <c r="I1030" t="s">
        <v>34</v>
      </c>
      <c r="J1030">
        <v>15</v>
      </c>
      <c r="K1030" t="s">
        <v>34</v>
      </c>
      <c r="L1030">
        <v>8</v>
      </c>
      <c r="M1030">
        <v>81250</v>
      </c>
      <c r="N1030">
        <v>6</v>
      </c>
    </row>
    <row r="1031" spans="1:14" x14ac:dyDescent="0.2">
      <c r="A1031" s="3">
        <f t="shared" si="17"/>
        <v>19071</v>
      </c>
      <c r="B1031" t="str">
        <f>"00190710001"</f>
        <v>00190710001</v>
      </c>
      <c r="C1031" t="s">
        <v>1364</v>
      </c>
      <c r="D1031" t="s">
        <v>115</v>
      </c>
      <c r="E1031">
        <v>81</v>
      </c>
      <c r="F1031">
        <v>392</v>
      </c>
      <c r="G1031" t="s">
        <v>1365</v>
      </c>
      <c r="H1031">
        <v>18</v>
      </c>
      <c r="I1031" t="s">
        <v>25</v>
      </c>
      <c r="J1031">
        <v>14</v>
      </c>
      <c r="K1031" t="s">
        <v>25</v>
      </c>
      <c r="L1031">
        <v>8</v>
      </c>
      <c r="M1031">
        <v>95713</v>
      </c>
      <c r="N1031">
        <v>4</v>
      </c>
    </row>
    <row r="1032" spans="1:14" x14ac:dyDescent="0.2">
      <c r="A1032" s="3">
        <f t="shared" si="17"/>
        <v>19272</v>
      </c>
      <c r="B1032" t="str">
        <f>"00192720027"</f>
        <v>00192720027</v>
      </c>
      <c r="C1032" t="s">
        <v>1366</v>
      </c>
      <c r="D1032" t="s">
        <v>42</v>
      </c>
      <c r="E1032">
        <v>47</v>
      </c>
      <c r="F1032">
        <v>2208</v>
      </c>
      <c r="G1032" t="s">
        <v>1367</v>
      </c>
      <c r="H1032">
        <v>14</v>
      </c>
      <c r="I1032" t="s">
        <v>25</v>
      </c>
      <c r="J1032">
        <v>11</v>
      </c>
      <c r="K1032" t="s">
        <v>25</v>
      </c>
      <c r="L1032">
        <v>8</v>
      </c>
      <c r="M1032">
        <v>67093</v>
      </c>
      <c r="N1032">
        <v>3</v>
      </c>
    </row>
    <row r="1033" spans="1:14" x14ac:dyDescent="0.2">
      <c r="A1033" s="3">
        <f t="shared" si="17"/>
        <v>19306</v>
      </c>
      <c r="B1033" t="str">
        <f>"00193060012"</f>
        <v>00193060012</v>
      </c>
      <c r="C1033" t="s">
        <v>1368</v>
      </c>
      <c r="D1033" t="s">
        <v>216</v>
      </c>
      <c r="E1033">
        <v>71</v>
      </c>
      <c r="F1033">
        <v>3706</v>
      </c>
      <c r="G1033" t="s">
        <v>1369</v>
      </c>
      <c r="H1033">
        <v>9</v>
      </c>
      <c r="I1033" t="s">
        <v>25</v>
      </c>
      <c r="J1033">
        <v>7</v>
      </c>
      <c r="K1033" t="s">
        <v>25</v>
      </c>
      <c r="L1033">
        <v>8</v>
      </c>
      <c r="M1033">
        <v>75274</v>
      </c>
      <c r="N1033">
        <v>2</v>
      </c>
    </row>
    <row r="1034" spans="1:14" x14ac:dyDescent="0.2">
      <c r="A1034" s="3">
        <f t="shared" si="17"/>
        <v>19306</v>
      </c>
      <c r="B1034" t="str">
        <f>"00193060144"</f>
        <v>00193060144</v>
      </c>
      <c r="C1034" t="s">
        <v>1368</v>
      </c>
      <c r="D1034" t="s">
        <v>52</v>
      </c>
      <c r="E1034">
        <v>71</v>
      </c>
      <c r="F1034">
        <v>3706</v>
      </c>
      <c r="G1034" t="s">
        <v>1369</v>
      </c>
      <c r="H1034">
        <v>9</v>
      </c>
      <c r="I1034" t="s">
        <v>25</v>
      </c>
      <c r="J1034">
        <v>7</v>
      </c>
      <c r="K1034" t="s">
        <v>25</v>
      </c>
      <c r="L1034">
        <v>5</v>
      </c>
      <c r="M1034">
        <v>46690</v>
      </c>
      <c r="N1034">
        <v>2</v>
      </c>
    </row>
    <row r="1035" spans="1:14" x14ac:dyDescent="0.2">
      <c r="A1035" s="3">
        <f t="shared" si="17"/>
        <v>19570</v>
      </c>
      <c r="B1035" t="str">
        <f>"00195700024"</f>
        <v>00195700024</v>
      </c>
      <c r="C1035" t="s">
        <v>1370</v>
      </c>
      <c r="D1035" t="s">
        <v>36</v>
      </c>
      <c r="E1035">
        <v>84</v>
      </c>
      <c r="F1035">
        <v>849</v>
      </c>
      <c r="G1035" t="s">
        <v>1111</v>
      </c>
      <c r="H1035" t="s">
        <v>44</v>
      </c>
      <c r="I1035" t="s">
        <v>45</v>
      </c>
      <c r="J1035" t="s">
        <v>44</v>
      </c>
      <c r="K1035" t="s">
        <v>45</v>
      </c>
      <c r="L1035">
        <v>8</v>
      </c>
      <c r="M1035">
        <v>95742</v>
      </c>
      <c r="N1035" t="s">
        <v>46</v>
      </c>
    </row>
    <row r="1036" spans="1:14" x14ac:dyDescent="0.2">
      <c r="A1036" s="3">
        <f t="shared" si="17"/>
        <v>19661</v>
      </c>
      <c r="B1036" t="str">
        <f>"00196610020"</f>
        <v>00196610020</v>
      </c>
      <c r="C1036" t="s">
        <v>1371</v>
      </c>
      <c r="D1036" t="s">
        <v>604</v>
      </c>
      <c r="E1036">
        <v>47</v>
      </c>
      <c r="F1036">
        <v>2453</v>
      </c>
      <c r="G1036" t="s">
        <v>1372</v>
      </c>
      <c r="H1036">
        <v>12</v>
      </c>
      <c r="I1036" t="s">
        <v>25</v>
      </c>
      <c r="J1036">
        <v>9</v>
      </c>
      <c r="K1036" t="s">
        <v>25</v>
      </c>
      <c r="L1036">
        <v>8</v>
      </c>
      <c r="M1036">
        <v>76096</v>
      </c>
      <c r="N1036">
        <v>3</v>
      </c>
    </row>
    <row r="1037" spans="1:14" x14ac:dyDescent="0.2">
      <c r="A1037" s="3">
        <f t="shared" si="17"/>
        <v>19797</v>
      </c>
      <c r="B1037" t="str">
        <f>"00197970012"</f>
        <v>00197970012</v>
      </c>
      <c r="C1037" t="s">
        <v>1373</v>
      </c>
      <c r="D1037" t="s">
        <v>48</v>
      </c>
      <c r="E1037">
        <v>32</v>
      </c>
      <c r="F1037">
        <v>1015</v>
      </c>
      <c r="G1037" t="s">
        <v>103</v>
      </c>
      <c r="H1037">
        <v>32</v>
      </c>
      <c r="I1037" t="s">
        <v>34</v>
      </c>
      <c r="J1037">
        <v>25</v>
      </c>
      <c r="K1037" t="s">
        <v>34</v>
      </c>
      <c r="L1037">
        <v>8</v>
      </c>
      <c r="M1037">
        <v>82072</v>
      </c>
      <c r="N1037">
        <v>7</v>
      </c>
    </row>
    <row r="1038" spans="1:14" x14ac:dyDescent="0.2">
      <c r="A1038" s="3">
        <f t="shared" si="17"/>
        <v>19937</v>
      </c>
      <c r="B1038" t="str">
        <f>"00199370012"</f>
        <v>00199370012</v>
      </c>
      <c r="C1038" t="s">
        <v>1374</v>
      </c>
      <c r="D1038" t="s">
        <v>421</v>
      </c>
      <c r="E1038">
        <v>52</v>
      </c>
      <c r="F1038">
        <v>530</v>
      </c>
      <c r="G1038" t="s">
        <v>1375</v>
      </c>
      <c r="H1038">
        <v>12</v>
      </c>
      <c r="I1038" t="s">
        <v>25</v>
      </c>
      <c r="J1038">
        <v>9</v>
      </c>
      <c r="K1038" t="s">
        <v>25</v>
      </c>
      <c r="L1038">
        <v>8</v>
      </c>
      <c r="M1038">
        <v>72146</v>
      </c>
      <c r="N1038">
        <v>3</v>
      </c>
    </row>
    <row r="1039" spans="1:14" x14ac:dyDescent="0.2">
      <c r="A1039" s="3">
        <f t="shared" si="17"/>
        <v>19937</v>
      </c>
      <c r="B1039" t="str">
        <f>"00199370012"</f>
        <v>00199370012</v>
      </c>
      <c r="C1039" t="s">
        <v>1374</v>
      </c>
      <c r="D1039" t="s">
        <v>421</v>
      </c>
      <c r="E1039">
        <v>52</v>
      </c>
      <c r="F1039">
        <v>1504</v>
      </c>
      <c r="G1039" t="s">
        <v>510</v>
      </c>
      <c r="H1039">
        <v>24</v>
      </c>
      <c r="I1039" t="s">
        <v>25</v>
      </c>
      <c r="J1039">
        <v>20</v>
      </c>
      <c r="K1039" t="s">
        <v>25</v>
      </c>
      <c r="L1039">
        <v>8</v>
      </c>
      <c r="M1039">
        <v>72146</v>
      </c>
      <c r="N1039">
        <v>3</v>
      </c>
    </row>
    <row r="1040" spans="1:14" x14ac:dyDescent="0.2">
      <c r="A1040" s="3">
        <f t="shared" si="17"/>
        <v>21224</v>
      </c>
      <c r="B1040" t="str">
        <f>"00212240006"</f>
        <v>00212240006</v>
      </c>
      <c r="C1040" t="s">
        <v>1376</v>
      </c>
      <c r="D1040" t="s">
        <v>52</v>
      </c>
      <c r="E1040">
        <v>71</v>
      </c>
      <c r="F1040">
        <v>8052</v>
      </c>
      <c r="G1040" t="s">
        <v>642</v>
      </c>
      <c r="H1040">
        <v>15</v>
      </c>
      <c r="I1040" t="s">
        <v>25</v>
      </c>
      <c r="J1040">
        <v>11</v>
      </c>
      <c r="K1040" t="s">
        <v>25</v>
      </c>
      <c r="L1040">
        <v>6</v>
      </c>
      <c r="M1040">
        <v>2624</v>
      </c>
      <c r="N1040">
        <v>4</v>
      </c>
    </row>
    <row r="1041" spans="1:14" x14ac:dyDescent="0.2">
      <c r="A1041" s="3">
        <f t="shared" si="17"/>
        <v>21291</v>
      </c>
      <c r="B1041" t="str">
        <f>"00212910016"</f>
        <v>00212910016</v>
      </c>
      <c r="C1041" t="s">
        <v>1377</v>
      </c>
      <c r="D1041" t="s">
        <v>70</v>
      </c>
      <c r="E1041">
        <v>31</v>
      </c>
      <c r="F1041">
        <v>2590</v>
      </c>
      <c r="G1041" t="s">
        <v>1378</v>
      </c>
      <c r="H1041">
        <v>23</v>
      </c>
      <c r="I1041" t="s">
        <v>34</v>
      </c>
      <c r="J1041">
        <v>17</v>
      </c>
      <c r="K1041" t="s">
        <v>34</v>
      </c>
      <c r="L1041">
        <v>8</v>
      </c>
      <c r="M1041">
        <v>81019</v>
      </c>
      <c r="N1041">
        <v>6</v>
      </c>
    </row>
    <row r="1042" spans="1:14" x14ac:dyDescent="0.2">
      <c r="A1042" s="3">
        <f t="shared" si="17"/>
        <v>21457</v>
      </c>
      <c r="B1042" t="str">
        <f>"00214570012"</f>
        <v>00214570012</v>
      </c>
      <c r="C1042" t="s">
        <v>1379</v>
      </c>
      <c r="D1042" t="s">
        <v>320</v>
      </c>
      <c r="E1042">
        <v>20</v>
      </c>
      <c r="F1042">
        <v>8086</v>
      </c>
      <c r="G1042" t="s">
        <v>290</v>
      </c>
      <c r="H1042">
        <v>10</v>
      </c>
      <c r="I1042" t="s">
        <v>25</v>
      </c>
      <c r="J1042">
        <v>7</v>
      </c>
      <c r="K1042" t="s">
        <v>25</v>
      </c>
      <c r="L1042">
        <v>8</v>
      </c>
      <c r="M1042">
        <v>89046</v>
      </c>
      <c r="N1042">
        <v>3</v>
      </c>
    </row>
    <row r="1043" spans="1:14" x14ac:dyDescent="0.2">
      <c r="A1043" s="3">
        <f t="shared" si="17"/>
        <v>21457</v>
      </c>
      <c r="B1043" t="str">
        <f>"00214570012"</f>
        <v>00214570012</v>
      </c>
      <c r="C1043" t="s">
        <v>1379</v>
      </c>
      <c r="D1043" t="s">
        <v>320</v>
      </c>
      <c r="E1043">
        <v>20</v>
      </c>
      <c r="F1043">
        <v>1205</v>
      </c>
      <c r="G1043" t="s">
        <v>325</v>
      </c>
      <c r="H1043">
        <v>10</v>
      </c>
      <c r="I1043" t="s">
        <v>25</v>
      </c>
      <c r="J1043">
        <v>7</v>
      </c>
      <c r="K1043" t="s">
        <v>25</v>
      </c>
      <c r="L1043">
        <v>8</v>
      </c>
      <c r="M1043">
        <v>89046</v>
      </c>
      <c r="N1043">
        <v>3</v>
      </c>
    </row>
    <row r="1044" spans="1:14" x14ac:dyDescent="0.2">
      <c r="A1044" s="3">
        <f t="shared" si="17"/>
        <v>21818</v>
      </c>
      <c r="B1044" t="str">
        <f>"00218180042"</f>
        <v>00218180042</v>
      </c>
      <c r="C1044" t="s">
        <v>1380</v>
      </c>
      <c r="D1044" t="s">
        <v>604</v>
      </c>
      <c r="E1044">
        <v>47</v>
      </c>
      <c r="F1044">
        <v>1797</v>
      </c>
      <c r="G1044" t="s">
        <v>710</v>
      </c>
      <c r="H1044">
        <v>12</v>
      </c>
      <c r="I1044" t="s">
        <v>25</v>
      </c>
      <c r="J1044">
        <v>9</v>
      </c>
      <c r="K1044" t="s">
        <v>25</v>
      </c>
      <c r="L1044">
        <v>8</v>
      </c>
      <c r="M1044">
        <v>66089</v>
      </c>
      <c r="N1044">
        <v>3</v>
      </c>
    </row>
    <row r="1045" spans="1:14" x14ac:dyDescent="0.2">
      <c r="A1045" s="3">
        <f t="shared" si="17"/>
        <v>21914</v>
      </c>
      <c r="B1045" t="str">
        <f>"00219140016"</f>
        <v>00219140016</v>
      </c>
      <c r="C1045" t="s">
        <v>1381</v>
      </c>
      <c r="D1045" t="s">
        <v>418</v>
      </c>
      <c r="E1045">
        <v>72</v>
      </c>
      <c r="F1045">
        <v>8118</v>
      </c>
      <c r="G1045" t="s">
        <v>1382</v>
      </c>
      <c r="H1045">
        <v>90</v>
      </c>
      <c r="I1045" t="s">
        <v>34</v>
      </c>
      <c r="J1045">
        <v>69</v>
      </c>
      <c r="K1045" t="s">
        <v>34</v>
      </c>
      <c r="L1045">
        <v>8</v>
      </c>
      <c r="M1045">
        <v>72124</v>
      </c>
      <c r="N1045">
        <v>21</v>
      </c>
    </row>
    <row r="1046" spans="1:14" x14ac:dyDescent="0.2">
      <c r="A1046" s="3">
        <f t="shared" si="17"/>
        <v>21969</v>
      </c>
      <c r="B1046" t="str">
        <f>"00219690010"</f>
        <v>00219690010</v>
      </c>
      <c r="C1046" t="s">
        <v>1383</v>
      </c>
      <c r="D1046" t="s">
        <v>418</v>
      </c>
      <c r="E1046">
        <v>70</v>
      </c>
      <c r="F1046">
        <v>2784</v>
      </c>
      <c r="G1046" t="s">
        <v>1384</v>
      </c>
      <c r="H1046">
        <v>12</v>
      </c>
      <c r="I1046" t="s">
        <v>25</v>
      </c>
      <c r="J1046">
        <v>9</v>
      </c>
      <c r="K1046" t="s">
        <v>25</v>
      </c>
      <c r="L1046">
        <v>8</v>
      </c>
      <c r="M1046">
        <v>72122</v>
      </c>
      <c r="N1046">
        <v>3</v>
      </c>
    </row>
    <row r="1047" spans="1:14" x14ac:dyDescent="0.2">
      <c r="A1047" s="3">
        <f t="shared" si="17"/>
        <v>22109</v>
      </c>
      <c r="B1047" t="str">
        <f>"00221090024"</f>
        <v>00221090024</v>
      </c>
      <c r="C1047" t="s">
        <v>1385</v>
      </c>
      <c r="D1047" t="s">
        <v>23</v>
      </c>
      <c r="E1047">
        <v>47</v>
      </c>
      <c r="F1047">
        <v>4616</v>
      </c>
      <c r="G1047" t="s">
        <v>449</v>
      </c>
      <c r="H1047">
        <v>20</v>
      </c>
      <c r="I1047" t="s">
        <v>25</v>
      </c>
      <c r="J1047">
        <v>16</v>
      </c>
      <c r="K1047" t="s">
        <v>25</v>
      </c>
      <c r="L1047">
        <v>8</v>
      </c>
      <c r="M1047">
        <v>72107</v>
      </c>
      <c r="N1047">
        <v>4</v>
      </c>
    </row>
    <row r="1048" spans="1:14" x14ac:dyDescent="0.2">
      <c r="A1048" s="3">
        <f t="shared" si="17"/>
        <v>22252</v>
      </c>
      <c r="B1048" t="str">
        <f>"00222520027"</f>
        <v>00222520027</v>
      </c>
      <c r="C1048" t="s">
        <v>1386</v>
      </c>
      <c r="D1048" t="s">
        <v>622</v>
      </c>
      <c r="E1048">
        <v>70</v>
      </c>
      <c r="F1048">
        <v>919</v>
      </c>
      <c r="G1048" t="s">
        <v>623</v>
      </c>
      <c r="H1048">
        <v>6</v>
      </c>
      <c r="I1048" t="s">
        <v>25</v>
      </c>
      <c r="J1048">
        <v>4</v>
      </c>
      <c r="K1048" t="s">
        <v>25</v>
      </c>
      <c r="L1048">
        <v>8</v>
      </c>
      <c r="M1048">
        <v>72100</v>
      </c>
      <c r="N1048">
        <v>2</v>
      </c>
    </row>
    <row r="1049" spans="1:14" x14ac:dyDescent="0.2">
      <c r="A1049" s="3">
        <f t="shared" si="17"/>
        <v>22571</v>
      </c>
      <c r="B1049" t="str">
        <f>"00225710020"</f>
        <v>00225710020</v>
      </c>
      <c r="C1049" t="s">
        <v>1387</v>
      </c>
      <c r="D1049" t="s">
        <v>52</v>
      </c>
      <c r="E1049">
        <v>47</v>
      </c>
      <c r="F1049">
        <v>591</v>
      </c>
      <c r="G1049" t="s">
        <v>460</v>
      </c>
      <c r="H1049">
        <v>9</v>
      </c>
      <c r="I1049" t="s">
        <v>25</v>
      </c>
      <c r="J1049">
        <v>7</v>
      </c>
      <c r="K1049" t="s">
        <v>25</v>
      </c>
      <c r="L1049">
        <v>9</v>
      </c>
      <c r="M1049">
        <v>75196</v>
      </c>
      <c r="N1049">
        <v>2</v>
      </c>
    </row>
    <row r="1050" spans="1:14" x14ac:dyDescent="0.2">
      <c r="A1050" s="3">
        <f t="shared" si="17"/>
        <v>22581</v>
      </c>
      <c r="B1050" t="str">
        <f>"00225810012"</f>
        <v>00225810012</v>
      </c>
      <c r="C1050" t="s">
        <v>1388</v>
      </c>
      <c r="D1050" t="s">
        <v>418</v>
      </c>
      <c r="E1050">
        <v>45</v>
      </c>
      <c r="F1050">
        <v>6011</v>
      </c>
      <c r="G1050" t="s">
        <v>1389</v>
      </c>
      <c r="H1050">
        <v>12</v>
      </c>
      <c r="I1050" t="s">
        <v>25</v>
      </c>
      <c r="J1050">
        <v>9</v>
      </c>
      <c r="K1050" t="s">
        <v>25</v>
      </c>
      <c r="L1050">
        <v>8</v>
      </c>
      <c r="M1050">
        <v>72104</v>
      </c>
      <c r="N1050">
        <v>3</v>
      </c>
    </row>
    <row r="1051" spans="1:14" x14ac:dyDescent="0.2">
      <c r="A1051" s="3">
        <f t="shared" si="17"/>
        <v>22621</v>
      </c>
      <c r="B1051" t="str">
        <f>"00226210006"</f>
        <v>00226210006</v>
      </c>
      <c r="C1051" t="s">
        <v>1390</v>
      </c>
      <c r="D1051" t="s">
        <v>418</v>
      </c>
      <c r="E1051">
        <v>72</v>
      </c>
      <c r="F1051">
        <v>6914</v>
      </c>
      <c r="G1051" t="s">
        <v>1391</v>
      </c>
      <c r="H1051">
        <v>60</v>
      </c>
      <c r="I1051" t="s">
        <v>34</v>
      </c>
      <c r="J1051">
        <v>44</v>
      </c>
      <c r="K1051" t="s">
        <v>34</v>
      </c>
      <c r="L1051">
        <v>8</v>
      </c>
      <c r="M1051">
        <v>72126</v>
      </c>
      <c r="N1051">
        <v>16</v>
      </c>
    </row>
    <row r="1052" spans="1:14" x14ac:dyDescent="0.2">
      <c r="A1052" s="3">
        <f t="shared" si="17"/>
        <v>22651</v>
      </c>
      <c r="B1052" t="str">
        <f>"00226510028"</f>
        <v>00226510028</v>
      </c>
      <c r="C1052" t="s">
        <v>1392</v>
      </c>
      <c r="D1052" t="s">
        <v>216</v>
      </c>
      <c r="E1052">
        <v>71</v>
      </c>
      <c r="F1052">
        <v>4812</v>
      </c>
      <c r="G1052" t="s">
        <v>1393</v>
      </c>
      <c r="H1052">
        <v>10</v>
      </c>
      <c r="I1052" t="s">
        <v>25</v>
      </c>
      <c r="J1052">
        <v>7</v>
      </c>
      <c r="K1052" t="s">
        <v>25</v>
      </c>
      <c r="L1052">
        <v>8</v>
      </c>
      <c r="M1052">
        <v>74175</v>
      </c>
      <c r="N1052">
        <v>3</v>
      </c>
    </row>
    <row r="1053" spans="1:14" x14ac:dyDescent="0.2">
      <c r="A1053" s="3">
        <f t="shared" si="17"/>
        <v>22859</v>
      </c>
      <c r="B1053" t="str">
        <f>"00228590012"</f>
        <v>00228590012</v>
      </c>
      <c r="C1053" t="s">
        <v>1394</v>
      </c>
      <c r="D1053" t="s">
        <v>216</v>
      </c>
      <c r="E1053">
        <v>48</v>
      </c>
      <c r="F1053">
        <v>1846</v>
      </c>
      <c r="G1053" t="s">
        <v>1395</v>
      </c>
      <c r="H1053">
        <v>12</v>
      </c>
      <c r="I1053" t="s">
        <v>25</v>
      </c>
      <c r="J1053">
        <v>9</v>
      </c>
      <c r="K1053" t="s">
        <v>25</v>
      </c>
      <c r="L1053">
        <v>8</v>
      </c>
      <c r="M1053">
        <v>74012</v>
      </c>
      <c r="N1053">
        <v>3</v>
      </c>
    </row>
    <row r="1054" spans="1:14" x14ac:dyDescent="0.2">
      <c r="A1054" s="3">
        <f t="shared" si="17"/>
        <v>24616</v>
      </c>
      <c r="B1054" t="str">
        <f>"00246160028"</f>
        <v>00246160028</v>
      </c>
      <c r="C1054" t="s">
        <v>1396</v>
      </c>
      <c r="D1054" t="s">
        <v>216</v>
      </c>
      <c r="E1054">
        <v>70</v>
      </c>
      <c r="F1054">
        <v>4341</v>
      </c>
      <c r="G1054" t="s">
        <v>1397</v>
      </c>
      <c r="H1054">
        <v>8</v>
      </c>
      <c r="I1054" t="s">
        <v>25</v>
      </c>
      <c r="J1054">
        <v>6</v>
      </c>
      <c r="K1054" t="s">
        <v>25</v>
      </c>
      <c r="L1054">
        <v>8</v>
      </c>
      <c r="M1054">
        <v>74019</v>
      </c>
      <c r="N1054">
        <v>2</v>
      </c>
    </row>
    <row r="1055" spans="1:14" x14ac:dyDescent="0.2">
      <c r="A1055" s="3">
        <f t="shared" si="17"/>
        <v>25231</v>
      </c>
      <c r="B1055" t="str">
        <f>"00252310014"</f>
        <v>00252310014</v>
      </c>
      <c r="C1055" t="s">
        <v>1398</v>
      </c>
      <c r="D1055" t="s">
        <v>216</v>
      </c>
      <c r="E1055">
        <v>47</v>
      </c>
      <c r="F1055">
        <v>6913</v>
      </c>
      <c r="G1055" t="s">
        <v>1399</v>
      </c>
      <c r="H1055">
        <v>12</v>
      </c>
      <c r="I1055" t="s">
        <v>25</v>
      </c>
      <c r="J1055">
        <v>9</v>
      </c>
      <c r="K1055" t="s">
        <v>25</v>
      </c>
      <c r="L1055">
        <v>8</v>
      </c>
      <c r="M1055">
        <v>76070</v>
      </c>
      <c r="N1055">
        <v>3</v>
      </c>
    </row>
    <row r="1056" spans="1:14" x14ac:dyDescent="0.2">
      <c r="A1056" s="3">
        <f t="shared" si="17"/>
        <v>25383</v>
      </c>
      <c r="B1056" t="str">
        <f>"00253830020"</f>
        <v>00253830020</v>
      </c>
      <c r="C1056" t="s">
        <v>1400</v>
      </c>
      <c r="D1056" t="s">
        <v>52</v>
      </c>
      <c r="E1056">
        <v>32</v>
      </c>
      <c r="F1056">
        <v>2600</v>
      </c>
      <c r="G1056" t="s">
        <v>1401</v>
      </c>
      <c r="H1056">
        <v>18</v>
      </c>
      <c r="I1056" t="s">
        <v>34</v>
      </c>
      <c r="J1056">
        <v>13</v>
      </c>
      <c r="K1056" t="s">
        <v>34</v>
      </c>
      <c r="L1056">
        <v>6</v>
      </c>
      <c r="M1056">
        <v>3540</v>
      </c>
      <c r="N1056">
        <v>5</v>
      </c>
    </row>
    <row r="1057" spans="1:14" x14ac:dyDescent="0.2">
      <c r="A1057" s="3">
        <f t="shared" si="17"/>
        <v>25490</v>
      </c>
      <c r="B1057" t="str">
        <f>"00254900012"</f>
        <v>00254900012</v>
      </c>
      <c r="C1057" t="s">
        <v>1402</v>
      </c>
      <c r="D1057" t="s">
        <v>70</v>
      </c>
      <c r="E1057">
        <v>32</v>
      </c>
      <c r="F1057">
        <v>399</v>
      </c>
      <c r="G1057" t="s">
        <v>1403</v>
      </c>
      <c r="H1057">
        <v>26</v>
      </c>
      <c r="I1057" t="s">
        <v>34</v>
      </c>
      <c r="J1057">
        <v>19</v>
      </c>
      <c r="K1057" t="s">
        <v>34</v>
      </c>
      <c r="L1057">
        <v>8</v>
      </c>
      <c r="M1057">
        <v>82054</v>
      </c>
      <c r="N1057">
        <v>7</v>
      </c>
    </row>
    <row r="1058" spans="1:14" x14ac:dyDescent="0.2">
      <c r="A1058" s="3">
        <f t="shared" si="17"/>
        <v>25808</v>
      </c>
      <c r="B1058" t="str">
        <f>"00258080030"</f>
        <v>00258080030</v>
      </c>
      <c r="C1058" t="s">
        <v>1404</v>
      </c>
      <c r="D1058" t="s">
        <v>70</v>
      </c>
      <c r="E1058">
        <v>32</v>
      </c>
      <c r="F1058">
        <v>3634</v>
      </c>
      <c r="G1058" t="s">
        <v>1405</v>
      </c>
      <c r="H1058">
        <v>60</v>
      </c>
      <c r="I1058" t="s">
        <v>34</v>
      </c>
      <c r="J1058">
        <v>44</v>
      </c>
      <c r="K1058" t="s">
        <v>34</v>
      </c>
      <c r="L1058">
        <v>8</v>
      </c>
      <c r="M1058">
        <v>81197</v>
      </c>
      <c r="N1058">
        <v>16</v>
      </c>
    </row>
    <row r="1059" spans="1:14" x14ac:dyDescent="0.2">
      <c r="A1059" s="3">
        <f t="shared" si="17"/>
        <v>26527</v>
      </c>
      <c r="B1059" t="str">
        <f>"00265270030"</f>
        <v>00265270030</v>
      </c>
      <c r="C1059" t="s">
        <v>1406</v>
      </c>
      <c r="D1059" t="s">
        <v>70</v>
      </c>
      <c r="E1059">
        <v>32</v>
      </c>
      <c r="F1059">
        <v>3497</v>
      </c>
      <c r="G1059" t="s">
        <v>1407</v>
      </c>
      <c r="H1059">
        <v>60</v>
      </c>
      <c r="I1059" t="s">
        <v>34</v>
      </c>
      <c r="J1059">
        <v>44</v>
      </c>
      <c r="K1059" t="s">
        <v>34</v>
      </c>
      <c r="L1059">
        <v>8</v>
      </c>
      <c r="M1059">
        <v>81204</v>
      </c>
      <c r="N1059">
        <v>16</v>
      </c>
    </row>
    <row r="1060" spans="1:14" x14ac:dyDescent="0.2">
      <c r="A1060" s="3">
        <f t="shared" si="17"/>
        <v>26704</v>
      </c>
      <c r="B1060" t="str">
        <f>"00267040018"</f>
        <v>00267040018</v>
      </c>
      <c r="C1060" t="s">
        <v>1408</v>
      </c>
      <c r="D1060" t="s">
        <v>622</v>
      </c>
      <c r="E1060">
        <v>70</v>
      </c>
      <c r="F1060">
        <v>919</v>
      </c>
      <c r="G1060" t="s">
        <v>623</v>
      </c>
      <c r="H1060">
        <v>6</v>
      </c>
      <c r="I1060" t="s">
        <v>25</v>
      </c>
      <c r="J1060">
        <v>4</v>
      </c>
      <c r="K1060" t="s">
        <v>25</v>
      </c>
      <c r="L1060">
        <v>8</v>
      </c>
      <c r="M1060">
        <v>72087</v>
      </c>
      <c r="N1060">
        <v>2</v>
      </c>
    </row>
    <row r="1061" spans="1:14" x14ac:dyDescent="0.2">
      <c r="A1061" s="3">
        <f t="shared" si="17"/>
        <v>26793</v>
      </c>
      <c r="B1061" t="str">
        <f>"00267930010"</f>
        <v>00267930010</v>
      </c>
      <c r="C1061" t="s">
        <v>1409</v>
      </c>
      <c r="D1061" t="s">
        <v>115</v>
      </c>
      <c r="E1061">
        <v>70</v>
      </c>
      <c r="F1061">
        <v>1890</v>
      </c>
      <c r="G1061" t="s">
        <v>1410</v>
      </c>
      <c r="H1061">
        <v>90</v>
      </c>
      <c r="I1061" t="s">
        <v>34</v>
      </c>
      <c r="J1061">
        <v>69</v>
      </c>
      <c r="K1061" t="s">
        <v>34</v>
      </c>
      <c r="L1061">
        <v>6</v>
      </c>
      <c r="M1061" t="s">
        <v>65</v>
      </c>
      <c r="N1061">
        <v>21</v>
      </c>
    </row>
    <row r="1062" spans="1:14" x14ac:dyDescent="0.2">
      <c r="A1062" s="3">
        <f t="shared" si="17"/>
        <v>26804</v>
      </c>
      <c r="B1062" t="str">
        <f>"00268040016"</f>
        <v>00268040016</v>
      </c>
      <c r="C1062" t="s">
        <v>1411</v>
      </c>
      <c r="D1062" t="s">
        <v>32</v>
      </c>
      <c r="E1062">
        <v>32</v>
      </c>
      <c r="F1062">
        <v>1605</v>
      </c>
      <c r="G1062" t="s">
        <v>128</v>
      </c>
      <c r="H1062">
        <v>32</v>
      </c>
      <c r="I1062" t="s">
        <v>34</v>
      </c>
      <c r="J1062">
        <v>25</v>
      </c>
      <c r="K1062" t="s">
        <v>34</v>
      </c>
      <c r="L1062">
        <v>8</v>
      </c>
      <c r="M1062">
        <v>82038</v>
      </c>
      <c r="N1062">
        <v>7</v>
      </c>
    </row>
    <row r="1063" spans="1:14" x14ac:dyDescent="0.2">
      <c r="A1063" s="3">
        <f t="shared" si="17"/>
        <v>27283</v>
      </c>
      <c r="B1063" t="str">
        <f>"00272830006"</f>
        <v>00272830006</v>
      </c>
      <c r="C1063" t="s">
        <v>1412</v>
      </c>
      <c r="D1063" t="s">
        <v>386</v>
      </c>
      <c r="E1063">
        <v>60</v>
      </c>
      <c r="F1063">
        <v>2495</v>
      </c>
      <c r="G1063" t="s">
        <v>723</v>
      </c>
      <c r="H1063" t="s">
        <v>44</v>
      </c>
      <c r="I1063" t="s">
        <v>45</v>
      </c>
      <c r="J1063" t="s">
        <v>44</v>
      </c>
      <c r="K1063" t="s">
        <v>45</v>
      </c>
      <c r="L1063">
        <v>8</v>
      </c>
      <c r="M1063">
        <v>61204</v>
      </c>
      <c r="N1063" t="s">
        <v>46</v>
      </c>
    </row>
    <row r="1064" spans="1:14" x14ac:dyDescent="0.2">
      <c r="A1064" s="3">
        <f t="shared" si="17"/>
        <v>27419</v>
      </c>
      <c r="B1064" t="str">
        <f>"00274190020"</f>
        <v>00274190020</v>
      </c>
      <c r="C1064" t="s">
        <v>1413</v>
      </c>
      <c r="D1064" t="s">
        <v>52</v>
      </c>
      <c r="E1064">
        <v>31</v>
      </c>
      <c r="F1064">
        <v>3717</v>
      </c>
      <c r="G1064" t="s">
        <v>1414</v>
      </c>
      <c r="H1064">
        <v>25</v>
      </c>
      <c r="I1064" t="s">
        <v>34</v>
      </c>
      <c r="J1064">
        <v>18</v>
      </c>
      <c r="K1064" t="s">
        <v>34</v>
      </c>
      <c r="L1064">
        <v>6</v>
      </c>
      <c r="M1064">
        <v>2500</v>
      </c>
      <c r="N1064">
        <v>7</v>
      </c>
    </row>
    <row r="1065" spans="1:14" x14ac:dyDescent="0.2">
      <c r="A1065" s="3">
        <f t="shared" si="17"/>
        <v>27547</v>
      </c>
      <c r="B1065" t="str">
        <f>"00275470012"</f>
        <v>00275470012</v>
      </c>
      <c r="C1065" t="s">
        <v>1415</v>
      </c>
      <c r="D1065" t="s">
        <v>324</v>
      </c>
      <c r="E1065">
        <v>20</v>
      </c>
      <c r="F1065">
        <v>8086</v>
      </c>
      <c r="G1065" t="s">
        <v>290</v>
      </c>
      <c r="H1065">
        <v>12</v>
      </c>
      <c r="I1065" t="s">
        <v>25</v>
      </c>
      <c r="J1065">
        <v>9</v>
      </c>
      <c r="K1065" t="s">
        <v>25</v>
      </c>
      <c r="L1065">
        <v>8</v>
      </c>
      <c r="M1065">
        <v>89036</v>
      </c>
      <c r="N1065">
        <v>3</v>
      </c>
    </row>
    <row r="1066" spans="1:14" x14ac:dyDescent="0.2">
      <c r="A1066" s="3">
        <f t="shared" si="17"/>
        <v>27547</v>
      </c>
      <c r="B1066" t="str">
        <f>"00275470012"</f>
        <v>00275470012</v>
      </c>
      <c r="C1066" t="s">
        <v>1415</v>
      </c>
      <c r="D1066" t="s">
        <v>324</v>
      </c>
      <c r="E1066">
        <v>20</v>
      </c>
      <c r="F1066">
        <v>2349</v>
      </c>
      <c r="G1066" t="s">
        <v>326</v>
      </c>
      <c r="H1066">
        <v>12</v>
      </c>
      <c r="I1066" t="s">
        <v>25</v>
      </c>
      <c r="J1066">
        <v>9</v>
      </c>
      <c r="K1066" t="s">
        <v>25</v>
      </c>
      <c r="L1066">
        <v>8</v>
      </c>
      <c r="M1066">
        <v>89036</v>
      </c>
      <c r="N1066">
        <v>3</v>
      </c>
    </row>
    <row r="1067" spans="1:14" x14ac:dyDescent="0.2">
      <c r="A1067" s="3">
        <f t="shared" si="17"/>
        <v>27601</v>
      </c>
      <c r="B1067" t="str">
        <f>"00276010006"</f>
        <v>00276010006</v>
      </c>
      <c r="C1067" t="s">
        <v>1416</v>
      </c>
      <c r="D1067" t="s">
        <v>418</v>
      </c>
      <c r="E1067">
        <v>60</v>
      </c>
      <c r="F1067">
        <v>3523</v>
      </c>
      <c r="G1067" t="s">
        <v>1417</v>
      </c>
      <c r="H1067" t="s">
        <v>44</v>
      </c>
      <c r="I1067" t="s">
        <v>45</v>
      </c>
      <c r="J1067" t="s">
        <v>44</v>
      </c>
      <c r="K1067" t="s">
        <v>45</v>
      </c>
      <c r="L1067">
        <v>8</v>
      </c>
      <c r="M1067">
        <v>61261</v>
      </c>
      <c r="N1067" t="s">
        <v>46</v>
      </c>
    </row>
    <row r="1068" spans="1:14" x14ac:dyDescent="0.2">
      <c r="A1068" s="3">
        <f t="shared" si="17"/>
        <v>27738</v>
      </c>
      <c r="B1068" t="str">
        <f>"00277380012"</f>
        <v>00277380012</v>
      </c>
      <c r="C1068" t="s">
        <v>1418</v>
      </c>
      <c r="D1068" t="s">
        <v>32</v>
      </c>
      <c r="E1068">
        <v>31</v>
      </c>
      <c r="F1068">
        <v>723</v>
      </c>
      <c r="G1068" t="s">
        <v>1419</v>
      </c>
      <c r="H1068">
        <v>23</v>
      </c>
      <c r="I1068" t="s">
        <v>34</v>
      </c>
      <c r="J1068">
        <v>17</v>
      </c>
      <c r="K1068" t="s">
        <v>34</v>
      </c>
      <c r="L1068">
        <v>8</v>
      </c>
      <c r="M1068">
        <v>80149</v>
      </c>
      <c r="N1068">
        <v>6</v>
      </c>
    </row>
    <row r="1069" spans="1:14" x14ac:dyDescent="0.2">
      <c r="A1069" s="3">
        <f t="shared" si="17"/>
        <v>27785</v>
      </c>
      <c r="B1069" t="str">
        <f>"00277850006"</f>
        <v>00277850006</v>
      </c>
      <c r="C1069" t="s">
        <v>1420</v>
      </c>
      <c r="D1069" t="s">
        <v>386</v>
      </c>
      <c r="E1069">
        <v>60</v>
      </c>
      <c r="F1069">
        <v>3767</v>
      </c>
      <c r="G1069" t="s">
        <v>917</v>
      </c>
      <c r="H1069" t="s">
        <v>44</v>
      </c>
      <c r="I1069" t="s">
        <v>45</v>
      </c>
      <c r="J1069" t="s">
        <v>44</v>
      </c>
      <c r="K1069" t="s">
        <v>45</v>
      </c>
      <c r="L1069">
        <v>8</v>
      </c>
      <c r="M1069">
        <v>61166</v>
      </c>
      <c r="N1069" t="s">
        <v>46</v>
      </c>
    </row>
    <row r="1070" spans="1:14" x14ac:dyDescent="0.2">
      <c r="A1070" s="3">
        <f t="shared" si="17"/>
        <v>27806</v>
      </c>
      <c r="B1070" t="str">
        <f>"00278060012"</f>
        <v>00278060012</v>
      </c>
      <c r="C1070" t="s">
        <v>1421</v>
      </c>
      <c r="D1070" t="s">
        <v>622</v>
      </c>
      <c r="E1070">
        <v>48</v>
      </c>
      <c r="F1070">
        <v>724</v>
      </c>
      <c r="G1070" t="s">
        <v>675</v>
      </c>
      <c r="H1070">
        <v>15</v>
      </c>
      <c r="I1070" t="s">
        <v>25</v>
      </c>
      <c r="J1070">
        <v>11</v>
      </c>
      <c r="K1070" t="s">
        <v>25</v>
      </c>
      <c r="L1070">
        <v>8</v>
      </c>
      <c r="M1070">
        <v>73093</v>
      </c>
      <c r="N1070">
        <v>4</v>
      </c>
    </row>
    <row r="1071" spans="1:14" x14ac:dyDescent="0.2">
      <c r="A1071" s="3">
        <f t="shared" si="17"/>
        <v>27869</v>
      </c>
      <c r="B1071" t="str">
        <f>"00278690030"</f>
        <v>00278690030</v>
      </c>
      <c r="C1071" t="s">
        <v>1422</v>
      </c>
      <c r="D1071" t="s">
        <v>431</v>
      </c>
      <c r="E1071">
        <v>50</v>
      </c>
      <c r="F1071">
        <v>255</v>
      </c>
      <c r="G1071" t="s">
        <v>1423</v>
      </c>
      <c r="H1071">
        <v>36</v>
      </c>
      <c r="I1071" t="s">
        <v>25</v>
      </c>
      <c r="J1071">
        <v>30</v>
      </c>
      <c r="K1071" t="s">
        <v>25</v>
      </c>
      <c r="L1071">
        <v>8</v>
      </c>
      <c r="M1071">
        <v>65179</v>
      </c>
      <c r="N1071">
        <v>6</v>
      </c>
    </row>
    <row r="1072" spans="1:14" x14ac:dyDescent="0.2">
      <c r="A1072" s="3">
        <f t="shared" si="17"/>
        <v>27878</v>
      </c>
      <c r="B1072" t="str">
        <f>"00278780050"</f>
        <v>00278780050</v>
      </c>
      <c r="C1072" t="s">
        <v>1424</v>
      </c>
      <c r="D1072" t="s">
        <v>421</v>
      </c>
      <c r="E1072">
        <v>50</v>
      </c>
      <c r="F1072">
        <v>1205</v>
      </c>
      <c r="G1072" t="s">
        <v>325</v>
      </c>
      <c r="H1072">
        <v>24</v>
      </c>
      <c r="I1072" t="s">
        <v>25</v>
      </c>
      <c r="J1072">
        <v>20</v>
      </c>
      <c r="K1072" t="s">
        <v>25</v>
      </c>
      <c r="L1072">
        <v>8</v>
      </c>
      <c r="M1072">
        <v>65188</v>
      </c>
      <c r="N1072">
        <v>4</v>
      </c>
    </row>
    <row r="1073" spans="1:14" x14ac:dyDescent="0.2">
      <c r="A1073" s="3">
        <f t="shared" si="17"/>
        <v>27983</v>
      </c>
      <c r="B1073" t="str">
        <f>"00279830025"</f>
        <v>00279830025</v>
      </c>
      <c r="C1073" t="s">
        <v>1425</v>
      </c>
      <c r="D1073" t="s">
        <v>289</v>
      </c>
      <c r="E1073">
        <v>74</v>
      </c>
      <c r="F1073">
        <v>8086</v>
      </c>
      <c r="G1073" t="s">
        <v>290</v>
      </c>
      <c r="H1073">
        <v>6</v>
      </c>
      <c r="I1073" t="s">
        <v>25</v>
      </c>
      <c r="J1073">
        <v>4</v>
      </c>
      <c r="K1073" t="s">
        <v>25</v>
      </c>
      <c r="L1073">
        <v>8</v>
      </c>
      <c r="M1073">
        <v>86023</v>
      </c>
      <c r="N1073">
        <v>1</v>
      </c>
    </row>
    <row r="1074" spans="1:14" x14ac:dyDescent="0.2">
      <c r="A1074" s="3">
        <f t="shared" si="17"/>
        <v>27983</v>
      </c>
      <c r="B1074" t="str">
        <f>"00279830025"</f>
        <v>00279830025</v>
      </c>
      <c r="C1074" t="s">
        <v>1425</v>
      </c>
      <c r="D1074" t="s">
        <v>289</v>
      </c>
      <c r="E1074">
        <v>74</v>
      </c>
      <c r="F1074">
        <v>2477</v>
      </c>
      <c r="G1074" t="s">
        <v>1426</v>
      </c>
      <c r="H1074">
        <v>3</v>
      </c>
      <c r="I1074" t="s">
        <v>34</v>
      </c>
      <c r="J1074">
        <v>2</v>
      </c>
      <c r="K1074" t="s">
        <v>34</v>
      </c>
      <c r="L1074">
        <v>8</v>
      </c>
      <c r="M1074">
        <v>86023</v>
      </c>
      <c r="N1074">
        <v>1</v>
      </c>
    </row>
    <row r="1075" spans="1:14" x14ac:dyDescent="0.2">
      <c r="A1075" s="3">
        <f t="shared" si="17"/>
        <v>27984</v>
      </c>
      <c r="B1075" t="str">
        <f>"00279840030"</f>
        <v>00279840030</v>
      </c>
      <c r="C1075" t="s">
        <v>1427</v>
      </c>
      <c r="D1075" t="s">
        <v>289</v>
      </c>
      <c r="E1075">
        <v>74</v>
      </c>
      <c r="F1075">
        <v>8086</v>
      </c>
      <c r="G1075" t="s">
        <v>290</v>
      </c>
      <c r="H1075">
        <v>9</v>
      </c>
      <c r="I1075" t="s">
        <v>25</v>
      </c>
      <c r="J1075">
        <v>7</v>
      </c>
      <c r="K1075" t="s">
        <v>25</v>
      </c>
      <c r="L1075">
        <v>8</v>
      </c>
      <c r="M1075">
        <v>86001</v>
      </c>
      <c r="N1075">
        <v>1</v>
      </c>
    </row>
    <row r="1076" spans="1:14" x14ac:dyDescent="0.2">
      <c r="A1076" s="3">
        <f t="shared" si="17"/>
        <v>27984</v>
      </c>
      <c r="B1076" t="str">
        <f>"00279840030"</f>
        <v>00279840030</v>
      </c>
      <c r="C1076" t="s">
        <v>1427</v>
      </c>
      <c r="D1076" t="s">
        <v>289</v>
      </c>
      <c r="E1076">
        <v>74</v>
      </c>
      <c r="F1076">
        <v>2477</v>
      </c>
      <c r="G1076" t="s">
        <v>1426</v>
      </c>
      <c r="H1076">
        <v>9</v>
      </c>
      <c r="I1076" t="s">
        <v>25</v>
      </c>
      <c r="J1076">
        <v>7</v>
      </c>
      <c r="K1076" t="s">
        <v>25</v>
      </c>
      <c r="L1076">
        <v>8</v>
      </c>
      <c r="M1076">
        <v>86001</v>
      </c>
      <c r="N1076">
        <v>1</v>
      </c>
    </row>
    <row r="1077" spans="1:14" x14ac:dyDescent="0.2">
      <c r="A1077" s="3">
        <f t="shared" si="17"/>
        <v>28002</v>
      </c>
      <c r="B1077" t="str">
        <f>"00280020012"</f>
        <v>00280020012</v>
      </c>
      <c r="C1077" t="s">
        <v>1428</v>
      </c>
      <c r="D1077" t="s">
        <v>604</v>
      </c>
      <c r="E1077">
        <v>44</v>
      </c>
      <c r="F1077">
        <v>7220</v>
      </c>
      <c r="G1077" t="s">
        <v>1429</v>
      </c>
      <c r="H1077">
        <v>30</v>
      </c>
      <c r="I1077" t="s">
        <v>25</v>
      </c>
      <c r="J1077">
        <v>24</v>
      </c>
      <c r="K1077" t="s">
        <v>25</v>
      </c>
      <c r="L1077">
        <v>8</v>
      </c>
      <c r="M1077">
        <v>66025</v>
      </c>
      <c r="N1077">
        <v>6</v>
      </c>
    </row>
    <row r="1078" spans="1:14" x14ac:dyDescent="0.2">
      <c r="A1078" s="3">
        <f t="shared" si="17"/>
        <v>28124</v>
      </c>
      <c r="B1078" t="str">
        <f>"00281240036"</f>
        <v>00281240036</v>
      </c>
      <c r="C1078" t="s">
        <v>1430</v>
      </c>
      <c r="D1078" t="s">
        <v>622</v>
      </c>
      <c r="E1078">
        <v>71</v>
      </c>
      <c r="F1078">
        <v>4366</v>
      </c>
      <c r="G1078" t="s">
        <v>625</v>
      </c>
      <c r="H1078">
        <v>12</v>
      </c>
      <c r="I1078" t="s">
        <v>25</v>
      </c>
      <c r="J1078">
        <v>9</v>
      </c>
      <c r="K1078" t="s">
        <v>25</v>
      </c>
      <c r="L1078">
        <v>8</v>
      </c>
      <c r="M1078">
        <v>74260</v>
      </c>
      <c r="N1078">
        <v>3</v>
      </c>
    </row>
    <row r="1079" spans="1:14" x14ac:dyDescent="0.2">
      <c r="A1079" s="3">
        <f t="shared" si="17"/>
        <v>28212</v>
      </c>
      <c r="B1079" t="str">
        <f>"00282120012"</f>
        <v>00282120012</v>
      </c>
      <c r="C1079" t="s">
        <v>1431</v>
      </c>
      <c r="D1079" t="s">
        <v>101</v>
      </c>
      <c r="E1079">
        <v>32</v>
      </c>
      <c r="F1079">
        <v>1015</v>
      </c>
      <c r="G1079" t="s">
        <v>103</v>
      </c>
      <c r="H1079">
        <v>28</v>
      </c>
      <c r="I1079" t="s">
        <v>34</v>
      </c>
      <c r="J1079">
        <v>20</v>
      </c>
      <c r="K1079" t="s">
        <v>34</v>
      </c>
      <c r="L1079">
        <v>8</v>
      </c>
      <c r="M1079">
        <v>81221</v>
      </c>
      <c r="N1079">
        <v>8</v>
      </c>
    </row>
    <row r="1080" spans="1:14" x14ac:dyDescent="0.2">
      <c r="A1080" s="3">
        <f t="shared" si="17"/>
        <v>28359</v>
      </c>
      <c r="B1080" t="str">
        <f>"00283590012"</f>
        <v>00283590012</v>
      </c>
      <c r="C1080" t="s">
        <v>1432</v>
      </c>
      <c r="D1080" t="s">
        <v>42</v>
      </c>
      <c r="E1080">
        <v>70</v>
      </c>
      <c r="F1080">
        <v>3903</v>
      </c>
      <c r="G1080" t="s">
        <v>611</v>
      </c>
      <c r="H1080">
        <v>84</v>
      </c>
      <c r="I1080" t="s">
        <v>34</v>
      </c>
      <c r="J1080">
        <v>65</v>
      </c>
      <c r="K1080" t="s">
        <v>34</v>
      </c>
      <c r="L1080">
        <v>8</v>
      </c>
      <c r="M1080">
        <v>66254</v>
      </c>
      <c r="N1080">
        <v>19</v>
      </c>
    </row>
    <row r="1081" spans="1:14" x14ac:dyDescent="0.2">
      <c r="A1081" s="3">
        <f t="shared" si="17"/>
        <v>28360</v>
      </c>
      <c r="B1081" t="str">
        <f>"00283600012"</f>
        <v>00283600012</v>
      </c>
      <c r="C1081" t="s">
        <v>1433</v>
      </c>
      <c r="D1081" t="s">
        <v>42</v>
      </c>
      <c r="E1081">
        <v>70</v>
      </c>
      <c r="F1081">
        <v>3903</v>
      </c>
      <c r="G1081" t="s">
        <v>611</v>
      </c>
      <c r="H1081">
        <v>84</v>
      </c>
      <c r="I1081" t="s">
        <v>34</v>
      </c>
      <c r="J1081">
        <v>65</v>
      </c>
      <c r="K1081" t="s">
        <v>34</v>
      </c>
      <c r="L1081">
        <v>8</v>
      </c>
      <c r="M1081">
        <v>66153</v>
      </c>
      <c r="N1081">
        <v>19</v>
      </c>
    </row>
    <row r="1082" spans="1:14" x14ac:dyDescent="0.2">
      <c r="A1082" s="3">
        <f t="shared" si="17"/>
        <v>28457</v>
      </c>
      <c r="B1082" t="str">
        <f>"00284570008"</f>
        <v>00284570008</v>
      </c>
      <c r="C1082" t="s">
        <v>1434</v>
      </c>
      <c r="D1082" t="s">
        <v>23</v>
      </c>
      <c r="E1082">
        <v>62</v>
      </c>
      <c r="F1082">
        <v>1429</v>
      </c>
      <c r="G1082" t="s">
        <v>873</v>
      </c>
      <c r="H1082">
        <v>9</v>
      </c>
      <c r="I1082" t="s">
        <v>25</v>
      </c>
      <c r="J1082">
        <v>7</v>
      </c>
      <c r="K1082" t="s">
        <v>25</v>
      </c>
      <c r="L1082">
        <v>8</v>
      </c>
      <c r="M1082">
        <v>71243</v>
      </c>
      <c r="N1082">
        <v>32</v>
      </c>
    </row>
    <row r="1083" spans="1:14" x14ac:dyDescent="0.2">
      <c r="A1083" s="3">
        <f t="shared" si="17"/>
        <v>28465</v>
      </c>
      <c r="B1083" t="str">
        <f>"00284650006"</f>
        <v>00284650006</v>
      </c>
      <c r="C1083" t="s">
        <v>885</v>
      </c>
      <c r="D1083" t="s">
        <v>52</v>
      </c>
      <c r="E1083">
        <v>62</v>
      </c>
      <c r="F1083">
        <v>378</v>
      </c>
      <c r="G1083" t="s">
        <v>880</v>
      </c>
      <c r="H1083">
        <v>8</v>
      </c>
      <c r="I1083" t="s">
        <v>25</v>
      </c>
      <c r="J1083">
        <v>6</v>
      </c>
      <c r="K1083" t="s">
        <v>25</v>
      </c>
      <c r="L1083">
        <v>5</v>
      </c>
      <c r="M1083" t="s">
        <v>65</v>
      </c>
      <c r="N1083">
        <v>2</v>
      </c>
    </row>
    <row r="1084" spans="1:14" x14ac:dyDescent="0.2">
      <c r="A1084" s="3">
        <f t="shared" si="17"/>
        <v>28466</v>
      </c>
      <c r="B1084" t="str">
        <f>"00284660006"</f>
        <v>00284660006</v>
      </c>
      <c r="C1084" t="s">
        <v>1435</v>
      </c>
      <c r="D1084" t="s">
        <v>52</v>
      </c>
      <c r="E1084">
        <v>62</v>
      </c>
      <c r="F1084">
        <v>378</v>
      </c>
      <c r="G1084" t="s">
        <v>880</v>
      </c>
      <c r="H1084">
        <v>10</v>
      </c>
      <c r="I1084" t="s">
        <v>25</v>
      </c>
      <c r="J1084">
        <v>7</v>
      </c>
      <c r="K1084" t="s">
        <v>25</v>
      </c>
      <c r="L1084">
        <v>5</v>
      </c>
      <c r="M1084" t="s">
        <v>65</v>
      </c>
      <c r="N1084">
        <v>3</v>
      </c>
    </row>
    <row r="1085" spans="1:14" x14ac:dyDescent="0.2">
      <c r="A1085" s="3">
        <f t="shared" si="17"/>
        <v>28467</v>
      </c>
      <c r="B1085" t="str">
        <f>"00284670006"</f>
        <v>00284670006</v>
      </c>
      <c r="C1085" t="s">
        <v>1436</v>
      </c>
      <c r="D1085" t="s">
        <v>23</v>
      </c>
      <c r="E1085">
        <v>62</v>
      </c>
      <c r="F1085">
        <v>378</v>
      </c>
      <c r="G1085" t="s">
        <v>880</v>
      </c>
      <c r="H1085">
        <v>11</v>
      </c>
      <c r="I1085" t="s">
        <v>25</v>
      </c>
      <c r="J1085">
        <v>8</v>
      </c>
      <c r="K1085" t="s">
        <v>25</v>
      </c>
      <c r="L1085">
        <v>8</v>
      </c>
      <c r="M1085">
        <v>71226</v>
      </c>
      <c r="N1085">
        <v>2</v>
      </c>
    </row>
    <row r="1086" spans="1:14" x14ac:dyDescent="0.2">
      <c r="A1086" s="3">
        <f t="shared" si="17"/>
        <v>28484</v>
      </c>
      <c r="B1086" t="str">
        <f>"00284840025"</f>
        <v>00284840025</v>
      </c>
      <c r="C1086" t="s">
        <v>1437</v>
      </c>
      <c r="D1086" t="s">
        <v>543</v>
      </c>
      <c r="E1086">
        <v>70</v>
      </c>
      <c r="F1086">
        <v>1324</v>
      </c>
      <c r="G1086" t="s">
        <v>1438</v>
      </c>
      <c r="H1086">
        <v>6</v>
      </c>
      <c r="I1086" t="s">
        <v>25</v>
      </c>
      <c r="J1086">
        <v>4</v>
      </c>
      <c r="K1086" t="s">
        <v>25</v>
      </c>
      <c r="L1086">
        <v>8</v>
      </c>
      <c r="M1086">
        <v>72102</v>
      </c>
      <c r="N1086">
        <v>2</v>
      </c>
    </row>
    <row r="1087" spans="1:14" x14ac:dyDescent="0.2">
      <c r="A1087" s="3">
        <f t="shared" si="17"/>
        <v>28485</v>
      </c>
      <c r="B1087" t="str">
        <f>"00284850028"</f>
        <v>00284850028</v>
      </c>
      <c r="C1087" t="s">
        <v>1439</v>
      </c>
      <c r="D1087" t="s">
        <v>543</v>
      </c>
      <c r="E1087">
        <v>70</v>
      </c>
      <c r="F1087">
        <v>2008</v>
      </c>
      <c r="G1087" t="s">
        <v>1440</v>
      </c>
      <c r="H1087">
        <v>9</v>
      </c>
      <c r="I1087" t="s">
        <v>25</v>
      </c>
      <c r="J1087">
        <v>7</v>
      </c>
      <c r="K1087" t="s">
        <v>25</v>
      </c>
      <c r="L1087">
        <v>8</v>
      </c>
      <c r="M1087">
        <v>66072</v>
      </c>
      <c r="N1087">
        <v>2</v>
      </c>
    </row>
    <row r="1088" spans="1:14" x14ac:dyDescent="0.2">
      <c r="A1088" s="3">
        <f t="shared" si="17"/>
        <v>28488</v>
      </c>
      <c r="B1088" t="str">
        <f>"00284880024"</f>
        <v>00284880024</v>
      </c>
      <c r="C1088" t="s">
        <v>1441</v>
      </c>
      <c r="D1088" t="s">
        <v>622</v>
      </c>
      <c r="E1088">
        <v>70</v>
      </c>
      <c r="F1088">
        <v>919</v>
      </c>
      <c r="G1088" t="s">
        <v>623</v>
      </c>
      <c r="H1088">
        <v>8</v>
      </c>
      <c r="I1088" t="s">
        <v>25</v>
      </c>
      <c r="J1088">
        <v>6</v>
      </c>
      <c r="K1088" t="s">
        <v>25</v>
      </c>
      <c r="L1088">
        <v>8</v>
      </c>
      <c r="M1088">
        <v>66069</v>
      </c>
      <c r="N1088">
        <v>2</v>
      </c>
    </row>
    <row r="1089" spans="1:14" x14ac:dyDescent="0.2">
      <c r="A1089" s="3">
        <f t="shared" si="17"/>
        <v>28489</v>
      </c>
      <c r="B1089" t="str">
        <f>"00284890025"</f>
        <v>00284890025</v>
      </c>
      <c r="C1089" t="s">
        <v>1442</v>
      </c>
      <c r="D1089" t="s">
        <v>431</v>
      </c>
      <c r="E1089">
        <v>70</v>
      </c>
      <c r="F1089">
        <v>2008</v>
      </c>
      <c r="G1089" t="s">
        <v>1440</v>
      </c>
      <c r="H1089">
        <v>8</v>
      </c>
      <c r="I1089" t="s">
        <v>25</v>
      </c>
      <c r="J1089">
        <v>6</v>
      </c>
      <c r="K1089" t="s">
        <v>25</v>
      </c>
      <c r="L1089">
        <v>8</v>
      </c>
      <c r="M1089">
        <v>66074</v>
      </c>
      <c r="N1089">
        <v>2</v>
      </c>
    </row>
    <row r="1090" spans="1:14" x14ac:dyDescent="0.2">
      <c r="A1090" s="3">
        <f t="shared" si="17"/>
        <v>28679</v>
      </c>
      <c r="B1090" t="str">
        <f>"00286790048"</f>
        <v>00286790048</v>
      </c>
      <c r="C1090" t="s">
        <v>1443</v>
      </c>
      <c r="D1090" t="s">
        <v>421</v>
      </c>
      <c r="E1090">
        <v>50</v>
      </c>
      <c r="F1090">
        <v>1205</v>
      </c>
      <c r="G1090" t="s">
        <v>325</v>
      </c>
      <c r="H1090">
        <v>42</v>
      </c>
      <c r="I1090" t="s">
        <v>25</v>
      </c>
      <c r="J1090">
        <v>36</v>
      </c>
      <c r="K1090" t="s">
        <v>25</v>
      </c>
      <c r="L1090">
        <v>8</v>
      </c>
      <c r="M1090">
        <v>65164</v>
      </c>
      <c r="N1090">
        <v>6</v>
      </c>
    </row>
    <row r="1091" spans="1:14" x14ac:dyDescent="0.2">
      <c r="A1091" s="3">
        <f t="shared" si="17"/>
        <v>28682</v>
      </c>
      <c r="B1091" t="str">
        <f>"00286820048"</f>
        <v>00286820048</v>
      </c>
      <c r="C1091" t="s">
        <v>1444</v>
      </c>
      <c r="D1091" t="s">
        <v>421</v>
      </c>
      <c r="E1091">
        <v>50</v>
      </c>
      <c r="F1091">
        <v>1205</v>
      </c>
      <c r="G1091" t="s">
        <v>325</v>
      </c>
      <c r="H1091">
        <v>36</v>
      </c>
      <c r="I1091" t="s">
        <v>25</v>
      </c>
      <c r="J1091">
        <v>30</v>
      </c>
      <c r="K1091" t="s">
        <v>25</v>
      </c>
      <c r="L1091">
        <v>8</v>
      </c>
      <c r="M1091">
        <v>65171</v>
      </c>
      <c r="N1091">
        <v>6</v>
      </c>
    </row>
    <row r="1092" spans="1:14" x14ac:dyDescent="0.2">
      <c r="A1092" s="3">
        <f t="shared" ref="A1092:A1155" si="18">(B1092-RIGHT(B1092,4))/10000</f>
        <v>28784</v>
      </c>
      <c r="B1092" t="str">
        <f>"00287840012"</f>
        <v>00287840012</v>
      </c>
      <c r="C1092" t="s">
        <v>1445</v>
      </c>
      <c r="D1092" t="s">
        <v>32</v>
      </c>
      <c r="E1092">
        <v>31</v>
      </c>
      <c r="F1092">
        <v>723</v>
      </c>
      <c r="G1092" t="s">
        <v>1419</v>
      </c>
      <c r="H1092">
        <v>23</v>
      </c>
      <c r="I1092" t="s">
        <v>34</v>
      </c>
      <c r="J1092">
        <v>17</v>
      </c>
      <c r="K1092" t="s">
        <v>34</v>
      </c>
      <c r="L1092">
        <v>8</v>
      </c>
      <c r="M1092">
        <v>80157</v>
      </c>
      <c r="N1092">
        <v>6</v>
      </c>
    </row>
    <row r="1093" spans="1:14" x14ac:dyDescent="0.2">
      <c r="A1093" s="3">
        <f t="shared" si="18"/>
        <v>28785</v>
      </c>
      <c r="B1093" t="str">
        <f>"00287850012"</f>
        <v>00287850012</v>
      </c>
      <c r="C1093" t="s">
        <v>1446</v>
      </c>
      <c r="D1093" t="s">
        <v>32</v>
      </c>
      <c r="E1093">
        <v>31</v>
      </c>
      <c r="F1093">
        <v>723</v>
      </c>
      <c r="G1093" t="s">
        <v>1419</v>
      </c>
      <c r="H1093">
        <v>23</v>
      </c>
      <c r="I1093" t="s">
        <v>34</v>
      </c>
      <c r="J1093">
        <v>17</v>
      </c>
      <c r="K1093" t="s">
        <v>34</v>
      </c>
      <c r="L1093">
        <v>8</v>
      </c>
      <c r="M1093">
        <v>80168</v>
      </c>
      <c r="N1093">
        <v>6</v>
      </c>
    </row>
    <row r="1094" spans="1:14" x14ac:dyDescent="0.2">
      <c r="A1094" s="3">
        <f t="shared" si="18"/>
        <v>28810</v>
      </c>
      <c r="B1094" t="str">
        <f>"00288100001"</f>
        <v>00288100001</v>
      </c>
      <c r="C1094" t="s">
        <v>1447</v>
      </c>
      <c r="D1094" t="s">
        <v>337</v>
      </c>
      <c r="E1094">
        <v>90</v>
      </c>
      <c r="F1094">
        <v>1784</v>
      </c>
      <c r="G1094" t="s">
        <v>347</v>
      </c>
      <c r="H1094">
        <v>10</v>
      </c>
      <c r="I1094" t="s">
        <v>34</v>
      </c>
      <c r="J1094">
        <v>7</v>
      </c>
      <c r="K1094" t="s">
        <v>34</v>
      </c>
      <c r="L1094">
        <v>8</v>
      </c>
      <c r="M1094">
        <v>91012</v>
      </c>
      <c r="N1094">
        <v>3</v>
      </c>
    </row>
    <row r="1095" spans="1:14" x14ac:dyDescent="0.2">
      <c r="A1095" s="3">
        <f t="shared" si="18"/>
        <v>29029</v>
      </c>
      <c r="B1095" t="str">
        <f>"00290290015"</f>
        <v>00290290015</v>
      </c>
      <c r="C1095" t="s">
        <v>1448</v>
      </c>
      <c r="D1095" t="s">
        <v>320</v>
      </c>
      <c r="E1095">
        <v>20</v>
      </c>
      <c r="F1095">
        <v>8086</v>
      </c>
      <c r="G1095" t="s">
        <v>290</v>
      </c>
      <c r="H1095">
        <v>12</v>
      </c>
      <c r="I1095" t="s">
        <v>25</v>
      </c>
      <c r="J1095">
        <v>9</v>
      </c>
      <c r="K1095" t="s">
        <v>25</v>
      </c>
      <c r="L1095">
        <v>8</v>
      </c>
      <c r="M1095">
        <v>89030</v>
      </c>
      <c r="N1095">
        <v>3</v>
      </c>
    </row>
    <row r="1096" spans="1:14" x14ac:dyDescent="0.2">
      <c r="A1096" s="3">
        <f t="shared" si="18"/>
        <v>29029</v>
      </c>
      <c r="B1096" t="str">
        <f>"00290290015"</f>
        <v>00290290015</v>
      </c>
      <c r="C1096" t="s">
        <v>1448</v>
      </c>
      <c r="D1096" t="s">
        <v>320</v>
      </c>
      <c r="E1096">
        <v>20</v>
      </c>
      <c r="F1096">
        <v>8094</v>
      </c>
      <c r="G1096" t="s">
        <v>1449</v>
      </c>
      <c r="H1096">
        <v>12</v>
      </c>
      <c r="I1096" t="s">
        <v>25</v>
      </c>
      <c r="J1096">
        <v>9</v>
      </c>
      <c r="K1096" t="s">
        <v>25</v>
      </c>
      <c r="L1096">
        <v>8</v>
      </c>
      <c r="M1096">
        <v>89030</v>
      </c>
      <c r="N1096">
        <v>3</v>
      </c>
    </row>
    <row r="1097" spans="1:14" x14ac:dyDescent="0.2">
      <c r="A1097" s="3">
        <f t="shared" si="18"/>
        <v>29048</v>
      </c>
      <c r="B1097" t="str">
        <f>"00290480012"</f>
        <v>00290480012</v>
      </c>
      <c r="C1097" t="s">
        <v>1450</v>
      </c>
      <c r="D1097" t="s">
        <v>622</v>
      </c>
      <c r="E1097">
        <v>48</v>
      </c>
      <c r="F1097">
        <v>724</v>
      </c>
      <c r="G1097" t="s">
        <v>675</v>
      </c>
      <c r="H1097">
        <v>15</v>
      </c>
      <c r="I1097" t="s">
        <v>25</v>
      </c>
      <c r="J1097">
        <v>11</v>
      </c>
      <c r="K1097" t="s">
        <v>25</v>
      </c>
      <c r="L1097">
        <v>8</v>
      </c>
      <c r="M1097">
        <v>73076</v>
      </c>
      <c r="N1097">
        <v>4</v>
      </c>
    </row>
    <row r="1098" spans="1:14" x14ac:dyDescent="0.2">
      <c r="A1098" s="3">
        <f t="shared" si="18"/>
        <v>29247</v>
      </c>
      <c r="B1098" t="str">
        <f>"00292470012"</f>
        <v>00292470012</v>
      </c>
      <c r="C1098" t="s">
        <v>1451</v>
      </c>
      <c r="D1098" t="s">
        <v>421</v>
      </c>
      <c r="E1098">
        <v>52</v>
      </c>
      <c r="F1098">
        <v>1205</v>
      </c>
      <c r="G1098" t="s">
        <v>325</v>
      </c>
      <c r="H1098">
        <v>12</v>
      </c>
      <c r="I1098" t="s">
        <v>25</v>
      </c>
      <c r="J1098">
        <v>9</v>
      </c>
      <c r="K1098" t="s">
        <v>25</v>
      </c>
      <c r="L1098">
        <v>8</v>
      </c>
      <c r="M1098">
        <v>65014</v>
      </c>
      <c r="N1098">
        <v>3</v>
      </c>
    </row>
    <row r="1099" spans="1:14" x14ac:dyDescent="0.2">
      <c r="A1099" s="3">
        <f t="shared" si="18"/>
        <v>29287</v>
      </c>
      <c r="B1099" t="str">
        <f>"00292870012"</f>
        <v>00292870012</v>
      </c>
      <c r="C1099" t="s">
        <v>1452</v>
      </c>
      <c r="D1099" t="s">
        <v>421</v>
      </c>
      <c r="E1099">
        <v>52</v>
      </c>
      <c r="F1099">
        <v>1205</v>
      </c>
      <c r="G1099" t="s">
        <v>325</v>
      </c>
      <c r="H1099">
        <v>22</v>
      </c>
      <c r="I1099" t="s">
        <v>25</v>
      </c>
      <c r="J1099">
        <v>18</v>
      </c>
      <c r="K1099" t="s">
        <v>25</v>
      </c>
      <c r="L1099">
        <v>6</v>
      </c>
      <c r="M1099" t="s">
        <v>65</v>
      </c>
      <c r="N1099">
        <v>4</v>
      </c>
    </row>
    <row r="1100" spans="1:14" x14ac:dyDescent="0.2">
      <c r="A1100" s="3">
        <f t="shared" si="18"/>
        <v>29470</v>
      </c>
      <c r="B1100" t="str">
        <f>"00294700006"</f>
        <v>00294700006</v>
      </c>
      <c r="C1100" t="s">
        <v>1453</v>
      </c>
      <c r="D1100" t="s">
        <v>52</v>
      </c>
      <c r="E1100">
        <v>52</v>
      </c>
      <c r="F1100">
        <v>388</v>
      </c>
      <c r="G1100" t="s">
        <v>1454</v>
      </c>
      <c r="H1100">
        <v>24</v>
      </c>
      <c r="I1100" t="s">
        <v>25</v>
      </c>
      <c r="J1100">
        <v>20</v>
      </c>
      <c r="K1100" t="s">
        <v>25</v>
      </c>
      <c r="L1100">
        <v>5</v>
      </c>
      <c r="M1100" t="s">
        <v>65</v>
      </c>
      <c r="N1100">
        <v>4</v>
      </c>
    </row>
    <row r="1101" spans="1:14" x14ac:dyDescent="0.2">
      <c r="A1101" s="3">
        <f t="shared" si="18"/>
        <v>29470</v>
      </c>
      <c r="B1101" t="str">
        <f>"00294700012"</f>
        <v>00294700012</v>
      </c>
      <c r="C1101" t="s">
        <v>1453</v>
      </c>
      <c r="D1101" t="s">
        <v>604</v>
      </c>
      <c r="E1101">
        <v>52</v>
      </c>
      <c r="F1101">
        <v>1205</v>
      </c>
      <c r="G1101" t="s">
        <v>325</v>
      </c>
      <c r="H1101">
        <v>24</v>
      </c>
      <c r="I1101" t="s">
        <v>25</v>
      </c>
      <c r="J1101">
        <v>20</v>
      </c>
      <c r="K1101" t="s">
        <v>25</v>
      </c>
      <c r="L1101">
        <v>8</v>
      </c>
      <c r="M1101">
        <v>62259</v>
      </c>
      <c r="N1101">
        <v>4</v>
      </c>
    </row>
    <row r="1102" spans="1:14" x14ac:dyDescent="0.2">
      <c r="A1102" s="3">
        <f t="shared" si="18"/>
        <v>29592</v>
      </c>
      <c r="B1102" t="str">
        <f>"00295920006"</f>
        <v>00295920006</v>
      </c>
      <c r="C1102" t="s">
        <v>1455</v>
      </c>
      <c r="D1102" t="s">
        <v>431</v>
      </c>
      <c r="E1102">
        <v>60</v>
      </c>
      <c r="F1102">
        <v>3625</v>
      </c>
      <c r="G1102" t="s">
        <v>801</v>
      </c>
      <c r="H1102" t="s">
        <v>44</v>
      </c>
      <c r="I1102" t="s">
        <v>45</v>
      </c>
      <c r="J1102" t="s">
        <v>44</v>
      </c>
      <c r="K1102" t="s">
        <v>45</v>
      </c>
      <c r="L1102">
        <v>8</v>
      </c>
      <c r="M1102">
        <v>61270</v>
      </c>
      <c r="N1102" t="s">
        <v>46</v>
      </c>
    </row>
    <row r="1103" spans="1:14" x14ac:dyDescent="0.2">
      <c r="A1103" s="3">
        <f t="shared" si="18"/>
        <v>29638</v>
      </c>
      <c r="B1103" t="str">
        <f>"00296380006"</f>
        <v>00296380006</v>
      </c>
      <c r="C1103" t="s">
        <v>1456</v>
      </c>
      <c r="D1103" t="s">
        <v>431</v>
      </c>
      <c r="E1103">
        <v>60</v>
      </c>
      <c r="F1103">
        <v>5977</v>
      </c>
      <c r="G1103" t="s">
        <v>1457</v>
      </c>
      <c r="H1103" t="s">
        <v>44</v>
      </c>
      <c r="I1103" t="s">
        <v>45</v>
      </c>
      <c r="J1103" t="s">
        <v>44</v>
      </c>
      <c r="K1103" t="s">
        <v>45</v>
      </c>
      <c r="L1103">
        <v>8</v>
      </c>
      <c r="M1103">
        <v>61248</v>
      </c>
      <c r="N1103" t="s">
        <v>46</v>
      </c>
    </row>
    <row r="1104" spans="1:14" x14ac:dyDescent="0.2">
      <c r="A1104" s="3">
        <f t="shared" si="18"/>
        <v>29644</v>
      </c>
      <c r="B1104" t="str">
        <f>"00296440008"</f>
        <v>00296440008</v>
      </c>
      <c r="C1104" t="s">
        <v>1458</v>
      </c>
      <c r="D1104" t="s">
        <v>70</v>
      </c>
      <c r="E1104">
        <v>36</v>
      </c>
      <c r="F1104">
        <v>111</v>
      </c>
      <c r="G1104" t="s">
        <v>73</v>
      </c>
      <c r="H1104">
        <v>18</v>
      </c>
      <c r="I1104" t="s">
        <v>34</v>
      </c>
      <c r="J1104">
        <v>13</v>
      </c>
      <c r="K1104" t="s">
        <v>34</v>
      </c>
      <c r="L1104">
        <v>8</v>
      </c>
      <c r="M1104">
        <v>81054</v>
      </c>
      <c r="N1104">
        <v>5</v>
      </c>
    </row>
    <row r="1105" spans="1:14" x14ac:dyDescent="0.2">
      <c r="A1105" s="3">
        <f t="shared" si="18"/>
        <v>29705</v>
      </c>
      <c r="B1105" t="str">
        <f>"00297050022"</f>
        <v>00297050022</v>
      </c>
      <c r="C1105" t="s">
        <v>1459</v>
      </c>
      <c r="D1105" t="s">
        <v>70</v>
      </c>
      <c r="E1105">
        <v>32</v>
      </c>
      <c r="F1105">
        <v>2031</v>
      </c>
      <c r="G1105" t="s">
        <v>1460</v>
      </c>
      <c r="H1105">
        <v>70</v>
      </c>
      <c r="I1105" t="s">
        <v>34</v>
      </c>
      <c r="J1105">
        <v>56</v>
      </c>
      <c r="K1105" t="s">
        <v>34</v>
      </c>
      <c r="L1105">
        <v>8</v>
      </c>
      <c r="M1105">
        <v>81144</v>
      </c>
      <c r="N1105">
        <v>16</v>
      </c>
    </row>
    <row r="1106" spans="1:14" x14ac:dyDescent="0.2">
      <c r="A1106" s="3">
        <f t="shared" si="18"/>
        <v>29746</v>
      </c>
      <c r="B1106" t="str">
        <f>"00297460008"</f>
        <v>00297460008</v>
      </c>
      <c r="C1106" t="s">
        <v>1461</v>
      </c>
      <c r="D1106" t="s">
        <v>52</v>
      </c>
      <c r="E1106">
        <v>83</v>
      </c>
      <c r="F1106">
        <v>1224</v>
      </c>
      <c r="G1106" t="s">
        <v>1014</v>
      </c>
      <c r="H1106" t="s">
        <v>44</v>
      </c>
      <c r="I1106" t="s">
        <v>45</v>
      </c>
      <c r="J1106" t="s">
        <v>44</v>
      </c>
      <c r="K1106" t="s">
        <v>45</v>
      </c>
      <c r="L1106">
        <v>5</v>
      </c>
      <c r="M1106" t="s">
        <v>65</v>
      </c>
      <c r="N1106" t="s">
        <v>46</v>
      </c>
    </row>
    <row r="1107" spans="1:14" x14ac:dyDescent="0.2">
      <c r="A1107" s="3">
        <f t="shared" si="18"/>
        <v>29753</v>
      </c>
      <c r="B1107" t="str">
        <f>"00297530008"</f>
        <v>00297530008</v>
      </c>
      <c r="C1107" t="s">
        <v>1462</v>
      </c>
      <c r="D1107" t="s">
        <v>622</v>
      </c>
      <c r="E1107">
        <v>83</v>
      </c>
      <c r="F1107">
        <v>1224</v>
      </c>
      <c r="G1107" t="s">
        <v>1014</v>
      </c>
      <c r="H1107" t="s">
        <v>44</v>
      </c>
      <c r="I1107" t="s">
        <v>45</v>
      </c>
      <c r="J1107" t="s">
        <v>44</v>
      </c>
      <c r="K1107" t="s">
        <v>45</v>
      </c>
      <c r="L1107">
        <v>8</v>
      </c>
      <c r="M1107">
        <v>67248</v>
      </c>
      <c r="N1107" t="s">
        <v>46</v>
      </c>
    </row>
    <row r="1108" spans="1:14" x14ac:dyDescent="0.2">
      <c r="A1108" s="3">
        <f t="shared" si="18"/>
        <v>29757</v>
      </c>
      <c r="B1108" t="str">
        <f>"00297570012"</f>
        <v>00297570012</v>
      </c>
      <c r="C1108" t="s">
        <v>1463</v>
      </c>
      <c r="D1108" t="s">
        <v>421</v>
      </c>
      <c r="E1108">
        <v>52</v>
      </c>
      <c r="F1108">
        <v>1205</v>
      </c>
      <c r="G1108" t="s">
        <v>325</v>
      </c>
      <c r="H1108">
        <v>18</v>
      </c>
      <c r="I1108" t="s">
        <v>25</v>
      </c>
      <c r="J1108">
        <v>14</v>
      </c>
      <c r="K1108" t="s">
        <v>25</v>
      </c>
      <c r="L1108">
        <v>8</v>
      </c>
      <c r="M1108">
        <v>62226</v>
      </c>
      <c r="N1108">
        <v>4</v>
      </c>
    </row>
    <row r="1109" spans="1:14" x14ac:dyDescent="0.2">
      <c r="A1109" s="3">
        <f t="shared" si="18"/>
        <v>29791</v>
      </c>
      <c r="B1109" t="str">
        <f>"00297910001"</f>
        <v>00297910001</v>
      </c>
      <c r="C1109" t="s">
        <v>1464</v>
      </c>
      <c r="D1109" t="s">
        <v>36</v>
      </c>
      <c r="E1109">
        <v>84</v>
      </c>
      <c r="F1109">
        <v>1455</v>
      </c>
      <c r="G1109" t="s">
        <v>1465</v>
      </c>
      <c r="H1109" t="s">
        <v>44</v>
      </c>
      <c r="I1109" t="s">
        <v>45</v>
      </c>
      <c r="J1109" t="s">
        <v>44</v>
      </c>
      <c r="K1109" t="s">
        <v>45</v>
      </c>
      <c r="L1109">
        <v>8</v>
      </c>
      <c r="M1109">
        <v>95212</v>
      </c>
      <c r="N1109" t="s">
        <v>46</v>
      </c>
    </row>
    <row r="1110" spans="1:14" x14ac:dyDescent="0.2">
      <c r="A1110" s="3">
        <f t="shared" si="18"/>
        <v>29814</v>
      </c>
      <c r="B1110" t="str">
        <f>"00298140040"</f>
        <v>00298140040</v>
      </c>
      <c r="C1110" t="s">
        <v>1466</v>
      </c>
      <c r="D1110" t="s">
        <v>604</v>
      </c>
      <c r="E1110">
        <v>70</v>
      </c>
      <c r="F1110">
        <v>212</v>
      </c>
      <c r="G1110" t="s">
        <v>1467</v>
      </c>
      <c r="H1110">
        <v>9</v>
      </c>
      <c r="I1110" t="s">
        <v>25</v>
      </c>
      <c r="J1110">
        <v>7</v>
      </c>
      <c r="K1110" t="s">
        <v>25</v>
      </c>
      <c r="L1110">
        <v>8</v>
      </c>
      <c r="M1110">
        <v>66071</v>
      </c>
      <c r="N1110">
        <v>2</v>
      </c>
    </row>
    <row r="1111" spans="1:14" x14ac:dyDescent="0.2">
      <c r="A1111" s="3">
        <f t="shared" si="18"/>
        <v>31293</v>
      </c>
      <c r="B1111" t="str">
        <f>"00312930024"</f>
        <v>00312930024</v>
      </c>
      <c r="C1111" t="s">
        <v>1468</v>
      </c>
      <c r="D1111" t="s">
        <v>622</v>
      </c>
      <c r="E1111">
        <v>70</v>
      </c>
      <c r="F1111">
        <v>919</v>
      </c>
      <c r="G1111" t="s">
        <v>623</v>
      </c>
      <c r="H1111">
        <v>8</v>
      </c>
      <c r="I1111" t="s">
        <v>25</v>
      </c>
      <c r="J1111">
        <v>6</v>
      </c>
      <c r="K1111" t="s">
        <v>25</v>
      </c>
      <c r="L1111">
        <v>8</v>
      </c>
      <c r="M1111">
        <v>66067</v>
      </c>
      <c r="N1111">
        <v>2</v>
      </c>
    </row>
    <row r="1112" spans="1:14" x14ac:dyDescent="0.2">
      <c r="A1112" s="3">
        <f t="shared" si="18"/>
        <v>31493</v>
      </c>
      <c r="B1112" t="str">
        <f>"00314930010"</f>
        <v>00314930010</v>
      </c>
      <c r="C1112" t="s">
        <v>1469</v>
      </c>
      <c r="D1112" t="s">
        <v>289</v>
      </c>
      <c r="E1112">
        <v>20</v>
      </c>
      <c r="F1112">
        <v>8086</v>
      </c>
      <c r="G1112" t="s">
        <v>290</v>
      </c>
      <c r="H1112">
        <v>12</v>
      </c>
      <c r="I1112" t="s">
        <v>25</v>
      </c>
      <c r="J1112">
        <v>9</v>
      </c>
      <c r="K1112" t="s">
        <v>25</v>
      </c>
      <c r="L1112">
        <v>8</v>
      </c>
      <c r="M1112">
        <v>88042</v>
      </c>
      <c r="N1112">
        <v>3</v>
      </c>
    </row>
    <row r="1113" spans="1:14" x14ac:dyDescent="0.2">
      <c r="A1113" s="3">
        <f t="shared" si="18"/>
        <v>31493</v>
      </c>
      <c r="B1113" t="str">
        <f>"00314930010"</f>
        <v>00314930010</v>
      </c>
      <c r="C1113" t="s">
        <v>1469</v>
      </c>
      <c r="D1113" t="s">
        <v>289</v>
      </c>
      <c r="E1113">
        <v>20</v>
      </c>
      <c r="F1113">
        <v>2827</v>
      </c>
      <c r="G1113" t="s">
        <v>333</v>
      </c>
      <c r="H1113">
        <v>12</v>
      </c>
      <c r="I1113" t="s">
        <v>25</v>
      </c>
      <c r="J1113">
        <v>9</v>
      </c>
      <c r="K1113" t="s">
        <v>25</v>
      </c>
      <c r="L1113">
        <v>8</v>
      </c>
      <c r="M1113">
        <v>88042</v>
      </c>
      <c r="N1113">
        <v>3</v>
      </c>
    </row>
    <row r="1114" spans="1:14" x14ac:dyDescent="0.2">
      <c r="A1114" s="3">
        <f t="shared" si="18"/>
        <v>31523</v>
      </c>
      <c r="B1114" t="str">
        <f>"00315230010"</f>
        <v>00315230010</v>
      </c>
      <c r="C1114" t="s">
        <v>1470</v>
      </c>
      <c r="D1114" t="s">
        <v>289</v>
      </c>
      <c r="E1114">
        <v>20</v>
      </c>
      <c r="F1114">
        <v>8086</v>
      </c>
      <c r="G1114" t="s">
        <v>290</v>
      </c>
      <c r="H1114">
        <v>12</v>
      </c>
      <c r="I1114" t="s">
        <v>25</v>
      </c>
      <c r="J1114">
        <v>9</v>
      </c>
      <c r="K1114" t="s">
        <v>25</v>
      </c>
      <c r="L1114">
        <v>8</v>
      </c>
      <c r="M1114">
        <v>86059</v>
      </c>
      <c r="N1114">
        <v>3</v>
      </c>
    </row>
    <row r="1115" spans="1:14" x14ac:dyDescent="0.2">
      <c r="A1115" s="3">
        <f t="shared" si="18"/>
        <v>31523</v>
      </c>
      <c r="B1115" t="str">
        <f>"00315230010"</f>
        <v>00315230010</v>
      </c>
      <c r="C1115" t="s">
        <v>1470</v>
      </c>
      <c r="D1115" t="s">
        <v>289</v>
      </c>
      <c r="E1115">
        <v>20</v>
      </c>
      <c r="F1115">
        <v>8130</v>
      </c>
      <c r="G1115" t="s">
        <v>318</v>
      </c>
      <c r="H1115">
        <v>12</v>
      </c>
      <c r="I1115" t="s">
        <v>25</v>
      </c>
      <c r="J1115">
        <v>9</v>
      </c>
      <c r="K1115" t="s">
        <v>25</v>
      </c>
      <c r="L1115">
        <v>8</v>
      </c>
      <c r="M1115">
        <v>86059</v>
      </c>
      <c r="N1115">
        <v>3</v>
      </c>
    </row>
    <row r="1116" spans="1:14" x14ac:dyDescent="0.2">
      <c r="A1116" s="3">
        <f t="shared" si="18"/>
        <v>31561</v>
      </c>
      <c r="B1116" t="str">
        <f>"00315610012"</f>
        <v>00315610012</v>
      </c>
      <c r="C1116" t="s">
        <v>1471</v>
      </c>
      <c r="D1116" t="s">
        <v>622</v>
      </c>
      <c r="E1116">
        <v>48</v>
      </c>
      <c r="F1116">
        <v>724</v>
      </c>
      <c r="G1116" t="s">
        <v>675</v>
      </c>
      <c r="H1116">
        <v>15</v>
      </c>
      <c r="I1116" t="s">
        <v>25</v>
      </c>
      <c r="J1116">
        <v>11</v>
      </c>
      <c r="K1116" t="s">
        <v>25</v>
      </c>
      <c r="L1116">
        <v>8</v>
      </c>
      <c r="M1116">
        <v>73069</v>
      </c>
      <c r="N1116">
        <v>4</v>
      </c>
    </row>
    <row r="1117" spans="1:14" x14ac:dyDescent="0.2">
      <c r="A1117" s="3">
        <f t="shared" si="18"/>
        <v>31562</v>
      </c>
      <c r="B1117" t="str">
        <f>"00315620012"</f>
        <v>00315620012</v>
      </c>
      <c r="C1117" t="s">
        <v>1472</v>
      </c>
      <c r="D1117" t="s">
        <v>622</v>
      </c>
      <c r="E1117">
        <v>48</v>
      </c>
      <c r="F1117">
        <v>724</v>
      </c>
      <c r="G1117" t="s">
        <v>675</v>
      </c>
      <c r="H1117">
        <v>15</v>
      </c>
      <c r="I1117" t="s">
        <v>25</v>
      </c>
      <c r="J1117">
        <v>11</v>
      </c>
      <c r="K1117" t="s">
        <v>25</v>
      </c>
      <c r="L1117">
        <v>8</v>
      </c>
      <c r="M1117">
        <v>73071</v>
      </c>
      <c r="N1117">
        <v>4</v>
      </c>
    </row>
    <row r="1118" spans="1:14" x14ac:dyDescent="0.2">
      <c r="A1118" s="3">
        <f t="shared" si="18"/>
        <v>31594</v>
      </c>
      <c r="B1118" t="str">
        <f>"00315940012"</f>
        <v>00315940012</v>
      </c>
      <c r="C1118" t="s">
        <v>1473</v>
      </c>
      <c r="D1118" t="s">
        <v>622</v>
      </c>
      <c r="E1118">
        <v>48</v>
      </c>
      <c r="F1118">
        <v>724</v>
      </c>
      <c r="G1118" t="s">
        <v>675</v>
      </c>
      <c r="H1118">
        <v>15</v>
      </c>
      <c r="I1118" t="s">
        <v>25</v>
      </c>
      <c r="J1118">
        <v>11</v>
      </c>
      <c r="K1118" t="s">
        <v>25</v>
      </c>
      <c r="L1118">
        <v>8</v>
      </c>
      <c r="M1118">
        <v>73085</v>
      </c>
      <c r="N1118">
        <v>4</v>
      </c>
    </row>
    <row r="1119" spans="1:14" x14ac:dyDescent="0.2">
      <c r="A1119" s="3">
        <f t="shared" si="18"/>
        <v>31631</v>
      </c>
      <c r="B1119" t="str">
        <f>"00316310012"</f>
        <v>00316310012</v>
      </c>
      <c r="C1119" t="s">
        <v>1474</v>
      </c>
      <c r="D1119" t="s">
        <v>622</v>
      </c>
      <c r="E1119">
        <v>48</v>
      </c>
      <c r="F1119">
        <v>724</v>
      </c>
      <c r="G1119" t="s">
        <v>675</v>
      </c>
      <c r="H1119">
        <v>15</v>
      </c>
      <c r="I1119" t="s">
        <v>25</v>
      </c>
      <c r="J1119">
        <v>11</v>
      </c>
      <c r="K1119" t="s">
        <v>25</v>
      </c>
      <c r="L1119">
        <v>8</v>
      </c>
      <c r="M1119">
        <v>73083</v>
      </c>
      <c r="N1119">
        <v>4</v>
      </c>
    </row>
    <row r="1120" spans="1:14" x14ac:dyDescent="0.2">
      <c r="A1120" s="3">
        <f t="shared" si="18"/>
        <v>31716</v>
      </c>
      <c r="B1120" t="str">
        <f>"00317160009"</f>
        <v>00317160009</v>
      </c>
      <c r="C1120" t="s">
        <v>1475</v>
      </c>
      <c r="D1120" t="s">
        <v>324</v>
      </c>
      <c r="E1120">
        <v>20</v>
      </c>
      <c r="F1120">
        <v>8086</v>
      </c>
      <c r="G1120" t="s">
        <v>290</v>
      </c>
      <c r="H1120">
        <v>12</v>
      </c>
      <c r="I1120" t="s">
        <v>25</v>
      </c>
      <c r="J1120">
        <v>9</v>
      </c>
      <c r="K1120" t="s">
        <v>25</v>
      </c>
      <c r="L1120">
        <v>8</v>
      </c>
      <c r="M1120">
        <v>89044</v>
      </c>
      <c r="N1120">
        <v>3</v>
      </c>
    </row>
    <row r="1121" spans="1:14" x14ac:dyDescent="0.2">
      <c r="A1121" s="3">
        <f t="shared" si="18"/>
        <v>31716</v>
      </c>
      <c r="B1121" t="str">
        <f>"00317160009"</f>
        <v>00317160009</v>
      </c>
      <c r="C1121" t="s">
        <v>1475</v>
      </c>
      <c r="D1121" t="s">
        <v>324</v>
      </c>
      <c r="E1121">
        <v>20</v>
      </c>
      <c r="F1121">
        <v>2349</v>
      </c>
      <c r="G1121" t="s">
        <v>326</v>
      </c>
      <c r="H1121">
        <v>12</v>
      </c>
      <c r="I1121" t="s">
        <v>25</v>
      </c>
      <c r="J1121">
        <v>9</v>
      </c>
      <c r="K1121" t="s">
        <v>25</v>
      </c>
      <c r="L1121">
        <v>8</v>
      </c>
      <c r="M1121">
        <v>89044</v>
      </c>
      <c r="N1121">
        <v>3</v>
      </c>
    </row>
    <row r="1122" spans="1:14" x14ac:dyDescent="0.2">
      <c r="A1122" s="3">
        <f t="shared" si="18"/>
        <v>32117</v>
      </c>
      <c r="B1122" t="str">
        <f>"00321170010"</f>
        <v>00321170010</v>
      </c>
      <c r="C1122" t="s">
        <v>1476</v>
      </c>
      <c r="D1122" t="s">
        <v>52</v>
      </c>
      <c r="E1122">
        <v>33</v>
      </c>
      <c r="F1122">
        <v>1281</v>
      </c>
      <c r="G1122" t="s">
        <v>182</v>
      </c>
      <c r="H1122">
        <v>13</v>
      </c>
      <c r="I1122" t="s">
        <v>34</v>
      </c>
      <c r="J1122">
        <v>9</v>
      </c>
      <c r="K1122" t="s">
        <v>34</v>
      </c>
      <c r="L1122">
        <v>9</v>
      </c>
      <c r="M1122">
        <v>85212</v>
      </c>
      <c r="N1122">
        <v>4</v>
      </c>
    </row>
    <row r="1123" spans="1:14" x14ac:dyDescent="0.2">
      <c r="A1123" s="3">
        <f t="shared" si="18"/>
        <v>32409</v>
      </c>
      <c r="B1123" t="str">
        <f>"00324090012"</f>
        <v>00324090012</v>
      </c>
      <c r="C1123" t="s">
        <v>1477</v>
      </c>
      <c r="D1123" t="s">
        <v>421</v>
      </c>
      <c r="E1123">
        <v>52</v>
      </c>
      <c r="F1123">
        <v>1205</v>
      </c>
      <c r="G1123" t="s">
        <v>325</v>
      </c>
      <c r="H1123">
        <v>24</v>
      </c>
      <c r="I1123" t="s">
        <v>25</v>
      </c>
      <c r="J1123">
        <v>20</v>
      </c>
      <c r="K1123" t="s">
        <v>25</v>
      </c>
      <c r="L1123">
        <v>8</v>
      </c>
      <c r="M1123">
        <v>62261</v>
      </c>
      <c r="N1123">
        <v>4</v>
      </c>
    </row>
    <row r="1124" spans="1:14" x14ac:dyDescent="0.2">
      <c r="A1124" s="3">
        <f t="shared" si="18"/>
        <v>32743</v>
      </c>
      <c r="B1124" t="str">
        <f>"00327430012"</f>
        <v>00327430012</v>
      </c>
      <c r="C1124" t="s">
        <v>1478</v>
      </c>
      <c r="D1124" t="s">
        <v>686</v>
      </c>
      <c r="E1124">
        <v>83</v>
      </c>
      <c r="F1124">
        <v>8023</v>
      </c>
      <c r="G1124" t="s">
        <v>1009</v>
      </c>
      <c r="H1124">
        <v>30</v>
      </c>
      <c r="I1124" t="s">
        <v>25</v>
      </c>
      <c r="J1124">
        <v>24</v>
      </c>
      <c r="K1124" t="s">
        <v>25</v>
      </c>
      <c r="L1124">
        <v>8</v>
      </c>
      <c r="M1124">
        <v>67148</v>
      </c>
      <c r="N1124">
        <v>6</v>
      </c>
    </row>
    <row r="1125" spans="1:14" x14ac:dyDescent="0.2">
      <c r="A1125" s="3">
        <f t="shared" si="18"/>
        <v>34316</v>
      </c>
      <c r="B1125" t="str">
        <f>"00343160024"</f>
        <v>00343160024</v>
      </c>
      <c r="C1125" t="s">
        <v>1479</v>
      </c>
      <c r="D1125" t="s">
        <v>216</v>
      </c>
      <c r="E1125">
        <v>71</v>
      </c>
      <c r="F1125">
        <v>1679</v>
      </c>
      <c r="G1125" t="s">
        <v>1480</v>
      </c>
      <c r="H1125">
        <v>10</v>
      </c>
      <c r="I1125" t="s">
        <v>25</v>
      </c>
      <c r="J1125">
        <v>7</v>
      </c>
      <c r="K1125" t="s">
        <v>25</v>
      </c>
      <c r="L1125">
        <v>8</v>
      </c>
      <c r="M1125">
        <v>74225</v>
      </c>
      <c r="N1125">
        <v>3</v>
      </c>
    </row>
    <row r="1126" spans="1:14" x14ac:dyDescent="0.2">
      <c r="A1126" s="3">
        <f t="shared" si="18"/>
        <v>34517</v>
      </c>
      <c r="B1126" t="str">
        <f>"00345170006"</f>
        <v>00345170006</v>
      </c>
      <c r="C1126" t="s">
        <v>1481</v>
      </c>
      <c r="D1126" t="s">
        <v>386</v>
      </c>
      <c r="E1126">
        <v>60</v>
      </c>
      <c r="F1126">
        <v>1429</v>
      </c>
      <c r="G1126" t="s">
        <v>873</v>
      </c>
      <c r="H1126" t="s">
        <v>44</v>
      </c>
      <c r="I1126" t="s">
        <v>45</v>
      </c>
      <c r="J1126" t="s">
        <v>44</v>
      </c>
      <c r="K1126" t="s">
        <v>45</v>
      </c>
      <c r="L1126">
        <v>8</v>
      </c>
      <c r="M1126">
        <v>61252</v>
      </c>
      <c r="N1126" t="s">
        <v>46</v>
      </c>
    </row>
    <row r="1127" spans="1:14" x14ac:dyDescent="0.2">
      <c r="A1127" s="3">
        <f t="shared" si="18"/>
        <v>34591</v>
      </c>
      <c r="B1127" t="str">
        <f>"00345910030"</f>
        <v>00345910030</v>
      </c>
      <c r="C1127" t="s">
        <v>1482</v>
      </c>
      <c r="D1127" t="s">
        <v>543</v>
      </c>
      <c r="E1127">
        <v>84</v>
      </c>
      <c r="F1127">
        <v>3832</v>
      </c>
      <c r="G1127" t="s">
        <v>1087</v>
      </c>
      <c r="H1127" t="s">
        <v>44</v>
      </c>
      <c r="I1127" t="s">
        <v>45</v>
      </c>
      <c r="J1127" t="s">
        <v>44</v>
      </c>
      <c r="K1127" t="s">
        <v>45</v>
      </c>
      <c r="L1127">
        <v>8</v>
      </c>
      <c r="M1127">
        <v>71006</v>
      </c>
      <c r="N1127" t="s">
        <v>46</v>
      </c>
    </row>
    <row r="1128" spans="1:14" x14ac:dyDescent="0.2">
      <c r="A1128" s="3">
        <f t="shared" si="18"/>
        <v>34605</v>
      </c>
      <c r="B1128" t="str">
        <f>"00346050001"</f>
        <v>00346050001</v>
      </c>
      <c r="C1128" t="s">
        <v>1483</v>
      </c>
      <c r="D1128" t="s">
        <v>686</v>
      </c>
      <c r="E1128">
        <v>84</v>
      </c>
      <c r="F1128">
        <v>633</v>
      </c>
      <c r="G1128" t="s">
        <v>1107</v>
      </c>
      <c r="H1128" t="s">
        <v>44</v>
      </c>
      <c r="I1128" t="s">
        <v>45</v>
      </c>
      <c r="J1128" t="s">
        <v>44</v>
      </c>
      <c r="K1128" t="s">
        <v>45</v>
      </c>
      <c r="L1128">
        <v>8</v>
      </c>
      <c r="M1128">
        <v>95010</v>
      </c>
      <c r="N1128" t="s">
        <v>46</v>
      </c>
    </row>
    <row r="1129" spans="1:14" x14ac:dyDescent="0.2">
      <c r="A1129" s="3">
        <f t="shared" si="18"/>
        <v>36085</v>
      </c>
      <c r="B1129" t="str">
        <f>"00360850018"</f>
        <v>00360850018</v>
      </c>
      <c r="C1129" t="s">
        <v>1484</v>
      </c>
      <c r="D1129" t="s">
        <v>42</v>
      </c>
      <c r="E1129">
        <v>44</v>
      </c>
      <c r="F1129">
        <v>6916</v>
      </c>
      <c r="G1129" t="s">
        <v>60</v>
      </c>
      <c r="H1129">
        <v>18</v>
      </c>
      <c r="I1129" t="s">
        <v>25</v>
      </c>
      <c r="J1129">
        <v>14</v>
      </c>
      <c r="K1129" t="s">
        <v>25</v>
      </c>
      <c r="L1129">
        <v>8</v>
      </c>
      <c r="M1129">
        <v>66045</v>
      </c>
      <c r="N1129">
        <v>4</v>
      </c>
    </row>
    <row r="1130" spans="1:14" x14ac:dyDescent="0.2">
      <c r="A1130" s="3">
        <f t="shared" si="18"/>
        <v>36087</v>
      </c>
      <c r="B1130" t="str">
        <f>"00360870018"</f>
        <v>00360870018</v>
      </c>
      <c r="C1130" t="s">
        <v>1485</v>
      </c>
      <c r="D1130" t="s">
        <v>42</v>
      </c>
      <c r="E1130">
        <v>44</v>
      </c>
      <c r="F1130">
        <v>6916</v>
      </c>
      <c r="G1130" t="s">
        <v>60</v>
      </c>
      <c r="H1130">
        <v>18</v>
      </c>
      <c r="I1130" t="s">
        <v>25</v>
      </c>
      <c r="J1130">
        <v>14</v>
      </c>
      <c r="K1130" t="s">
        <v>25</v>
      </c>
      <c r="L1130">
        <v>8</v>
      </c>
      <c r="M1130">
        <v>66061</v>
      </c>
      <c r="N1130">
        <v>4</v>
      </c>
    </row>
    <row r="1131" spans="1:14" x14ac:dyDescent="0.2">
      <c r="A1131" s="3">
        <f t="shared" si="18"/>
        <v>36088</v>
      </c>
      <c r="B1131" t="str">
        <f>"00360880018"</f>
        <v>00360880018</v>
      </c>
      <c r="C1131" t="s">
        <v>1486</v>
      </c>
      <c r="D1131" t="s">
        <v>42</v>
      </c>
      <c r="E1131">
        <v>44</v>
      </c>
      <c r="F1131">
        <v>6916</v>
      </c>
      <c r="G1131" t="s">
        <v>60</v>
      </c>
      <c r="H1131">
        <v>18</v>
      </c>
      <c r="I1131" t="s">
        <v>25</v>
      </c>
      <c r="J1131">
        <v>14</v>
      </c>
      <c r="K1131" t="s">
        <v>25</v>
      </c>
      <c r="L1131">
        <v>8</v>
      </c>
      <c r="M1131">
        <v>66058</v>
      </c>
      <c r="N1131">
        <v>4</v>
      </c>
    </row>
    <row r="1132" spans="1:14" x14ac:dyDescent="0.2">
      <c r="A1132" s="3">
        <f t="shared" si="18"/>
        <v>36468</v>
      </c>
      <c r="B1132" t="str">
        <f>"00364680018"</f>
        <v>00364680018</v>
      </c>
      <c r="C1132" t="s">
        <v>1487</v>
      </c>
      <c r="D1132" t="s">
        <v>543</v>
      </c>
      <c r="E1132">
        <v>49</v>
      </c>
      <c r="F1132">
        <v>4376</v>
      </c>
      <c r="G1132" t="s">
        <v>1488</v>
      </c>
      <c r="H1132">
        <v>8</v>
      </c>
      <c r="I1132" t="s">
        <v>25</v>
      </c>
      <c r="J1132">
        <v>6</v>
      </c>
      <c r="K1132" t="s">
        <v>25</v>
      </c>
      <c r="L1132">
        <v>8</v>
      </c>
      <c r="M1132">
        <v>66016</v>
      </c>
      <c r="N1132">
        <v>2</v>
      </c>
    </row>
    <row r="1133" spans="1:14" x14ac:dyDescent="0.2">
      <c r="A1133" s="3">
        <f t="shared" si="18"/>
        <v>36474</v>
      </c>
      <c r="B1133" t="str">
        <f>"00364740018"</f>
        <v>00364740018</v>
      </c>
      <c r="C1133" t="s">
        <v>1489</v>
      </c>
      <c r="D1133" t="s">
        <v>543</v>
      </c>
      <c r="E1133">
        <v>49</v>
      </c>
      <c r="F1133">
        <v>4376</v>
      </c>
      <c r="G1133" t="s">
        <v>1488</v>
      </c>
      <c r="H1133">
        <v>8</v>
      </c>
      <c r="I1133" t="s">
        <v>25</v>
      </c>
      <c r="J1133">
        <v>6</v>
      </c>
      <c r="K1133" t="s">
        <v>25</v>
      </c>
      <c r="L1133">
        <v>8</v>
      </c>
      <c r="M1133">
        <v>66021</v>
      </c>
      <c r="N1133">
        <v>2</v>
      </c>
    </row>
    <row r="1134" spans="1:14" x14ac:dyDescent="0.2">
      <c r="A1134" s="3">
        <f t="shared" si="18"/>
        <v>36476</v>
      </c>
      <c r="B1134" t="str">
        <f>"00364760001"</f>
        <v>00364760001</v>
      </c>
      <c r="C1134" t="s">
        <v>1490</v>
      </c>
      <c r="D1134" t="s">
        <v>115</v>
      </c>
      <c r="E1134">
        <v>81</v>
      </c>
      <c r="F1134">
        <v>1339</v>
      </c>
      <c r="G1134" t="s">
        <v>1491</v>
      </c>
      <c r="H1134" t="s">
        <v>44</v>
      </c>
      <c r="I1134" t="s">
        <v>45</v>
      </c>
      <c r="J1134" t="s">
        <v>44</v>
      </c>
      <c r="K1134" t="s">
        <v>45</v>
      </c>
      <c r="L1134">
        <v>8</v>
      </c>
      <c r="M1134">
        <v>95420</v>
      </c>
      <c r="N1134" t="s">
        <v>46</v>
      </c>
    </row>
    <row r="1135" spans="1:14" x14ac:dyDescent="0.2">
      <c r="A1135" s="3">
        <f t="shared" si="18"/>
        <v>37270</v>
      </c>
      <c r="B1135" t="str">
        <f>"00372700010"</f>
        <v>00372700010</v>
      </c>
      <c r="C1135" t="s">
        <v>1492</v>
      </c>
      <c r="D1135" t="s">
        <v>23</v>
      </c>
      <c r="E1135">
        <v>47</v>
      </c>
      <c r="F1135">
        <v>4616</v>
      </c>
      <c r="G1135" t="s">
        <v>449</v>
      </c>
      <c r="H1135">
        <v>20</v>
      </c>
      <c r="I1135" t="s">
        <v>25</v>
      </c>
      <c r="J1135">
        <v>16</v>
      </c>
      <c r="K1135" t="s">
        <v>25</v>
      </c>
      <c r="L1135">
        <v>8</v>
      </c>
      <c r="M1135">
        <v>67094</v>
      </c>
      <c r="N1135">
        <v>4</v>
      </c>
    </row>
    <row r="1136" spans="1:14" x14ac:dyDescent="0.2">
      <c r="A1136" s="3">
        <f t="shared" si="18"/>
        <v>37386</v>
      </c>
      <c r="B1136" t="str">
        <f>"00373860006"</f>
        <v>00373860006</v>
      </c>
      <c r="C1136" t="s">
        <v>1493</v>
      </c>
      <c r="D1136" t="s">
        <v>23</v>
      </c>
      <c r="E1136">
        <v>62</v>
      </c>
      <c r="F1136">
        <v>1429</v>
      </c>
      <c r="G1136" t="s">
        <v>873</v>
      </c>
      <c r="H1136">
        <v>150</v>
      </c>
      <c r="I1136" t="s">
        <v>34</v>
      </c>
      <c r="J1136">
        <v>118</v>
      </c>
      <c r="K1136" t="s">
        <v>34</v>
      </c>
      <c r="L1136">
        <v>8</v>
      </c>
      <c r="M1136">
        <v>71215</v>
      </c>
      <c r="N1136">
        <v>32</v>
      </c>
    </row>
    <row r="1137" spans="1:14" x14ac:dyDescent="0.2">
      <c r="A1137" s="3">
        <f t="shared" si="18"/>
        <v>38264</v>
      </c>
      <c r="B1137" t="str">
        <f>"00382640012"</f>
        <v>00382640012</v>
      </c>
      <c r="C1137" t="s">
        <v>1494</v>
      </c>
      <c r="D1137" t="s">
        <v>686</v>
      </c>
      <c r="E1137">
        <v>47</v>
      </c>
      <c r="F1137">
        <v>1417</v>
      </c>
      <c r="G1137" t="s">
        <v>687</v>
      </c>
      <c r="H1137">
        <v>9</v>
      </c>
      <c r="I1137" t="s">
        <v>25</v>
      </c>
      <c r="J1137">
        <v>7</v>
      </c>
      <c r="K1137" t="s">
        <v>25</v>
      </c>
      <c r="L1137">
        <v>8</v>
      </c>
      <c r="M1137">
        <v>76098</v>
      </c>
      <c r="N1137">
        <v>2</v>
      </c>
    </row>
    <row r="1138" spans="1:14" x14ac:dyDescent="0.2">
      <c r="A1138" s="3">
        <f t="shared" si="18"/>
        <v>38491</v>
      </c>
      <c r="B1138" t="str">
        <f>"00384910100"</f>
        <v>00384910100</v>
      </c>
      <c r="C1138" t="s">
        <v>1495</v>
      </c>
      <c r="D1138" t="s">
        <v>543</v>
      </c>
      <c r="E1138">
        <v>81</v>
      </c>
      <c r="F1138">
        <v>5052</v>
      </c>
      <c r="G1138" t="s">
        <v>1496</v>
      </c>
      <c r="H1138">
        <v>12</v>
      </c>
      <c r="I1138" t="s">
        <v>25</v>
      </c>
      <c r="J1138">
        <v>9</v>
      </c>
      <c r="K1138" t="s">
        <v>25</v>
      </c>
      <c r="L1138">
        <v>8</v>
      </c>
      <c r="M1138">
        <v>69100</v>
      </c>
      <c r="N1138">
        <v>3</v>
      </c>
    </row>
    <row r="1139" spans="1:14" x14ac:dyDescent="0.2">
      <c r="A1139" s="3">
        <f t="shared" si="18"/>
        <v>38640</v>
      </c>
      <c r="B1139" t="str">
        <f>"00386400004"</f>
        <v>00386400004</v>
      </c>
      <c r="C1139" t="s">
        <v>1497</v>
      </c>
      <c r="D1139" t="s">
        <v>421</v>
      </c>
      <c r="E1139">
        <v>52</v>
      </c>
      <c r="F1139">
        <v>1205</v>
      </c>
      <c r="G1139" t="s">
        <v>325</v>
      </c>
      <c r="H1139">
        <v>24</v>
      </c>
      <c r="I1139" t="s">
        <v>25</v>
      </c>
      <c r="J1139">
        <v>20</v>
      </c>
      <c r="K1139" t="s">
        <v>25</v>
      </c>
      <c r="L1139">
        <v>8</v>
      </c>
      <c r="M1139">
        <v>62270</v>
      </c>
      <c r="N1139">
        <v>4</v>
      </c>
    </row>
    <row r="1140" spans="1:14" x14ac:dyDescent="0.2">
      <c r="A1140" s="3">
        <f t="shared" si="18"/>
        <v>38640</v>
      </c>
      <c r="B1140" t="str">
        <f>"00386400004"</f>
        <v>00386400004</v>
      </c>
      <c r="C1140" t="s">
        <v>1497</v>
      </c>
      <c r="D1140" t="s">
        <v>421</v>
      </c>
      <c r="E1140">
        <v>52</v>
      </c>
      <c r="F1140">
        <v>3253</v>
      </c>
      <c r="G1140" t="s">
        <v>511</v>
      </c>
      <c r="H1140">
        <v>24</v>
      </c>
      <c r="I1140" t="s">
        <v>25</v>
      </c>
      <c r="J1140">
        <v>20</v>
      </c>
      <c r="K1140" t="s">
        <v>25</v>
      </c>
      <c r="L1140">
        <v>8</v>
      </c>
      <c r="M1140">
        <v>62270</v>
      </c>
      <c r="N1140">
        <v>4</v>
      </c>
    </row>
    <row r="1141" spans="1:14" x14ac:dyDescent="0.2">
      <c r="A1141" s="3">
        <f t="shared" si="18"/>
        <v>38798</v>
      </c>
      <c r="B1141" t="str">
        <f>"00387980012"</f>
        <v>00387980012</v>
      </c>
      <c r="C1141" t="s">
        <v>1498</v>
      </c>
      <c r="D1141" t="s">
        <v>70</v>
      </c>
      <c r="E1141">
        <v>31</v>
      </c>
      <c r="F1141">
        <v>3717</v>
      </c>
      <c r="G1141" t="s">
        <v>1414</v>
      </c>
      <c r="H1141">
        <v>25</v>
      </c>
      <c r="I1141" t="s">
        <v>34</v>
      </c>
      <c r="J1141">
        <v>18</v>
      </c>
      <c r="K1141" t="s">
        <v>34</v>
      </c>
      <c r="L1141">
        <v>8</v>
      </c>
      <c r="M1141">
        <v>84234</v>
      </c>
      <c r="N1141">
        <v>7</v>
      </c>
    </row>
    <row r="1142" spans="1:14" x14ac:dyDescent="0.2">
      <c r="A1142" s="3">
        <f t="shared" si="18"/>
        <v>38885</v>
      </c>
      <c r="B1142" t="str">
        <f>"00388850024"</f>
        <v>00388850024</v>
      </c>
      <c r="C1142" t="s">
        <v>1499</v>
      </c>
      <c r="D1142" t="s">
        <v>543</v>
      </c>
      <c r="E1142">
        <v>85</v>
      </c>
      <c r="F1142">
        <v>3277</v>
      </c>
      <c r="G1142" t="s">
        <v>1500</v>
      </c>
      <c r="H1142" t="s">
        <v>44</v>
      </c>
      <c r="I1142" t="s">
        <v>45</v>
      </c>
      <c r="J1142" t="s">
        <v>44</v>
      </c>
      <c r="K1142" t="s">
        <v>45</v>
      </c>
      <c r="L1142">
        <v>8</v>
      </c>
      <c r="M1142">
        <v>69061</v>
      </c>
      <c r="N1142" t="s">
        <v>46</v>
      </c>
    </row>
    <row r="1143" spans="1:14" x14ac:dyDescent="0.2">
      <c r="A1143" s="3">
        <f t="shared" si="18"/>
        <v>39060</v>
      </c>
      <c r="B1143" t="str">
        <f>"00390600024"</f>
        <v>00390600024</v>
      </c>
      <c r="C1143" t="s">
        <v>1501</v>
      </c>
      <c r="D1143" t="s">
        <v>70</v>
      </c>
      <c r="E1143">
        <v>32</v>
      </c>
      <c r="F1143">
        <v>1275</v>
      </c>
      <c r="G1143" t="s">
        <v>1502</v>
      </c>
      <c r="H1143">
        <v>60</v>
      </c>
      <c r="I1143" t="s">
        <v>34</v>
      </c>
      <c r="J1143">
        <v>44</v>
      </c>
      <c r="K1143" t="s">
        <v>34</v>
      </c>
      <c r="L1143">
        <v>8</v>
      </c>
      <c r="M1143">
        <v>82058</v>
      </c>
      <c r="N1143">
        <v>16</v>
      </c>
    </row>
    <row r="1144" spans="1:14" x14ac:dyDescent="0.2">
      <c r="A1144" s="3">
        <f t="shared" si="18"/>
        <v>39124</v>
      </c>
      <c r="B1144" t="str">
        <f>"00391240012"</f>
        <v>00391240012</v>
      </c>
      <c r="C1144" t="s">
        <v>1503</v>
      </c>
      <c r="D1144" t="s">
        <v>543</v>
      </c>
      <c r="E1144">
        <v>44</v>
      </c>
      <c r="F1144">
        <v>259</v>
      </c>
      <c r="G1144" t="s">
        <v>1504</v>
      </c>
      <c r="H1144">
        <v>15</v>
      </c>
      <c r="I1144" t="s">
        <v>25</v>
      </c>
      <c r="J1144">
        <v>11</v>
      </c>
      <c r="K1144" t="s">
        <v>25</v>
      </c>
      <c r="L1144">
        <v>8</v>
      </c>
      <c r="M1144">
        <v>72149</v>
      </c>
      <c r="N1144">
        <v>4</v>
      </c>
    </row>
    <row r="1145" spans="1:14" x14ac:dyDescent="0.2">
      <c r="A1145" s="3">
        <f t="shared" si="18"/>
        <v>39172</v>
      </c>
      <c r="B1145" t="str">
        <f>"00391720001"</f>
        <v>00391720001</v>
      </c>
      <c r="C1145" t="s">
        <v>1505</v>
      </c>
      <c r="D1145" t="s">
        <v>115</v>
      </c>
      <c r="E1145">
        <v>81</v>
      </c>
      <c r="F1145">
        <v>3404</v>
      </c>
      <c r="G1145" t="s">
        <v>1506</v>
      </c>
      <c r="H1145" t="s">
        <v>44</v>
      </c>
      <c r="I1145" t="s">
        <v>45</v>
      </c>
      <c r="J1145" t="s">
        <v>44</v>
      </c>
      <c r="K1145" t="s">
        <v>45</v>
      </c>
      <c r="L1145">
        <v>8</v>
      </c>
      <c r="M1145">
        <v>95159</v>
      </c>
      <c r="N1145" t="s">
        <v>46</v>
      </c>
    </row>
    <row r="1146" spans="1:14" x14ac:dyDescent="0.2">
      <c r="A1146" s="3">
        <f t="shared" si="18"/>
        <v>39172</v>
      </c>
      <c r="B1146" t="str">
        <f>"00391720050"</f>
        <v>00391720050</v>
      </c>
      <c r="C1146" t="s">
        <v>1505</v>
      </c>
      <c r="D1146" t="s">
        <v>52</v>
      </c>
      <c r="E1146">
        <v>81</v>
      </c>
      <c r="F1146">
        <v>3404</v>
      </c>
      <c r="G1146" t="s">
        <v>1506</v>
      </c>
      <c r="H1146" t="s">
        <v>44</v>
      </c>
      <c r="I1146" t="s">
        <v>45</v>
      </c>
      <c r="J1146" t="s">
        <v>44</v>
      </c>
      <c r="K1146" t="s">
        <v>45</v>
      </c>
      <c r="L1146">
        <v>5</v>
      </c>
      <c r="M1146" t="s">
        <v>65</v>
      </c>
      <c r="N1146" t="s">
        <v>46</v>
      </c>
    </row>
    <row r="1147" spans="1:14" x14ac:dyDescent="0.2">
      <c r="A1147" s="3">
        <f t="shared" si="18"/>
        <v>39285</v>
      </c>
      <c r="B1147" t="str">
        <f>"00392850028"</f>
        <v>00392850028</v>
      </c>
      <c r="C1147" t="s">
        <v>1507</v>
      </c>
      <c r="D1147" t="s">
        <v>52</v>
      </c>
      <c r="E1147">
        <v>83</v>
      </c>
      <c r="F1147">
        <v>2523</v>
      </c>
      <c r="G1147" t="s">
        <v>1508</v>
      </c>
      <c r="H1147">
        <v>40</v>
      </c>
      <c r="I1147" t="s">
        <v>25</v>
      </c>
      <c r="J1147">
        <v>34</v>
      </c>
      <c r="K1147" t="s">
        <v>25</v>
      </c>
      <c r="L1147">
        <v>5</v>
      </c>
      <c r="M1147" t="s">
        <v>65</v>
      </c>
      <c r="N1147">
        <v>6</v>
      </c>
    </row>
    <row r="1148" spans="1:14" x14ac:dyDescent="0.2">
      <c r="A1148" s="3">
        <f t="shared" si="18"/>
        <v>39644</v>
      </c>
      <c r="B1148" t="str">
        <f>"00396440001"</f>
        <v>00396440001</v>
      </c>
      <c r="C1148" t="s">
        <v>1509</v>
      </c>
      <c r="D1148" t="s">
        <v>52</v>
      </c>
      <c r="E1148">
        <v>70</v>
      </c>
      <c r="F1148">
        <v>1890</v>
      </c>
      <c r="G1148" t="s">
        <v>1410</v>
      </c>
      <c r="H1148">
        <v>90</v>
      </c>
      <c r="I1148" t="s">
        <v>34</v>
      </c>
      <c r="J1148">
        <v>69</v>
      </c>
      <c r="K1148" t="s">
        <v>34</v>
      </c>
      <c r="L1148">
        <v>6</v>
      </c>
      <c r="M1148">
        <v>52607</v>
      </c>
      <c r="N1148">
        <v>21</v>
      </c>
    </row>
    <row r="1149" spans="1:14" x14ac:dyDescent="0.2">
      <c r="A1149" s="3">
        <f t="shared" si="18"/>
        <v>39783</v>
      </c>
      <c r="B1149" t="str">
        <f>"00397830020"</f>
        <v>00397830020</v>
      </c>
      <c r="C1149" t="s">
        <v>1510</v>
      </c>
      <c r="D1149" t="s">
        <v>543</v>
      </c>
      <c r="E1149">
        <v>47</v>
      </c>
      <c r="F1149">
        <v>135</v>
      </c>
      <c r="G1149" t="s">
        <v>1511</v>
      </c>
      <c r="H1149">
        <v>13</v>
      </c>
      <c r="I1149" t="s">
        <v>25</v>
      </c>
      <c r="J1149">
        <v>10</v>
      </c>
      <c r="K1149" t="s">
        <v>25</v>
      </c>
      <c r="L1149">
        <v>8</v>
      </c>
      <c r="M1149">
        <v>66085</v>
      </c>
      <c r="N1149">
        <v>3</v>
      </c>
    </row>
    <row r="1150" spans="1:14" x14ac:dyDescent="0.2">
      <c r="A1150" s="3">
        <f t="shared" si="18"/>
        <v>39786</v>
      </c>
      <c r="B1150" t="str">
        <f>"00397860030"</f>
        <v>00397860030</v>
      </c>
      <c r="C1150" t="s">
        <v>1512</v>
      </c>
      <c r="D1150" t="s">
        <v>70</v>
      </c>
      <c r="E1150">
        <v>32</v>
      </c>
      <c r="F1150">
        <v>199</v>
      </c>
      <c r="G1150" t="s">
        <v>1513</v>
      </c>
      <c r="H1150">
        <v>49</v>
      </c>
      <c r="I1150" t="s">
        <v>34</v>
      </c>
      <c r="J1150">
        <v>36</v>
      </c>
      <c r="K1150" t="s">
        <v>34</v>
      </c>
      <c r="L1150">
        <v>8</v>
      </c>
      <c r="M1150">
        <v>81179</v>
      </c>
      <c r="N1150">
        <v>11</v>
      </c>
    </row>
    <row r="1151" spans="1:14" x14ac:dyDescent="0.2">
      <c r="A1151" s="3">
        <f t="shared" si="18"/>
        <v>39930</v>
      </c>
      <c r="B1151" t="str">
        <f>"00399300010"</f>
        <v>00399300010</v>
      </c>
      <c r="C1151" t="s">
        <v>1514</v>
      </c>
      <c r="D1151" t="s">
        <v>418</v>
      </c>
      <c r="E1151">
        <v>47</v>
      </c>
      <c r="F1151">
        <v>591</v>
      </c>
      <c r="G1151" t="s">
        <v>460</v>
      </c>
      <c r="H1151">
        <v>18</v>
      </c>
      <c r="I1151" t="s">
        <v>25</v>
      </c>
      <c r="J1151">
        <v>14</v>
      </c>
      <c r="K1151" t="s">
        <v>25</v>
      </c>
      <c r="L1151">
        <v>8</v>
      </c>
      <c r="M1151">
        <v>72109</v>
      </c>
      <c r="N1151">
        <v>4</v>
      </c>
    </row>
    <row r="1152" spans="1:14" x14ac:dyDescent="0.2">
      <c r="A1152" s="3">
        <f t="shared" si="18"/>
        <v>40225</v>
      </c>
      <c r="B1152" t="str">
        <f>"00402250006"</f>
        <v>00402250006</v>
      </c>
      <c r="C1152" t="s">
        <v>1515</v>
      </c>
      <c r="D1152" t="s">
        <v>42</v>
      </c>
      <c r="E1152">
        <v>62</v>
      </c>
      <c r="F1152">
        <v>747</v>
      </c>
      <c r="G1152" t="s">
        <v>867</v>
      </c>
      <c r="H1152">
        <v>24</v>
      </c>
      <c r="I1152" t="s">
        <v>25</v>
      </c>
      <c r="J1152">
        <v>20</v>
      </c>
      <c r="K1152" t="s">
        <v>25</v>
      </c>
      <c r="L1152">
        <v>8</v>
      </c>
      <c r="M1152">
        <v>71047</v>
      </c>
      <c r="N1152">
        <v>4</v>
      </c>
    </row>
    <row r="1153" spans="1:14" x14ac:dyDescent="0.2">
      <c r="A1153" s="3">
        <f t="shared" si="18"/>
        <v>42917</v>
      </c>
      <c r="B1153" t="str">
        <f>"00429170008"</f>
        <v>00429170008</v>
      </c>
      <c r="C1153" t="s">
        <v>1516</v>
      </c>
      <c r="D1153" t="s">
        <v>52</v>
      </c>
      <c r="E1153">
        <v>70</v>
      </c>
      <c r="F1153">
        <v>4953</v>
      </c>
      <c r="G1153" t="s">
        <v>602</v>
      </c>
      <c r="H1153">
        <v>120</v>
      </c>
      <c r="I1153" t="s">
        <v>34</v>
      </c>
      <c r="J1153">
        <v>88</v>
      </c>
      <c r="K1153" t="s">
        <v>34</v>
      </c>
      <c r="L1153">
        <v>6</v>
      </c>
      <c r="M1153">
        <v>2625</v>
      </c>
      <c r="N1153">
        <v>32</v>
      </c>
    </row>
    <row r="1154" spans="1:14" x14ac:dyDescent="0.2">
      <c r="A1154" s="3">
        <f t="shared" si="18"/>
        <v>44026</v>
      </c>
      <c r="B1154" t="str">
        <f>"00440260012"</f>
        <v>00440260012</v>
      </c>
      <c r="C1154" t="s">
        <v>1517</v>
      </c>
      <c r="D1154" t="s">
        <v>421</v>
      </c>
      <c r="E1154">
        <v>52</v>
      </c>
      <c r="F1154">
        <v>1205</v>
      </c>
      <c r="G1154" t="s">
        <v>325</v>
      </c>
      <c r="H1154">
        <v>24</v>
      </c>
      <c r="I1154" t="s">
        <v>25</v>
      </c>
      <c r="J1154">
        <v>20</v>
      </c>
      <c r="K1154" t="s">
        <v>25</v>
      </c>
      <c r="L1154">
        <v>8</v>
      </c>
      <c r="M1154">
        <v>62248</v>
      </c>
      <c r="N1154">
        <v>4</v>
      </c>
    </row>
    <row r="1155" spans="1:14" x14ac:dyDescent="0.2">
      <c r="A1155" s="3">
        <f t="shared" si="18"/>
        <v>44976</v>
      </c>
      <c r="B1155" t="str">
        <f>"00449760006"</f>
        <v>00449760006</v>
      </c>
      <c r="C1155" t="s">
        <v>1518</v>
      </c>
      <c r="D1155" t="s">
        <v>386</v>
      </c>
      <c r="E1155">
        <v>60</v>
      </c>
      <c r="F1155">
        <v>3767</v>
      </c>
      <c r="G1155" t="s">
        <v>917</v>
      </c>
      <c r="H1155" t="s">
        <v>44</v>
      </c>
      <c r="I1155" t="s">
        <v>45</v>
      </c>
      <c r="J1155" t="s">
        <v>44</v>
      </c>
      <c r="K1155" t="s">
        <v>45</v>
      </c>
      <c r="L1155">
        <v>8</v>
      </c>
      <c r="M1155">
        <v>61085</v>
      </c>
      <c r="N1155" t="s">
        <v>46</v>
      </c>
    </row>
    <row r="1156" spans="1:14" x14ac:dyDescent="0.2">
      <c r="A1156" s="3">
        <f t="shared" ref="A1156:A1219" si="19">(B1156-RIGHT(B1156,4))/10000</f>
        <v>45025</v>
      </c>
      <c r="B1156" t="str">
        <f>"00450250016"</f>
        <v>00450250016</v>
      </c>
      <c r="C1156" t="s">
        <v>1519</v>
      </c>
      <c r="D1156" t="s">
        <v>543</v>
      </c>
      <c r="E1156">
        <v>46</v>
      </c>
      <c r="F1156">
        <v>961</v>
      </c>
      <c r="G1156" t="s">
        <v>1520</v>
      </c>
      <c r="H1156">
        <v>18</v>
      </c>
      <c r="I1156" t="s">
        <v>25</v>
      </c>
      <c r="J1156">
        <v>14</v>
      </c>
      <c r="K1156" t="s">
        <v>25</v>
      </c>
      <c r="L1156">
        <v>8</v>
      </c>
      <c r="M1156">
        <v>73243</v>
      </c>
      <c r="N1156">
        <v>4</v>
      </c>
    </row>
    <row r="1157" spans="1:14" x14ac:dyDescent="0.2">
      <c r="A1157" s="3">
        <f t="shared" si="19"/>
        <v>45049</v>
      </c>
      <c r="B1157" t="str">
        <f>"00450490020"</f>
        <v>00450490020</v>
      </c>
      <c r="C1157" t="s">
        <v>1521</v>
      </c>
      <c r="D1157" t="s">
        <v>52</v>
      </c>
      <c r="E1157">
        <v>13</v>
      </c>
      <c r="F1157">
        <v>1351</v>
      </c>
      <c r="G1157" t="s">
        <v>293</v>
      </c>
      <c r="H1157" t="s">
        <v>44</v>
      </c>
      <c r="I1157" t="s">
        <v>45</v>
      </c>
      <c r="J1157" t="s">
        <v>44</v>
      </c>
      <c r="K1157" t="s">
        <v>45</v>
      </c>
      <c r="L1157">
        <v>5</v>
      </c>
      <c r="M1157" t="s">
        <v>65</v>
      </c>
      <c r="N1157" t="s">
        <v>46</v>
      </c>
    </row>
    <row r="1158" spans="1:14" x14ac:dyDescent="0.2">
      <c r="A1158" s="3">
        <f t="shared" si="19"/>
        <v>45112</v>
      </c>
      <c r="B1158" t="str">
        <f>"00451120006"</f>
        <v>00451120006</v>
      </c>
      <c r="C1158" t="s">
        <v>1522</v>
      </c>
      <c r="D1158" t="s">
        <v>386</v>
      </c>
      <c r="E1158">
        <v>60</v>
      </c>
      <c r="F1158">
        <v>2230</v>
      </c>
      <c r="G1158" t="s">
        <v>1523</v>
      </c>
      <c r="H1158" t="s">
        <v>44</v>
      </c>
      <c r="I1158" t="s">
        <v>45</v>
      </c>
      <c r="J1158" t="s">
        <v>44</v>
      </c>
      <c r="K1158" t="s">
        <v>45</v>
      </c>
      <c r="L1158">
        <v>8</v>
      </c>
      <c r="M1158">
        <v>61201</v>
      </c>
      <c r="N1158" t="s">
        <v>46</v>
      </c>
    </row>
    <row r="1159" spans="1:14" x14ac:dyDescent="0.2">
      <c r="A1159" s="3">
        <f t="shared" si="19"/>
        <v>45336</v>
      </c>
      <c r="B1159" t="str">
        <f>"00453360012"</f>
        <v>00453360012</v>
      </c>
      <c r="C1159" t="s">
        <v>1524</v>
      </c>
      <c r="D1159" t="s">
        <v>421</v>
      </c>
      <c r="E1159">
        <v>52</v>
      </c>
      <c r="F1159">
        <v>8025</v>
      </c>
      <c r="G1159" t="s">
        <v>509</v>
      </c>
      <c r="H1159">
        <v>24</v>
      </c>
      <c r="I1159" t="s">
        <v>25</v>
      </c>
      <c r="J1159">
        <v>20</v>
      </c>
      <c r="K1159" t="s">
        <v>25</v>
      </c>
      <c r="L1159">
        <v>8</v>
      </c>
      <c r="M1159">
        <v>62236</v>
      </c>
      <c r="N1159">
        <v>4</v>
      </c>
    </row>
    <row r="1160" spans="1:14" x14ac:dyDescent="0.2">
      <c r="A1160" s="3">
        <f t="shared" si="19"/>
        <v>45336</v>
      </c>
      <c r="B1160" t="str">
        <f>"00453360012"</f>
        <v>00453360012</v>
      </c>
      <c r="C1160" t="s">
        <v>1524</v>
      </c>
      <c r="D1160" t="s">
        <v>421</v>
      </c>
      <c r="E1160">
        <v>52</v>
      </c>
      <c r="F1160">
        <v>1504</v>
      </c>
      <c r="G1160" t="s">
        <v>510</v>
      </c>
      <c r="H1160">
        <v>24</v>
      </c>
      <c r="I1160" t="s">
        <v>25</v>
      </c>
      <c r="J1160">
        <v>20</v>
      </c>
      <c r="K1160" t="s">
        <v>25</v>
      </c>
      <c r="L1160">
        <v>8</v>
      </c>
      <c r="M1160">
        <v>62236</v>
      </c>
      <c r="N1160">
        <v>4</v>
      </c>
    </row>
    <row r="1161" spans="1:14" x14ac:dyDescent="0.2">
      <c r="A1161" s="3">
        <f t="shared" si="19"/>
        <v>45338</v>
      </c>
      <c r="B1161" t="str">
        <f>"00453380008"</f>
        <v>00453380008</v>
      </c>
      <c r="C1161" t="s">
        <v>1525</v>
      </c>
      <c r="D1161" t="s">
        <v>421</v>
      </c>
      <c r="E1161">
        <v>52</v>
      </c>
      <c r="F1161">
        <v>5942</v>
      </c>
      <c r="G1161" t="s">
        <v>507</v>
      </c>
      <c r="H1161">
        <v>24</v>
      </c>
      <c r="I1161" t="s">
        <v>25</v>
      </c>
      <c r="J1161">
        <v>20</v>
      </c>
      <c r="K1161" t="s">
        <v>25</v>
      </c>
      <c r="L1161">
        <v>8</v>
      </c>
      <c r="M1161">
        <v>62267</v>
      </c>
      <c r="N1161">
        <v>4</v>
      </c>
    </row>
    <row r="1162" spans="1:14" x14ac:dyDescent="0.2">
      <c r="A1162" s="3">
        <f t="shared" si="19"/>
        <v>45338</v>
      </c>
      <c r="B1162" t="str">
        <f>"00453380008"</f>
        <v>00453380008</v>
      </c>
      <c r="C1162" t="s">
        <v>1525</v>
      </c>
      <c r="D1162" t="s">
        <v>421</v>
      </c>
      <c r="E1162">
        <v>52</v>
      </c>
      <c r="F1162">
        <v>1504</v>
      </c>
      <c r="G1162" t="s">
        <v>510</v>
      </c>
      <c r="H1162">
        <v>24</v>
      </c>
      <c r="I1162" t="s">
        <v>25</v>
      </c>
      <c r="J1162">
        <v>20</v>
      </c>
      <c r="K1162" t="s">
        <v>25</v>
      </c>
      <c r="L1162">
        <v>8</v>
      </c>
      <c r="M1162">
        <v>62267</v>
      </c>
      <c r="N1162">
        <v>4</v>
      </c>
    </row>
    <row r="1163" spans="1:14" x14ac:dyDescent="0.2">
      <c r="A1163" s="3">
        <f t="shared" si="19"/>
        <v>45338</v>
      </c>
      <c r="B1163" t="str">
        <f>"00453380008"</f>
        <v>00453380008</v>
      </c>
      <c r="C1163" t="s">
        <v>1525</v>
      </c>
      <c r="D1163" t="s">
        <v>421</v>
      </c>
      <c r="E1163">
        <v>52</v>
      </c>
      <c r="F1163">
        <v>3253</v>
      </c>
      <c r="G1163" t="s">
        <v>511</v>
      </c>
      <c r="H1163">
        <v>24</v>
      </c>
      <c r="I1163" t="s">
        <v>25</v>
      </c>
      <c r="J1163">
        <v>20</v>
      </c>
      <c r="K1163" t="s">
        <v>25</v>
      </c>
      <c r="L1163">
        <v>8</v>
      </c>
      <c r="M1163">
        <v>62267</v>
      </c>
      <c r="N1163">
        <v>4</v>
      </c>
    </row>
    <row r="1164" spans="1:14" x14ac:dyDescent="0.2">
      <c r="A1164" s="3">
        <f t="shared" si="19"/>
        <v>45386</v>
      </c>
      <c r="B1164" t="str">
        <f>"00453860032"</f>
        <v>00453860032</v>
      </c>
      <c r="C1164" t="s">
        <v>1526</v>
      </c>
      <c r="D1164" t="s">
        <v>622</v>
      </c>
      <c r="E1164">
        <v>71</v>
      </c>
      <c r="F1164">
        <v>8052</v>
      </c>
      <c r="G1164" t="s">
        <v>642</v>
      </c>
      <c r="H1164">
        <v>15</v>
      </c>
      <c r="I1164" t="s">
        <v>25</v>
      </c>
      <c r="J1164">
        <v>11</v>
      </c>
      <c r="K1164" t="s">
        <v>25</v>
      </c>
      <c r="L1164">
        <v>8</v>
      </c>
      <c r="M1164">
        <v>72001</v>
      </c>
      <c r="N1164">
        <v>4</v>
      </c>
    </row>
    <row r="1165" spans="1:14" x14ac:dyDescent="0.2">
      <c r="A1165" s="3">
        <f t="shared" si="19"/>
        <v>45986</v>
      </c>
      <c r="B1165" t="str">
        <f>"00459860024"</f>
        <v>00459860024</v>
      </c>
      <c r="C1165" t="s">
        <v>1527</v>
      </c>
      <c r="D1165" t="s">
        <v>421</v>
      </c>
      <c r="E1165">
        <v>70</v>
      </c>
      <c r="F1165">
        <v>1205</v>
      </c>
      <c r="G1165" t="s">
        <v>325</v>
      </c>
      <c r="H1165">
        <v>6</v>
      </c>
      <c r="I1165" t="s">
        <v>25</v>
      </c>
      <c r="J1165">
        <v>4</v>
      </c>
      <c r="K1165" t="s">
        <v>25</v>
      </c>
      <c r="L1165">
        <v>8</v>
      </c>
      <c r="M1165">
        <v>66269</v>
      </c>
      <c r="N1165">
        <v>2</v>
      </c>
    </row>
    <row r="1166" spans="1:14" x14ac:dyDescent="0.2">
      <c r="A1166" s="3">
        <f t="shared" si="19"/>
        <v>47349</v>
      </c>
      <c r="B1166" t="str">
        <f>"00473490019"</f>
        <v>00473490019</v>
      </c>
      <c r="C1166" t="s">
        <v>1528</v>
      </c>
      <c r="D1166" t="s">
        <v>216</v>
      </c>
      <c r="E1166">
        <v>71</v>
      </c>
      <c r="F1166">
        <v>2627</v>
      </c>
      <c r="G1166" t="s">
        <v>1529</v>
      </c>
      <c r="H1166">
        <v>9</v>
      </c>
      <c r="I1166" t="s">
        <v>25</v>
      </c>
      <c r="J1166">
        <v>7</v>
      </c>
      <c r="K1166" t="s">
        <v>25</v>
      </c>
      <c r="L1166">
        <v>8</v>
      </c>
      <c r="M1166">
        <v>74206</v>
      </c>
      <c r="N1166">
        <v>2</v>
      </c>
    </row>
    <row r="1167" spans="1:14" x14ac:dyDescent="0.2">
      <c r="A1167" s="3">
        <f t="shared" si="19"/>
        <v>47439</v>
      </c>
      <c r="B1167" t="str">
        <f>"00474390027"</f>
        <v>00474390027</v>
      </c>
      <c r="C1167" t="s">
        <v>1530</v>
      </c>
      <c r="D1167" t="s">
        <v>543</v>
      </c>
      <c r="E1167">
        <v>82</v>
      </c>
      <c r="F1167">
        <v>1288</v>
      </c>
      <c r="G1167" t="s">
        <v>1062</v>
      </c>
      <c r="H1167" t="s">
        <v>44</v>
      </c>
      <c r="I1167" t="s">
        <v>45</v>
      </c>
      <c r="J1167" t="s">
        <v>44</v>
      </c>
      <c r="K1167" t="s">
        <v>45</v>
      </c>
      <c r="L1167">
        <v>8</v>
      </c>
      <c r="M1167">
        <v>70265</v>
      </c>
      <c r="N1167" t="s">
        <v>46</v>
      </c>
    </row>
    <row r="1168" spans="1:14" x14ac:dyDescent="0.2">
      <c r="A1168" s="3">
        <f t="shared" si="19"/>
        <v>47524</v>
      </c>
      <c r="B1168" t="str">
        <f>"00475240006"</f>
        <v>00475240006</v>
      </c>
      <c r="C1168" t="s">
        <v>1531</v>
      </c>
      <c r="D1168" t="s">
        <v>42</v>
      </c>
      <c r="E1168">
        <v>61</v>
      </c>
      <c r="F1168">
        <v>1311</v>
      </c>
      <c r="G1168" t="s">
        <v>956</v>
      </c>
      <c r="H1168" t="s">
        <v>44</v>
      </c>
      <c r="I1168" t="s">
        <v>45</v>
      </c>
      <c r="J1168" t="s">
        <v>44</v>
      </c>
      <c r="K1168" t="s">
        <v>45</v>
      </c>
      <c r="L1168">
        <v>8</v>
      </c>
      <c r="M1168">
        <v>61267</v>
      </c>
      <c r="N1168" t="s">
        <v>46</v>
      </c>
    </row>
    <row r="1169" spans="1:14" x14ac:dyDescent="0.2">
      <c r="A1169" s="3">
        <f t="shared" si="19"/>
        <v>47910</v>
      </c>
      <c r="B1169" t="str">
        <f>"00479100006"</f>
        <v>00479100006</v>
      </c>
      <c r="C1169" t="s">
        <v>1532</v>
      </c>
      <c r="D1169" t="s">
        <v>52</v>
      </c>
      <c r="E1169">
        <v>112</v>
      </c>
      <c r="F1169">
        <v>2537</v>
      </c>
      <c r="G1169" t="s">
        <v>1533</v>
      </c>
      <c r="H1169" t="s">
        <v>44</v>
      </c>
      <c r="I1169" t="s">
        <v>45</v>
      </c>
      <c r="J1169" t="s">
        <v>44</v>
      </c>
      <c r="K1169" t="s">
        <v>45</v>
      </c>
      <c r="L1169">
        <v>6</v>
      </c>
      <c r="M1169">
        <v>49140</v>
      </c>
      <c r="N1169" t="s">
        <v>46</v>
      </c>
    </row>
    <row r="1170" spans="1:14" x14ac:dyDescent="0.2">
      <c r="A1170" s="3">
        <f t="shared" si="19"/>
        <v>48179</v>
      </c>
      <c r="B1170" t="str">
        <f>"00481790010"</f>
        <v>00481790010</v>
      </c>
      <c r="C1170" t="s">
        <v>1534</v>
      </c>
      <c r="D1170" t="s">
        <v>52</v>
      </c>
      <c r="E1170">
        <v>72</v>
      </c>
      <c r="F1170">
        <v>7218</v>
      </c>
      <c r="G1170" t="s">
        <v>591</v>
      </c>
      <c r="H1170">
        <v>25</v>
      </c>
      <c r="I1170" t="s">
        <v>34</v>
      </c>
      <c r="J1170">
        <v>18</v>
      </c>
      <c r="K1170" t="s">
        <v>34</v>
      </c>
      <c r="L1170">
        <v>9</v>
      </c>
      <c r="M1170">
        <v>75190</v>
      </c>
      <c r="N1170">
        <v>7</v>
      </c>
    </row>
    <row r="1171" spans="1:14" x14ac:dyDescent="0.2">
      <c r="A1171" s="3">
        <f t="shared" si="19"/>
        <v>48251</v>
      </c>
      <c r="B1171" t="str">
        <f>"00482510015"</f>
        <v>00482510015</v>
      </c>
      <c r="C1171" t="s">
        <v>1535</v>
      </c>
      <c r="D1171" t="s">
        <v>622</v>
      </c>
      <c r="E1171">
        <v>48</v>
      </c>
      <c r="F1171">
        <v>724</v>
      </c>
      <c r="G1171" t="s">
        <v>675</v>
      </c>
      <c r="H1171">
        <v>10</v>
      </c>
      <c r="I1171" t="s">
        <v>25</v>
      </c>
      <c r="J1171">
        <v>7</v>
      </c>
      <c r="K1171" t="s">
        <v>25</v>
      </c>
      <c r="L1171">
        <v>9</v>
      </c>
      <c r="M1171">
        <v>73087</v>
      </c>
      <c r="N1171">
        <v>3</v>
      </c>
    </row>
    <row r="1172" spans="1:14" x14ac:dyDescent="0.2">
      <c r="A1172" s="3">
        <f t="shared" si="19"/>
        <v>48519</v>
      </c>
      <c r="B1172" t="str">
        <f>"00485190003"</f>
        <v>00485190003</v>
      </c>
      <c r="C1172" t="s">
        <v>1536</v>
      </c>
      <c r="D1172" t="s">
        <v>52</v>
      </c>
      <c r="E1172">
        <v>45</v>
      </c>
      <c r="F1172">
        <v>2725</v>
      </c>
      <c r="G1172" t="s">
        <v>391</v>
      </c>
      <c r="H1172">
        <v>12</v>
      </c>
      <c r="I1172" t="s">
        <v>25</v>
      </c>
      <c r="J1172">
        <v>9</v>
      </c>
      <c r="K1172" t="s">
        <v>25</v>
      </c>
      <c r="L1172">
        <v>6</v>
      </c>
      <c r="M1172">
        <v>2626</v>
      </c>
      <c r="N1172">
        <v>3</v>
      </c>
    </row>
    <row r="1173" spans="1:14" x14ac:dyDescent="0.2">
      <c r="A1173" s="3">
        <f t="shared" si="19"/>
        <v>48618</v>
      </c>
      <c r="B1173" t="str">
        <f>"00486180012"</f>
        <v>00486180012</v>
      </c>
      <c r="C1173" t="s">
        <v>1537</v>
      </c>
      <c r="D1173" t="s">
        <v>32</v>
      </c>
      <c r="E1173">
        <v>31</v>
      </c>
      <c r="F1173">
        <v>723</v>
      </c>
      <c r="G1173" t="s">
        <v>1419</v>
      </c>
      <c r="H1173">
        <v>21</v>
      </c>
      <c r="I1173" t="s">
        <v>34</v>
      </c>
      <c r="J1173">
        <v>15</v>
      </c>
      <c r="K1173" t="s">
        <v>34</v>
      </c>
      <c r="L1173">
        <v>8</v>
      </c>
      <c r="M1173">
        <v>81030</v>
      </c>
      <c r="N1173">
        <v>6</v>
      </c>
    </row>
    <row r="1174" spans="1:14" x14ac:dyDescent="0.2">
      <c r="A1174" s="3">
        <f t="shared" si="19"/>
        <v>49702</v>
      </c>
      <c r="B1174" t="str">
        <f>"00497020005"</f>
        <v>00497020005</v>
      </c>
      <c r="C1174" t="s">
        <v>1538</v>
      </c>
      <c r="D1174" t="s">
        <v>67</v>
      </c>
      <c r="E1174">
        <v>72</v>
      </c>
      <c r="F1174">
        <v>2476</v>
      </c>
      <c r="G1174" t="s">
        <v>679</v>
      </c>
      <c r="H1174">
        <v>23</v>
      </c>
      <c r="I1174" t="s">
        <v>34</v>
      </c>
      <c r="J1174">
        <v>17</v>
      </c>
      <c r="K1174" t="s">
        <v>34</v>
      </c>
      <c r="L1174">
        <v>8</v>
      </c>
      <c r="M1174">
        <v>76224</v>
      </c>
      <c r="N1174">
        <v>6</v>
      </c>
    </row>
    <row r="1175" spans="1:14" x14ac:dyDescent="0.2">
      <c r="A1175" s="3">
        <f t="shared" si="19"/>
        <v>49818</v>
      </c>
      <c r="B1175" t="str">
        <f>"00498180012"</f>
        <v>00498180012</v>
      </c>
      <c r="C1175" t="s">
        <v>1539</v>
      </c>
      <c r="D1175" t="s">
        <v>421</v>
      </c>
      <c r="E1175">
        <v>52</v>
      </c>
      <c r="F1175">
        <v>1205</v>
      </c>
      <c r="G1175" t="s">
        <v>325</v>
      </c>
      <c r="H1175">
        <v>18</v>
      </c>
      <c r="I1175" t="s">
        <v>25</v>
      </c>
      <c r="J1175">
        <v>14</v>
      </c>
      <c r="K1175" t="s">
        <v>25</v>
      </c>
      <c r="L1175">
        <v>8</v>
      </c>
      <c r="M1175">
        <v>62252</v>
      </c>
      <c r="N1175">
        <v>4</v>
      </c>
    </row>
    <row r="1176" spans="1:14" x14ac:dyDescent="0.2">
      <c r="A1176" s="3">
        <f t="shared" si="19"/>
        <v>51047</v>
      </c>
      <c r="B1176" t="str">
        <f>"00510470012"</f>
        <v>00510470012</v>
      </c>
      <c r="C1176" t="s">
        <v>1540</v>
      </c>
      <c r="D1176" t="s">
        <v>622</v>
      </c>
      <c r="E1176">
        <v>82</v>
      </c>
      <c r="F1176">
        <v>1224</v>
      </c>
      <c r="G1176" t="s">
        <v>1014</v>
      </c>
      <c r="H1176" t="s">
        <v>44</v>
      </c>
      <c r="I1176" t="s">
        <v>45</v>
      </c>
      <c r="J1176" t="s">
        <v>44</v>
      </c>
      <c r="K1176" t="s">
        <v>45</v>
      </c>
      <c r="L1176">
        <v>8</v>
      </c>
      <c r="M1176">
        <v>70113</v>
      </c>
      <c r="N1176" t="s">
        <v>46</v>
      </c>
    </row>
    <row r="1177" spans="1:14" x14ac:dyDescent="0.2">
      <c r="A1177" s="3">
        <f t="shared" si="19"/>
        <v>51048</v>
      </c>
      <c r="B1177" t="str">
        <f>"00510480012"</f>
        <v>00510480012</v>
      </c>
      <c r="C1177" t="s">
        <v>1541</v>
      </c>
      <c r="D1177" t="s">
        <v>622</v>
      </c>
      <c r="E1177">
        <v>82</v>
      </c>
      <c r="F1177">
        <v>1224</v>
      </c>
      <c r="G1177" t="s">
        <v>1014</v>
      </c>
      <c r="H1177" t="s">
        <v>44</v>
      </c>
      <c r="I1177" t="s">
        <v>45</v>
      </c>
      <c r="J1177" t="s">
        <v>44</v>
      </c>
      <c r="K1177" t="s">
        <v>45</v>
      </c>
      <c r="L1177">
        <v>8</v>
      </c>
      <c r="M1177">
        <v>70151</v>
      </c>
      <c r="N1177" t="s">
        <v>46</v>
      </c>
    </row>
    <row r="1178" spans="1:14" x14ac:dyDescent="0.2">
      <c r="A1178" s="3">
        <f t="shared" si="19"/>
        <v>51058</v>
      </c>
      <c r="B1178" t="str">
        <f>"00510580012"</f>
        <v>00510580012</v>
      </c>
      <c r="C1178" t="s">
        <v>1542</v>
      </c>
      <c r="D1178" t="s">
        <v>622</v>
      </c>
      <c r="E1178">
        <v>82</v>
      </c>
      <c r="F1178">
        <v>1224</v>
      </c>
      <c r="G1178" t="s">
        <v>1014</v>
      </c>
      <c r="H1178">
        <v>25</v>
      </c>
      <c r="I1178" t="s">
        <v>25</v>
      </c>
      <c r="J1178">
        <v>21</v>
      </c>
      <c r="K1178" t="s">
        <v>25</v>
      </c>
      <c r="L1178">
        <v>8</v>
      </c>
      <c r="M1178">
        <v>70226</v>
      </c>
      <c r="N1178">
        <v>4</v>
      </c>
    </row>
    <row r="1179" spans="1:14" x14ac:dyDescent="0.2">
      <c r="A1179" s="3">
        <f t="shared" si="19"/>
        <v>51100</v>
      </c>
      <c r="B1179" t="str">
        <f>"00511000075"</f>
        <v>00511000075</v>
      </c>
      <c r="C1179" t="s">
        <v>1543</v>
      </c>
      <c r="D1179" t="s">
        <v>320</v>
      </c>
      <c r="E1179">
        <v>74</v>
      </c>
      <c r="F1179">
        <v>8086</v>
      </c>
      <c r="G1179" t="s">
        <v>290</v>
      </c>
      <c r="H1179">
        <v>90</v>
      </c>
      <c r="I1179" t="s">
        <v>34</v>
      </c>
      <c r="J1179">
        <v>69</v>
      </c>
      <c r="K1179" t="s">
        <v>34</v>
      </c>
      <c r="L1179">
        <v>8</v>
      </c>
      <c r="M1179">
        <v>86004</v>
      </c>
      <c r="N1179">
        <v>1</v>
      </c>
    </row>
    <row r="1180" spans="1:14" x14ac:dyDescent="0.2">
      <c r="A1180" s="3">
        <f t="shared" si="19"/>
        <v>51100</v>
      </c>
      <c r="B1180" t="str">
        <f>"00511000075"</f>
        <v>00511000075</v>
      </c>
      <c r="C1180" t="s">
        <v>1543</v>
      </c>
      <c r="D1180" t="s">
        <v>320</v>
      </c>
      <c r="E1180">
        <v>74</v>
      </c>
      <c r="F1180">
        <v>1114</v>
      </c>
      <c r="G1180" t="s">
        <v>1544</v>
      </c>
      <c r="H1180">
        <v>90</v>
      </c>
      <c r="I1180" t="s">
        <v>34</v>
      </c>
      <c r="J1180">
        <v>69</v>
      </c>
      <c r="K1180" t="s">
        <v>34</v>
      </c>
      <c r="L1180">
        <v>8</v>
      </c>
      <c r="M1180">
        <v>86004</v>
      </c>
      <c r="N1180">
        <v>1</v>
      </c>
    </row>
    <row r="1181" spans="1:14" x14ac:dyDescent="0.2">
      <c r="A1181" s="3">
        <f t="shared" si="19"/>
        <v>51104</v>
      </c>
      <c r="B1181" t="str">
        <f>"00511040006"</f>
        <v>00511040006</v>
      </c>
      <c r="C1181" t="s">
        <v>1545</v>
      </c>
      <c r="D1181" t="s">
        <v>52</v>
      </c>
      <c r="E1181">
        <v>32</v>
      </c>
      <c r="F1181">
        <v>1275</v>
      </c>
      <c r="G1181" t="s">
        <v>1502</v>
      </c>
      <c r="H1181">
        <v>60</v>
      </c>
      <c r="I1181" t="s">
        <v>34</v>
      </c>
      <c r="J1181">
        <v>44</v>
      </c>
      <c r="K1181" t="s">
        <v>34</v>
      </c>
      <c r="L1181">
        <v>6</v>
      </c>
      <c r="M1181">
        <v>2504</v>
      </c>
      <c r="N1181">
        <v>16</v>
      </c>
    </row>
    <row r="1182" spans="1:14" x14ac:dyDescent="0.2">
      <c r="A1182" s="3">
        <f t="shared" si="19"/>
        <v>51106</v>
      </c>
      <c r="B1182" t="str">
        <f>"00511060005"</f>
        <v>00511060005</v>
      </c>
      <c r="C1182" t="s">
        <v>1546</v>
      </c>
      <c r="D1182" t="s">
        <v>604</v>
      </c>
      <c r="E1182">
        <v>41</v>
      </c>
      <c r="F1182">
        <v>5925</v>
      </c>
      <c r="G1182" t="s">
        <v>1547</v>
      </c>
      <c r="H1182">
        <v>150</v>
      </c>
      <c r="I1182" t="s">
        <v>34</v>
      </c>
      <c r="J1182">
        <v>118</v>
      </c>
      <c r="K1182" t="s">
        <v>34</v>
      </c>
      <c r="L1182">
        <v>8</v>
      </c>
      <c r="M1182">
        <v>69219</v>
      </c>
      <c r="N1182">
        <v>32</v>
      </c>
    </row>
    <row r="1183" spans="1:14" x14ac:dyDescent="0.2">
      <c r="A1183" s="3">
        <f t="shared" si="19"/>
        <v>51183</v>
      </c>
      <c r="B1183" t="str">
        <f>"00511830012"</f>
        <v>00511830012</v>
      </c>
      <c r="C1183" t="s">
        <v>1548</v>
      </c>
      <c r="D1183" t="s">
        <v>36</v>
      </c>
      <c r="E1183">
        <v>72</v>
      </c>
      <c r="F1183">
        <v>1930</v>
      </c>
      <c r="G1183" t="s">
        <v>673</v>
      </c>
      <c r="H1183">
        <v>8</v>
      </c>
      <c r="I1183" t="s">
        <v>25</v>
      </c>
      <c r="J1183">
        <v>6</v>
      </c>
      <c r="K1183" t="s">
        <v>25</v>
      </c>
      <c r="L1183">
        <v>8</v>
      </c>
      <c r="M1183">
        <v>95701</v>
      </c>
      <c r="N1183">
        <v>2</v>
      </c>
    </row>
    <row r="1184" spans="1:14" x14ac:dyDescent="0.2">
      <c r="A1184" s="3">
        <f t="shared" si="19"/>
        <v>51202</v>
      </c>
      <c r="B1184" t="str">
        <f>"00512020006"</f>
        <v>00512020006</v>
      </c>
      <c r="C1184" t="s">
        <v>1549</v>
      </c>
      <c r="D1184" t="s">
        <v>115</v>
      </c>
      <c r="E1184">
        <v>41</v>
      </c>
      <c r="F1184">
        <v>6949</v>
      </c>
      <c r="G1184" t="s">
        <v>1550</v>
      </c>
      <c r="H1184">
        <v>135</v>
      </c>
      <c r="I1184" t="s">
        <v>34</v>
      </c>
      <c r="J1184">
        <v>109</v>
      </c>
      <c r="K1184" t="s">
        <v>34</v>
      </c>
      <c r="L1184">
        <v>8</v>
      </c>
      <c r="M1184">
        <v>69199</v>
      </c>
      <c r="N1184">
        <v>26</v>
      </c>
    </row>
    <row r="1185" spans="1:14" x14ac:dyDescent="0.2">
      <c r="A1185" s="3">
        <f t="shared" si="19"/>
        <v>51325</v>
      </c>
      <c r="B1185" t="str">
        <f>"00513250040"</f>
        <v>00513250040</v>
      </c>
      <c r="C1185" t="s">
        <v>1551</v>
      </c>
      <c r="D1185" t="s">
        <v>52</v>
      </c>
      <c r="E1185">
        <v>13</v>
      </c>
      <c r="F1185">
        <v>2061</v>
      </c>
      <c r="G1185" t="s">
        <v>1552</v>
      </c>
      <c r="H1185" t="s">
        <v>44</v>
      </c>
      <c r="I1185" t="s">
        <v>45</v>
      </c>
      <c r="J1185" t="s">
        <v>44</v>
      </c>
      <c r="K1185" t="s">
        <v>45</v>
      </c>
      <c r="L1185">
        <v>6</v>
      </c>
      <c r="M1185">
        <v>93258</v>
      </c>
      <c r="N1185" t="s">
        <v>46</v>
      </c>
    </row>
    <row r="1186" spans="1:14" x14ac:dyDescent="0.2">
      <c r="A1186" s="3">
        <f t="shared" si="19"/>
        <v>51325</v>
      </c>
      <c r="B1186" t="str">
        <f>"00513250040"</f>
        <v>00513250040</v>
      </c>
      <c r="C1186" t="s">
        <v>1551</v>
      </c>
      <c r="D1186" t="s">
        <v>52</v>
      </c>
      <c r="E1186">
        <v>13</v>
      </c>
      <c r="F1186">
        <v>1815</v>
      </c>
      <c r="G1186" t="s">
        <v>1552</v>
      </c>
      <c r="H1186" t="s">
        <v>44</v>
      </c>
      <c r="I1186" t="s">
        <v>45</v>
      </c>
      <c r="J1186" t="s">
        <v>44</v>
      </c>
      <c r="K1186" t="s">
        <v>45</v>
      </c>
      <c r="L1186">
        <v>6</v>
      </c>
      <c r="M1186">
        <v>93258</v>
      </c>
      <c r="N1186" t="s">
        <v>46</v>
      </c>
    </row>
    <row r="1187" spans="1:14" x14ac:dyDescent="0.2">
      <c r="A1187" s="3">
        <f t="shared" si="19"/>
        <v>51464</v>
      </c>
      <c r="B1187" t="str">
        <f>"00514640001"</f>
        <v>00514640001</v>
      </c>
      <c r="C1187" t="s">
        <v>1553</v>
      </c>
      <c r="D1187" t="s">
        <v>23</v>
      </c>
      <c r="E1187">
        <v>84</v>
      </c>
      <c r="F1187">
        <v>1954</v>
      </c>
      <c r="G1187" t="s">
        <v>1102</v>
      </c>
      <c r="H1187" t="s">
        <v>44</v>
      </c>
      <c r="I1187" t="s">
        <v>45</v>
      </c>
      <c r="J1187" t="s">
        <v>44</v>
      </c>
      <c r="K1187" t="s">
        <v>45</v>
      </c>
      <c r="L1187">
        <v>6</v>
      </c>
      <c r="M1187">
        <v>2621</v>
      </c>
      <c r="N1187" t="s">
        <v>46</v>
      </c>
    </row>
    <row r="1188" spans="1:14" x14ac:dyDescent="0.2">
      <c r="A1188" s="3">
        <f t="shared" si="19"/>
        <v>51579</v>
      </c>
      <c r="B1188" t="str">
        <f>"00515790008"</f>
        <v>00515790008</v>
      </c>
      <c r="C1188" t="s">
        <v>1554</v>
      </c>
      <c r="D1188" t="s">
        <v>289</v>
      </c>
      <c r="E1188">
        <v>20</v>
      </c>
      <c r="F1188">
        <v>8086</v>
      </c>
      <c r="G1188" t="s">
        <v>290</v>
      </c>
      <c r="H1188">
        <v>6</v>
      </c>
      <c r="I1188" t="s">
        <v>25</v>
      </c>
      <c r="J1188">
        <v>4</v>
      </c>
      <c r="K1188" t="s">
        <v>25</v>
      </c>
      <c r="L1188">
        <v>6</v>
      </c>
      <c r="M1188">
        <v>99982</v>
      </c>
      <c r="N1188">
        <v>2</v>
      </c>
    </row>
    <row r="1189" spans="1:14" x14ac:dyDescent="0.2">
      <c r="A1189" s="3">
        <f t="shared" si="19"/>
        <v>51579</v>
      </c>
      <c r="B1189" t="str">
        <f>"00515790008"</f>
        <v>00515790008</v>
      </c>
      <c r="C1189" t="s">
        <v>1554</v>
      </c>
      <c r="D1189" t="s">
        <v>289</v>
      </c>
      <c r="E1189">
        <v>20</v>
      </c>
      <c r="F1189">
        <v>2855</v>
      </c>
      <c r="G1189" t="s">
        <v>291</v>
      </c>
      <c r="H1189">
        <v>6</v>
      </c>
      <c r="I1189" t="s">
        <v>25</v>
      </c>
      <c r="J1189">
        <v>4</v>
      </c>
      <c r="K1189" t="s">
        <v>25</v>
      </c>
      <c r="L1189">
        <v>6</v>
      </c>
      <c r="M1189">
        <v>99982</v>
      </c>
      <c r="N1189">
        <v>2</v>
      </c>
    </row>
    <row r="1190" spans="1:14" x14ac:dyDescent="0.2">
      <c r="A1190" s="3">
        <f t="shared" si="19"/>
        <v>51655</v>
      </c>
      <c r="B1190" t="str">
        <f>"00516550003"</f>
        <v>00516550003</v>
      </c>
      <c r="C1190" t="s">
        <v>1555</v>
      </c>
      <c r="D1190" t="s">
        <v>686</v>
      </c>
      <c r="E1190">
        <v>62</v>
      </c>
      <c r="F1190">
        <v>6901</v>
      </c>
      <c r="G1190" t="s">
        <v>1556</v>
      </c>
      <c r="H1190">
        <v>8</v>
      </c>
      <c r="I1190" t="s">
        <v>25</v>
      </c>
      <c r="J1190">
        <v>6</v>
      </c>
      <c r="K1190" t="s">
        <v>25</v>
      </c>
      <c r="L1190">
        <v>8</v>
      </c>
      <c r="M1190">
        <v>71102</v>
      </c>
      <c r="N1190">
        <v>2</v>
      </c>
    </row>
    <row r="1191" spans="1:14" x14ac:dyDescent="0.2">
      <c r="A1191" s="3">
        <f t="shared" si="19"/>
        <v>51816</v>
      </c>
      <c r="B1191" t="str">
        <f>"00518160112"</f>
        <v>00518160112</v>
      </c>
      <c r="C1191" t="s">
        <v>1557</v>
      </c>
      <c r="D1191" t="s">
        <v>320</v>
      </c>
      <c r="E1191">
        <v>74</v>
      </c>
      <c r="F1191">
        <v>8086</v>
      </c>
      <c r="G1191" t="s">
        <v>290</v>
      </c>
      <c r="H1191">
        <v>6</v>
      </c>
      <c r="I1191" t="s">
        <v>25</v>
      </c>
      <c r="J1191">
        <v>4</v>
      </c>
      <c r="K1191" t="s">
        <v>25</v>
      </c>
      <c r="L1191">
        <v>8</v>
      </c>
      <c r="M1191">
        <v>86037</v>
      </c>
      <c r="N1191">
        <v>1</v>
      </c>
    </row>
    <row r="1192" spans="1:14" x14ac:dyDescent="0.2">
      <c r="A1192" s="3">
        <f t="shared" si="19"/>
        <v>51816</v>
      </c>
      <c r="B1192" t="str">
        <f>"00518160112"</f>
        <v>00518160112</v>
      </c>
      <c r="C1192" t="s">
        <v>1557</v>
      </c>
      <c r="D1192" t="s">
        <v>320</v>
      </c>
      <c r="E1192">
        <v>74</v>
      </c>
      <c r="F1192">
        <v>3817</v>
      </c>
      <c r="G1192" t="s">
        <v>1558</v>
      </c>
      <c r="H1192">
        <v>6</v>
      </c>
      <c r="I1192" t="s">
        <v>25</v>
      </c>
      <c r="J1192">
        <v>4</v>
      </c>
      <c r="K1192" t="s">
        <v>25</v>
      </c>
      <c r="L1192">
        <v>8</v>
      </c>
      <c r="M1192">
        <v>86037</v>
      </c>
      <c r="N1192">
        <v>1</v>
      </c>
    </row>
    <row r="1193" spans="1:14" x14ac:dyDescent="0.2">
      <c r="A1193" s="3">
        <f t="shared" si="19"/>
        <v>51855</v>
      </c>
      <c r="B1193" t="str">
        <f>"00518550006"</f>
        <v>00518550006</v>
      </c>
      <c r="C1193" t="s">
        <v>1559</v>
      </c>
      <c r="D1193" t="s">
        <v>115</v>
      </c>
      <c r="E1193">
        <v>63</v>
      </c>
      <c r="F1193">
        <v>1983</v>
      </c>
      <c r="G1193" t="s">
        <v>1560</v>
      </c>
      <c r="H1193">
        <v>10</v>
      </c>
      <c r="I1193" t="s">
        <v>25</v>
      </c>
      <c r="J1193">
        <v>7</v>
      </c>
      <c r="K1193" t="s">
        <v>25</v>
      </c>
      <c r="L1193">
        <v>8</v>
      </c>
      <c r="M1193">
        <v>62197</v>
      </c>
      <c r="N1193">
        <v>3</v>
      </c>
    </row>
    <row r="1194" spans="1:14" x14ac:dyDescent="0.2">
      <c r="A1194" s="3">
        <f t="shared" si="19"/>
        <v>52200</v>
      </c>
      <c r="B1194" t="str">
        <f>"00522000015"</f>
        <v>00522000015</v>
      </c>
      <c r="C1194" t="s">
        <v>1561</v>
      </c>
      <c r="D1194" t="s">
        <v>622</v>
      </c>
      <c r="E1194">
        <v>48</v>
      </c>
      <c r="F1194">
        <v>724</v>
      </c>
      <c r="G1194" t="s">
        <v>675</v>
      </c>
      <c r="H1194">
        <v>15</v>
      </c>
      <c r="I1194" t="s">
        <v>25</v>
      </c>
      <c r="J1194">
        <v>11</v>
      </c>
      <c r="K1194" t="s">
        <v>25</v>
      </c>
      <c r="L1194">
        <v>8</v>
      </c>
      <c r="M1194">
        <v>72148</v>
      </c>
      <c r="N1194">
        <v>4</v>
      </c>
    </row>
    <row r="1195" spans="1:14" x14ac:dyDescent="0.2">
      <c r="A1195" s="3">
        <f t="shared" si="19"/>
        <v>52372</v>
      </c>
      <c r="B1195" t="str">
        <f>"00523720120"</f>
        <v>00523720120</v>
      </c>
      <c r="C1195" t="s">
        <v>1562</v>
      </c>
      <c r="D1195" t="s">
        <v>1344</v>
      </c>
      <c r="E1195">
        <v>51</v>
      </c>
      <c r="F1195">
        <v>2178</v>
      </c>
      <c r="G1195" t="s">
        <v>1563</v>
      </c>
      <c r="H1195">
        <v>9</v>
      </c>
      <c r="I1195" t="s">
        <v>25</v>
      </c>
      <c r="J1195">
        <v>7</v>
      </c>
      <c r="K1195" t="s">
        <v>25</v>
      </c>
      <c r="L1195">
        <v>6</v>
      </c>
      <c r="M1195" t="s">
        <v>65</v>
      </c>
      <c r="N1195">
        <v>2</v>
      </c>
    </row>
    <row r="1196" spans="1:14" x14ac:dyDescent="0.2">
      <c r="A1196" s="3">
        <f t="shared" si="19"/>
        <v>52468</v>
      </c>
      <c r="B1196" t="str">
        <f>"00524680004"</f>
        <v>00524680004</v>
      </c>
      <c r="C1196" t="s">
        <v>1564</v>
      </c>
      <c r="D1196" t="s">
        <v>604</v>
      </c>
      <c r="E1196">
        <v>81</v>
      </c>
      <c r="F1196">
        <v>641</v>
      </c>
      <c r="G1196" t="s">
        <v>770</v>
      </c>
      <c r="H1196">
        <v>20</v>
      </c>
      <c r="I1196" t="s">
        <v>25</v>
      </c>
      <c r="J1196">
        <v>16</v>
      </c>
      <c r="K1196" t="s">
        <v>25</v>
      </c>
      <c r="L1196">
        <v>8</v>
      </c>
      <c r="M1196">
        <v>69179</v>
      </c>
      <c r="N1196">
        <v>4</v>
      </c>
    </row>
    <row r="1197" spans="1:14" x14ac:dyDescent="0.2">
      <c r="A1197" s="3">
        <f t="shared" si="19"/>
        <v>52658</v>
      </c>
      <c r="B1197" t="str">
        <f>"00526580001"</f>
        <v>00526580001</v>
      </c>
      <c r="C1197" t="s">
        <v>1565</v>
      </c>
      <c r="D1197" t="s">
        <v>52</v>
      </c>
      <c r="E1197">
        <v>84</v>
      </c>
      <c r="F1197">
        <v>5306</v>
      </c>
      <c r="G1197" t="s">
        <v>1109</v>
      </c>
      <c r="H1197" t="s">
        <v>44</v>
      </c>
      <c r="I1197" t="s">
        <v>45</v>
      </c>
      <c r="J1197" t="s">
        <v>44</v>
      </c>
      <c r="K1197" t="s">
        <v>45</v>
      </c>
      <c r="L1197">
        <v>6</v>
      </c>
      <c r="M1197">
        <v>52637</v>
      </c>
      <c r="N1197" t="s">
        <v>46</v>
      </c>
    </row>
    <row r="1198" spans="1:14" x14ac:dyDescent="0.2">
      <c r="A1198" s="3">
        <f t="shared" si="19"/>
        <v>52729</v>
      </c>
      <c r="B1198" t="str">
        <f>"00527290008"</f>
        <v>00527290008</v>
      </c>
      <c r="C1198" t="s">
        <v>1566</v>
      </c>
      <c r="D1198" t="s">
        <v>421</v>
      </c>
      <c r="E1198">
        <v>52</v>
      </c>
      <c r="F1198">
        <v>1205</v>
      </c>
      <c r="G1198" t="s">
        <v>325</v>
      </c>
      <c r="H1198">
        <v>24</v>
      </c>
      <c r="I1198" t="s">
        <v>25</v>
      </c>
      <c r="J1198">
        <v>20</v>
      </c>
      <c r="K1198" t="s">
        <v>25</v>
      </c>
      <c r="L1198">
        <v>6</v>
      </c>
      <c r="M1198" t="s">
        <v>65</v>
      </c>
      <c r="N1198">
        <v>4</v>
      </c>
    </row>
    <row r="1199" spans="1:14" x14ac:dyDescent="0.2">
      <c r="A1199" s="3">
        <f t="shared" si="19"/>
        <v>52863</v>
      </c>
      <c r="B1199" t="str">
        <f>"00528630001"</f>
        <v>00528630001</v>
      </c>
      <c r="C1199" t="s">
        <v>1567</v>
      </c>
      <c r="D1199" t="s">
        <v>337</v>
      </c>
      <c r="E1199">
        <v>90</v>
      </c>
      <c r="F1199">
        <v>4298</v>
      </c>
      <c r="G1199" t="s">
        <v>350</v>
      </c>
      <c r="H1199">
        <v>7</v>
      </c>
      <c r="I1199" t="s">
        <v>34</v>
      </c>
      <c r="J1199">
        <v>5</v>
      </c>
      <c r="K1199" t="s">
        <v>34</v>
      </c>
      <c r="L1199">
        <v>8</v>
      </c>
      <c r="M1199">
        <v>91024</v>
      </c>
      <c r="N1199">
        <v>2</v>
      </c>
    </row>
    <row r="1200" spans="1:14" x14ac:dyDescent="0.2">
      <c r="A1200" s="3">
        <f t="shared" si="19"/>
        <v>52900</v>
      </c>
      <c r="B1200" t="str">
        <f>"00529000006"</f>
        <v>00529000006</v>
      </c>
      <c r="C1200" t="s">
        <v>1568</v>
      </c>
      <c r="D1200" t="s">
        <v>386</v>
      </c>
      <c r="E1200">
        <v>60</v>
      </c>
      <c r="F1200">
        <v>2007</v>
      </c>
      <c r="G1200" t="s">
        <v>387</v>
      </c>
      <c r="H1200" t="s">
        <v>44</v>
      </c>
      <c r="I1200" t="s">
        <v>45</v>
      </c>
      <c r="J1200" t="s">
        <v>44</v>
      </c>
      <c r="K1200" t="s">
        <v>45</v>
      </c>
      <c r="L1200">
        <v>8</v>
      </c>
      <c r="M1200">
        <v>61228</v>
      </c>
      <c r="N1200" t="s">
        <v>46</v>
      </c>
    </row>
    <row r="1201" spans="1:14" x14ac:dyDescent="0.2">
      <c r="A1201" s="3">
        <f t="shared" si="19"/>
        <v>54681</v>
      </c>
      <c r="B1201" t="str">
        <f>"00546810024"</f>
        <v>00546810024</v>
      </c>
      <c r="C1201" t="s">
        <v>1569</v>
      </c>
      <c r="D1201" t="s">
        <v>1344</v>
      </c>
      <c r="E1201">
        <v>82</v>
      </c>
      <c r="F1201">
        <v>2002</v>
      </c>
      <c r="G1201" t="s">
        <v>1064</v>
      </c>
      <c r="H1201" t="s">
        <v>44</v>
      </c>
      <c r="I1201" t="s">
        <v>45</v>
      </c>
      <c r="J1201" t="s">
        <v>44</v>
      </c>
      <c r="K1201" t="s">
        <v>45</v>
      </c>
      <c r="L1201">
        <v>6</v>
      </c>
      <c r="M1201">
        <v>2627</v>
      </c>
      <c r="N1201" t="s">
        <v>46</v>
      </c>
    </row>
    <row r="1202" spans="1:14" x14ac:dyDescent="0.2">
      <c r="A1202" s="3">
        <f t="shared" si="19"/>
        <v>54742</v>
      </c>
      <c r="B1202" t="str">
        <f>"00547420010"</f>
        <v>00547420010</v>
      </c>
      <c r="C1202" t="s">
        <v>1570</v>
      </c>
      <c r="D1202" t="s">
        <v>324</v>
      </c>
      <c r="E1202">
        <v>20</v>
      </c>
      <c r="F1202">
        <v>8086</v>
      </c>
      <c r="G1202" t="s">
        <v>290</v>
      </c>
      <c r="H1202">
        <v>14</v>
      </c>
      <c r="I1202" t="s">
        <v>25</v>
      </c>
      <c r="J1202">
        <v>11</v>
      </c>
      <c r="K1202" t="s">
        <v>25</v>
      </c>
      <c r="L1202">
        <v>9</v>
      </c>
      <c r="M1202">
        <v>89039</v>
      </c>
      <c r="N1202">
        <v>3</v>
      </c>
    </row>
    <row r="1203" spans="1:14" x14ac:dyDescent="0.2">
      <c r="A1203" s="3">
        <f t="shared" si="19"/>
        <v>54742</v>
      </c>
      <c r="B1203" t="str">
        <f>"00547420010"</f>
        <v>00547420010</v>
      </c>
      <c r="C1203" t="s">
        <v>1570</v>
      </c>
      <c r="D1203" t="s">
        <v>324</v>
      </c>
      <c r="E1203">
        <v>20</v>
      </c>
      <c r="F1203">
        <v>2349</v>
      </c>
      <c r="G1203" t="s">
        <v>326</v>
      </c>
      <c r="H1203">
        <v>14</v>
      </c>
      <c r="I1203" t="s">
        <v>25</v>
      </c>
      <c r="J1203">
        <v>11</v>
      </c>
      <c r="K1203" t="s">
        <v>25</v>
      </c>
      <c r="L1203">
        <v>9</v>
      </c>
      <c r="M1203">
        <v>89039</v>
      </c>
      <c r="N1203">
        <v>3</v>
      </c>
    </row>
    <row r="1204" spans="1:14" x14ac:dyDescent="0.2">
      <c r="A1204" s="3">
        <f t="shared" si="19"/>
        <v>54780</v>
      </c>
      <c r="B1204" t="str">
        <f>"00547800016"</f>
        <v>00547800016</v>
      </c>
      <c r="C1204" t="s">
        <v>1571</v>
      </c>
      <c r="D1204" t="s">
        <v>1344</v>
      </c>
      <c r="E1204">
        <v>82</v>
      </c>
      <c r="F1204">
        <v>1288</v>
      </c>
      <c r="G1204" t="s">
        <v>1062</v>
      </c>
      <c r="H1204" t="s">
        <v>44</v>
      </c>
      <c r="I1204" t="s">
        <v>45</v>
      </c>
      <c r="J1204" t="s">
        <v>44</v>
      </c>
      <c r="K1204" t="s">
        <v>45</v>
      </c>
      <c r="L1204">
        <v>6</v>
      </c>
      <c r="M1204">
        <v>2628</v>
      </c>
      <c r="N1204" t="s">
        <v>46</v>
      </c>
    </row>
    <row r="1205" spans="1:14" x14ac:dyDescent="0.2">
      <c r="A1205" s="3">
        <f t="shared" si="19"/>
        <v>55076</v>
      </c>
      <c r="B1205" t="str">
        <f>"00550760014"</f>
        <v>00550760014</v>
      </c>
      <c r="C1205" t="s">
        <v>1572</v>
      </c>
      <c r="D1205" t="s">
        <v>604</v>
      </c>
      <c r="E1205">
        <v>84</v>
      </c>
      <c r="F1205">
        <v>4638</v>
      </c>
      <c r="G1205" t="s">
        <v>1026</v>
      </c>
      <c r="H1205" t="s">
        <v>44</v>
      </c>
      <c r="I1205" t="s">
        <v>45</v>
      </c>
      <c r="J1205" t="s">
        <v>44</v>
      </c>
      <c r="K1205" t="s">
        <v>45</v>
      </c>
      <c r="L1205">
        <v>8</v>
      </c>
      <c r="M1205">
        <v>69039</v>
      </c>
      <c r="N1205" t="s">
        <v>46</v>
      </c>
    </row>
    <row r="1206" spans="1:14" x14ac:dyDescent="0.2">
      <c r="A1206" s="3">
        <f t="shared" si="19"/>
        <v>55158</v>
      </c>
      <c r="B1206" t="str">
        <f>"00551580016"</f>
        <v>00551580016</v>
      </c>
      <c r="C1206" t="s">
        <v>1573</v>
      </c>
      <c r="D1206" t="s">
        <v>67</v>
      </c>
      <c r="E1206">
        <v>32</v>
      </c>
      <c r="F1206">
        <v>3743</v>
      </c>
      <c r="G1206" t="s">
        <v>1574</v>
      </c>
      <c r="H1206">
        <v>50</v>
      </c>
      <c r="I1206" t="s">
        <v>34</v>
      </c>
      <c r="J1206">
        <v>37</v>
      </c>
      <c r="K1206" t="s">
        <v>34</v>
      </c>
      <c r="L1206">
        <v>8</v>
      </c>
      <c r="M1206">
        <v>81149</v>
      </c>
      <c r="N1206">
        <v>13</v>
      </c>
    </row>
    <row r="1207" spans="1:14" x14ac:dyDescent="0.2">
      <c r="A1207" s="3">
        <f t="shared" si="19"/>
        <v>55317</v>
      </c>
      <c r="B1207" t="str">
        <f>"00553170001"</f>
        <v>00553170001</v>
      </c>
      <c r="C1207" t="s">
        <v>1575</v>
      </c>
      <c r="D1207" t="s">
        <v>52</v>
      </c>
      <c r="E1207">
        <v>12</v>
      </c>
      <c r="F1207">
        <v>2237</v>
      </c>
      <c r="G1207" t="s">
        <v>1576</v>
      </c>
      <c r="H1207" t="s">
        <v>44</v>
      </c>
      <c r="I1207" t="s">
        <v>45</v>
      </c>
      <c r="J1207" t="s">
        <v>44</v>
      </c>
      <c r="K1207" t="s">
        <v>45</v>
      </c>
      <c r="L1207">
        <v>5</v>
      </c>
      <c r="M1207" t="s">
        <v>65</v>
      </c>
      <c r="N1207" t="s">
        <v>46</v>
      </c>
    </row>
    <row r="1208" spans="1:14" x14ac:dyDescent="0.2">
      <c r="A1208" s="3">
        <f t="shared" si="19"/>
        <v>55336</v>
      </c>
      <c r="B1208" t="str">
        <f>"00553360001"</f>
        <v>00553360001</v>
      </c>
      <c r="C1208" t="s">
        <v>1577</v>
      </c>
      <c r="D1208" t="s">
        <v>52</v>
      </c>
      <c r="E1208">
        <v>12</v>
      </c>
      <c r="F1208">
        <v>2237</v>
      </c>
      <c r="G1208" t="s">
        <v>1576</v>
      </c>
      <c r="H1208" t="s">
        <v>44</v>
      </c>
      <c r="I1208" t="s">
        <v>45</v>
      </c>
      <c r="J1208" t="s">
        <v>44</v>
      </c>
      <c r="K1208" t="s">
        <v>45</v>
      </c>
      <c r="L1208">
        <v>5</v>
      </c>
      <c r="M1208" t="s">
        <v>65</v>
      </c>
      <c r="N1208" t="s">
        <v>46</v>
      </c>
    </row>
    <row r="1209" spans="1:14" x14ac:dyDescent="0.2">
      <c r="A1209" s="3">
        <f t="shared" si="19"/>
        <v>55362</v>
      </c>
      <c r="B1209" t="str">
        <f>"00553620001"</f>
        <v>00553620001</v>
      </c>
      <c r="C1209" t="s">
        <v>1578</v>
      </c>
      <c r="D1209" t="s">
        <v>52</v>
      </c>
      <c r="E1209">
        <v>12</v>
      </c>
      <c r="F1209">
        <v>2237</v>
      </c>
      <c r="G1209" t="s">
        <v>1576</v>
      </c>
      <c r="H1209" t="s">
        <v>44</v>
      </c>
      <c r="I1209" t="s">
        <v>45</v>
      </c>
      <c r="J1209" t="s">
        <v>44</v>
      </c>
      <c r="K1209" t="s">
        <v>45</v>
      </c>
      <c r="L1209">
        <v>5</v>
      </c>
      <c r="M1209" t="s">
        <v>65</v>
      </c>
      <c r="N1209" t="s">
        <v>46</v>
      </c>
    </row>
    <row r="1210" spans="1:14" x14ac:dyDescent="0.2">
      <c r="A1210" s="3">
        <f t="shared" si="19"/>
        <v>55365</v>
      </c>
      <c r="B1210" t="str">
        <f>"00553650001"</f>
        <v>00553650001</v>
      </c>
      <c r="C1210" t="s">
        <v>1579</v>
      </c>
      <c r="D1210" t="s">
        <v>52</v>
      </c>
      <c r="E1210">
        <v>12</v>
      </c>
      <c r="F1210">
        <v>2061</v>
      </c>
      <c r="G1210" t="s">
        <v>1552</v>
      </c>
      <c r="H1210" t="s">
        <v>44</v>
      </c>
      <c r="I1210" t="s">
        <v>45</v>
      </c>
      <c r="J1210" t="s">
        <v>44</v>
      </c>
      <c r="K1210" t="s">
        <v>45</v>
      </c>
      <c r="L1210">
        <v>5</v>
      </c>
      <c r="M1210" t="s">
        <v>65</v>
      </c>
      <c r="N1210" t="s">
        <v>46</v>
      </c>
    </row>
    <row r="1211" spans="1:14" x14ac:dyDescent="0.2">
      <c r="A1211" s="3">
        <f t="shared" si="19"/>
        <v>55366</v>
      </c>
      <c r="B1211" t="str">
        <f>"00553660001"</f>
        <v>00553660001</v>
      </c>
      <c r="C1211" t="s">
        <v>1580</v>
      </c>
      <c r="D1211" t="s">
        <v>52</v>
      </c>
      <c r="E1211">
        <v>13</v>
      </c>
      <c r="F1211">
        <v>2237</v>
      </c>
      <c r="G1211" t="s">
        <v>1576</v>
      </c>
      <c r="H1211" t="s">
        <v>44</v>
      </c>
      <c r="I1211" t="s">
        <v>45</v>
      </c>
      <c r="J1211" t="s">
        <v>44</v>
      </c>
      <c r="K1211" t="s">
        <v>45</v>
      </c>
      <c r="L1211">
        <v>5</v>
      </c>
      <c r="M1211" t="s">
        <v>65</v>
      </c>
      <c r="N1211" t="s">
        <v>46</v>
      </c>
    </row>
    <row r="1212" spans="1:14" x14ac:dyDescent="0.2">
      <c r="A1212" s="3">
        <f t="shared" si="19"/>
        <v>55366</v>
      </c>
      <c r="B1212" t="str">
        <f>"00553660012"</f>
        <v>00553660012</v>
      </c>
      <c r="C1212" t="s">
        <v>1580</v>
      </c>
      <c r="D1212" t="s">
        <v>52</v>
      </c>
      <c r="E1212">
        <v>13</v>
      </c>
      <c r="F1212">
        <v>2237</v>
      </c>
      <c r="G1212" t="s">
        <v>1576</v>
      </c>
      <c r="H1212" t="s">
        <v>44</v>
      </c>
      <c r="I1212" t="s">
        <v>45</v>
      </c>
      <c r="J1212" t="s">
        <v>44</v>
      </c>
      <c r="K1212" t="s">
        <v>45</v>
      </c>
      <c r="L1212">
        <v>6</v>
      </c>
      <c r="M1212" t="s">
        <v>65</v>
      </c>
      <c r="N1212" t="s">
        <v>46</v>
      </c>
    </row>
    <row r="1213" spans="1:14" x14ac:dyDescent="0.2">
      <c r="A1213" s="3">
        <f t="shared" si="19"/>
        <v>55373</v>
      </c>
      <c r="B1213" t="str">
        <f>"00553730001"</f>
        <v>00553730001</v>
      </c>
      <c r="C1213" t="s">
        <v>1581</v>
      </c>
      <c r="D1213" t="s">
        <v>52</v>
      </c>
      <c r="E1213">
        <v>12</v>
      </c>
      <c r="F1213">
        <v>2237</v>
      </c>
      <c r="G1213" t="s">
        <v>1576</v>
      </c>
      <c r="H1213" t="s">
        <v>44</v>
      </c>
      <c r="I1213" t="s">
        <v>45</v>
      </c>
      <c r="J1213" t="s">
        <v>44</v>
      </c>
      <c r="K1213" t="s">
        <v>45</v>
      </c>
      <c r="L1213">
        <v>5</v>
      </c>
      <c r="M1213" t="s">
        <v>65</v>
      </c>
      <c r="N1213" t="s">
        <v>46</v>
      </c>
    </row>
    <row r="1214" spans="1:14" x14ac:dyDescent="0.2">
      <c r="A1214" s="3">
        <f t="shared" si="19"/>
        <v>55376</v>
      </c>
      <c r="B1214" t="str">
        <f>"00553760001"</f>
        <v>00553760001</v>
      </c>
      <c r="C1214" t="s">
        <v>1582</v>
      </c>
      <c r="D1214" t="s">
        <v>52</v>
      </c>
      <c r="E1214">
        <v>12</v>
      </c>
      <c r="F1214">
        <v>2061</v>
      </c>
      <c r="G1214" t="s">
        <v>1552</v>
      </c>
      <c r="H1214" t="s">
        <v>44</v>
      </c>
      <c r="I1214" t="s">
        <v>45</v>
      </c>
      <c r="J1214" t="s">
        <v>44</v>
      </c>
      <c r="K1214" t="s">
        <v>45</v>
      </c>
      <c r="L1214">
        <v>5</v>
      </c>
      <c r="M1214" t="s">
        <v>65</v>
      </c>
      <c r="N1214" t="s">
        <v>46</v>
      </c>
    </row>
    <row r="1215" spans="1:14" x14ac:dyDescent="0.2">
      <c r="A1215" s="3">
        <f t="shared" si="19"/>
        <v>55377</v>
      </c>
      <c r="B1215" t="str">
        <f>"00553770001"</f>
        <v>00553770001</v>
      </c>
      <c r="C1215" t="s">
        <v>1583</v>
      </c>
      <c r="D1215" t="s">
        <v>52</v>
      </c>
      <c r="E1215">
        <v>12</v>
      </c>
      <c r="F1215">
        <v>2237</v>
      </c>
      <c r="G1215" t="s">
        <v>1576</v>
      </c>
      <c r="H1215" t="s">
        <v>44</v>
      </c>
      <c r="I1215" t="s">
        <v>45</v>
      </c>
      <c r="J1215" t="s">
        <v>44</v>
      </c>
      <c r="K1215" t="s">
        <v>45</v>
      </c>
      <c r="L1215">
        <v>5</v>
      </c>
      <c r="M1215" t="s">
        <v>65</v>
      </c>
      <c r="N1215" t="s">
        <v>46</v>
      </c>
    </row>
    <row r="1216" spans="1:14" x14ac:dyDescent="0.2">
      <c r="A1216" s="3">
        <f t="shared" si="19"/>
        <v>55405</v>
      </c>
      <c r="B1216" t="str">
        <f>"00554050001"</f>
        <v>00554050001</v>
      </c>
      <c r="C1216" t="s">
        <v>1584</v>
      </c>
      <c r="D1216" t="s">
        <v>52</v>
      </c>
      <c r="E1216">
        <v>12</v>
      </c>
      <c r="F1216">
        <v>1764</v>
      </c>
      <c r="G1216" t="s">
        <v>1585</v>
      </c>
      <c r="H1216" t="s">
        <v>44</v>
      </c>
      <c r="I1216" t="s">
        <v>45</v>
      </c>
      <c r="J1216" t="s">
        <v>44</v>
      </c>
      <c r="K1216" t="s">
        <v>45</v>
      </c>
      <c r="L1216">
        <v>5</v>
      </c>
      <c r="M1216" t="s">
        <v>65</v>
      </c>
      <c r="N1216" t="s">
        <v>46</v>
      </c>
    </row>
    <row r="1217" spans="1:14" x14ac:dyDescent="0.2">
      <c r="A1217" s="3">
        <f t="shared" si="19"/>
        <v>55418</v>
      </c>
      <c r="B1217" t="str">
        <f>"00554180001"</f>
        <v>00554180001</v>
      </c>
      <c r="C1217" t="s">
        <v>1586</v>
      </c>
      <c r="D1217" t="s">
        <v>52</v>
      </c>
      <c r="E1217">
        <v>12</v>
      </c>
      <c r="F1217">
        <v>2237</v>
      </c>
      <c r="G1217" t="s">
        <v>1576</v>
      </c>
      <c r="H1217" t="s">
        <v>44</v>
      </c>
      <c r="I1217" t="s">
        <v>45</v>
      </c>
      <c r="J1217" t="s">
        <v>44</v>
      </c>
      <c r="K1217" t="s">
        <v>45</v>
      </c>
      <c r="L1217">
        <v>5</v>
      </c>
      <c r="M1217" t="s">
        <v>65</v>
      </c>
      <c r="N1217" t="s">
        <v>46</v>
      </c>
    </row>
    <row r="1218" spans="1:14" x14ac:dyDescent="0.2">
      <c r="A1218" s="3">
        <f t="shared" si="19"/>
        <v>55501</v>
      </c>
      <c r="B1218" t="str">
        <f>"00555010006"</f>
        <v>00555010006</v>
      </c>
      <c r="C1218" t="s">
        <v>1587</v>
      </c>
      <c r="D1218" t="s">
        <v>52</v>
      </c>
      <c r="E1218">
        <v>31</v>
      </c>
      <c r="F1218">
        <v>3717</v>
      </c>
      <c r="G1218" t="s">
        <v>1414</v>
      </c>
      <c r="H1218">
        <v>25</v>
      </c>
      <c r="I1218" t="s">
        <v>34</v>
      </c>
      <c r="J1218">
        <v>18</v>
      </c>
      <c r="K1218" t="s">
        <v>34</v>
      </c>
      <c r="L1218">
        <v>6</v>
      </c>
      <c r="M1218">
        <v>2505</v>
      </c>
      <c r="N1218">
        <v>7</v>
      </c>
    </row>
    <row r="1219" spans="1:14" x14ac:dyDescent="0.2">
      <c r="A1219" s="3">
        <f t="shared" si="19"/>
        <v>55526</v>
      </c>
      <c r="B1219" t="str">
        <f>"00555260015"</f>
        <v>00555260015</v>
      </c>
      <c r="C1219" t="s">
        <v>1588</v>
      </c>
      <c r="D1219" t="s">
        <v>216</v>
      </c>
      <c r="E1219">
        <v>70</v>
      </c>
      <c r="F1219">
        <v>206</v>
      </c>
      <c r="G1219" t="s">
        <v>595</v>
      </c>
      <c r="H1219">
        <v>10</v>
      </c>
      <c r="I1219" t="s">
        <v>25</v>
      </c>
      <c r="J1219">
        <v>7</v>
      </c>
      <c r="K1219" t="s">
        <v>25</v>
      </c>
      <c r="L1219">
        <v>8</v>
      </c>
      <c r="M1219">
        <v>74083</v>
      </c>
      <c r="N1219">
        <v>3</v>
      </c>
    </row>
    <row r="1220" spans="1:14" x14ac:dyDescent="0.2">
      <c r="A1220" s="3">
        <f t="shared" ref="A1220:A1283" si="20">(B1220-RIGHT(B1220,4))/10000</f>
        <v>55571</v>
      </c>
      <c r="B1220" t="str">
        <f>"00555710003"</f>
        <v>00555710003</v>
      </c>
      <c r="C1220" t="s">
        <v>1589</v>
      </c>
      <c r="D1220" t="s">
        <v>52</v>
      </c>
      <c r="E1220">
        <v>47</v>
      </c>
      <c r="F1220">
        <v>591</v>
      </c>
      <c r="G1220" t="s">
        <v>460</v>
      </c>
      <c r="H1220">
        <v>18</v>
      </c>
      <c r="I1220" t="s">
        <v>25</v>
      </c>
      <c r="J1220">
        <v>14</v>
      </c>
      <c r="K1220" t="s">
        <v>25</v>
      </c>
      <c r="L1220">
        <v>6</v>
      </c>
      <c r="M1220">
        <v>2629</v>
      </c>
      <c r="N1220">
        <v>4</v>
      </c>
    </row>
    <row r="1221" spans="1:14" x14ac:dyDescent="0.2">
      <c r="A1221" s="3">
        <f t="shared" si="20"/>
        <v>55585</v>
      </c>
      <c r="B1221" t="str">
        <f>"00555850020"</f>
        <v>00555850020</v>
      </c>
      <c r="C1221" t="s">
        <v>1590</v>
      </c>
      <c r="D1221" t="s">
        <v>52</v>
      </c>
      <c r="E1221">
        <v>50</v>
      </c>
      <c r="F1221">
        <v>2794</v>
      </c>
      <c r="G1221" t="s">
        <v>1591</v>
      </c>
      <c r="H1221">
        <v>44</v>
      </c>
      <c r="I1221" t="s">
        <v>25</v>
      </c>
      <c r="J1221">
        <v>38</v>
      </c>
      <c r="K1221" t="s">
        <v>25</v>
      </c>
      <c r="L1221">
        <v>6</v>
      </c>
      <c r="M1221">
        <v>2630</v>
      </c>
      <c r="N1221">
        <v>6</v>
      </c>
    </row>
    <row r="1222" spans="1:14" x14ac:dyDescent="0.2">
      <c r="A1222" s="3">
        <f t="shared" si="20"/>
        <v>55866</v>
      </c>
      <c r="B1222" t="str">
        <f>"00558660008"</f>
        <v>00558660008</v>
      </c>
      <c r="C1222" t="s">
        <v>1592</v>
      </c>
      <c r="D1222" t="s">
        <v>1344</v>
      </c>
      <c r="E1222">
        <v>81</v>
      </c>
      <c r="F1222">
        <v>5052</v>
      </c>
      <c r="G1222" t="s">
        <v>1496</v>
      </c>
      <c r="H1222">
        <v>18</v>
      </c>
      <c r="I1222" t="s">
        <v>25</v>
      </c>
      <c r="J1222">
        <v>14</v>
      </c>
      <c r="K1222" t="s">
        <v>25</v>
      </c>
      <c r="L1222">
        <v>6</v>
      </c>
      <c r="M1222">
        <v>2631</v>
      </c>
      <c r="N1222">
        <v>4</v>
      </c>
    </row>
    <row r="1223" spans="1:14" x14ac:dyDescent="0.2">
      <c r="A1223" s="3">
        <f t="shared" si="20"/>
        <v>55891</v>
      </c>
      <c r="B1223" t="str">
        <f>"00558910070"</f>
        <v>00558910070</v>
      </c>
      <c r="C1223" t="s">
        <v>1593</v>
      </c>
      <c r="D1223" t="s">
        <v>543</v>
      </c>
      <c r="E1223">
        <v>81</v>
      </c>
      <c r="F1223">
        <v>5052</v>
      </c>
      <c r="G1223" t="s">
        <v>1496</v>
      </c>
      <c r="H1223">
        <v>12</v>
      </c>
      <c r="I1223" t="s">
        <v>25</v>
      </c>
      <c r="J1223">
        <v>9</v>
      </c>
      <c r="K1223" t="s">
        <v>25</v>
      </c>
      <c r="L1223">
        <v>8</v>
      </c>
      <c r="M1223">
        <v>69104</v>
      </c>
      <c r="N1223">
        <v>3</v>
      </c>
    </row>
    <row r="1224" spans="1:14" x14ac:dyDescent="0.2">
      <c r="A1224" s="3">
        <f t="shared" si="20"/>
        <v>56157</v>
      </c>
      <c r="B1224" t="str">
        <f>"00561570036"</f>
        <v>00561570036</v>
      </c>
      <c r="C1224" t="s">
        <v>1594</v>
      </c>
      <c r="D1224" t="s">
        <v>70</v>
      </c>
      <c r="E1224">
        <v>32</v>
      </c>
      <c r="F1224">
        <v>3634</v>
      </c>
      <c r="G1224" t="s">
        <v>1405</v>
      </c>
      <c r="H1224">
        <v>60</v>
      </c>
      <c r="I1224" t="s">
        <v>34</v>
      </c>
      <c r="J1224">
        <v>44</v>
      </c>
      <c r="K1224" t="s">
        <v>34</v>
      </c>
      <c r="L1224">
        <v>8</v>
      </c>
      <c r="M1224">
        <v>82063</v>
      </c>
      <c r="N1224">
        <v>16</v>
      </c>
    </row>
    <row r="1225" spans="1:14" x14ac:dyDescent="0.2">
      <c r="A1225" s="3">
        <f t="shared" si="20"/>
        <v>57602</v>
      </c>
      <c r="B1225" t="str">
        <f>"00576020007"</f>
        <v>00576020007</v>
      </c>
      <c r="C1225" t="s">
        <v>1595</v>
      </c>
      <c r="D1225" t="s">
        <v>67</v>
      </c>
      <c r="E1225">
        <v>72</v>
      </c>
      <c r="F1225">
        <v>2476</v>
      </c>
      <c r="G1225" t="s">
        <v>679</v>
      </c>
      <c r="H1225">
        <v>21</v>
      </c>
      <c r="I1225" t="s">
        <v>34</v>
      </c>
      <c r="J1225">
        <v>15</v>
      </c>
      <c r="K1225" t="s">
        <v>34</v>
      </c>
      <c r="L1225">
        <v>6</v>
      </c>
      <c r="M1225">
        <v>2632</v>
      </c>
      <c r="N1225">
        <v>6</v>
      </c>
    </row>
    <row r="1226" spans="1:14" x14ac:dyDescent="0.2">
      <c r="A1226" s="3">
        <f t="shared" si="20"/>
        <v>57680</v>
      </c>
      <c r="B1226" t="str">
        <f>"00576800036"</f>
        <v>00576800036</v>
      </c>
      <c r="C1226" t="s">
        <v>1596</v>
      </c>
      <c r="D1226" t="s">
        <v>622</v>
      </c>
      <c r="E1226">
        <v>71</v>
      </c>
      <c r="F1226">
        <v>8052</v>
      </c>
      <c r="G1226" t="s">
        <v>642</v>
      </c>
      <c r="H1226">
        <v>11</v>
      </c>
      <c r="I1226" t="s">
        <v>25</v>
      </c>
      <c r="J1226">
        <v>8</v>
      </c>
      <c r="K1226" t="s">
        <v>25</v>
      </c>
      <c r="L1226">
        <v>8</v>
      </c>
      <c r="M1226">
        <v>72005</v>
      </c>
      <c r="N1226">
        <v>3</v>
      </c>
    </row>
    <row r="1227" spans="1:14" x14ac:dyDescent="0.2">
      <c r="A1227" s="3">
        <f t="shared" si="20"/>
        <v>57733</v>
      </c>
      <c r="B1227" t="str">
        <f>"00577330072"</f>
        <v>00577330072</v>
      </c>
      <c r="C1227" t="s">
        <v>1597</v>
      </c>
      <c r="D1227" t="s">
        <v>289</v>
      </c>
      <c r="E1227">
        <v>74</v>
      </c>
      <c r="F1227">
        <v>8086</v>
      </c>
      <c r="G1227" t="s">
        <v>290</v>
      </c>
      <c r="H1227">
        <v>120</v>
      </c>
      <c r="I1227" t="s">
        <v>34</v>
      </c>
      <c r="J1227">
        <v>88</v>
      </c>
      <c r="K1227" t="s">
        <v>34</v>
      </c>
      <c r="L1227">
        <v>8</v>
      </c>
      <c r="M1227">
        <v>86039</v>
      </c>
      <c r="N1227">
        <v>1</v>
      </c>
    </row>
    <row r="1228" spans="1:14" x14ac:dyDescent="0.2">
      <c r="A1228" s="3">
        <f t="shared" si="20"/>
        <v>57733</v>
      </c>
      <c r="B1228" t="str">
        <f>"00577330072"</f>
        <v>00577330072</v>
      </c>
      <c r="C1228" t="s">
        <v>1597</v>
      </c>
      <c r="D1228" t="s">
        <v>289</v>
      </c>
      <c r="E1228">
        <v>74</v>
      </c>
      <c r="F1228">
        <v>2477</v>
      </c>
      <c r="G1228" t="s">
        <v>1426</v>
      </c>
      <c r="H1228">
        <v>120</v>
      </c>
      <c r="I1228" t="s">
        <v>34</v>
      </c>
      <c r="J1228">
        <v>88</v>
      </c>
      <c r="K1228" t="s">
        <v>34</v>
      </c>
      <c r="L1228">
        <v>8</v>
      </c>
      <c r="M1228">
        <v>86039</v>
      </c>
      <c r="N1228">
        <v>1</v>
      </c>
    </row>
    <row r="1229" spans="1:14" x14ac:dyDescent="0.2">
      <c r="A1229" s="3">
        <f t="shared" si="20"/>
        <v>58209</v>
      </c>
      <c r="B1229" t="str">
        <f>"00582090001"</f>
        <v>00582090001</v>
      </c>
      <c r="C1229" t="s">
        <v>1598</v>
      </c>
      <c r="D1229" t="s">
        <v>52</v>
      </c>
      <c r="E1229">
        <v>12</v>
      </c>
      <c r="F1229">
        <v>2061</v>
      </c>
      <c r="G1229" t="s">
        <v>1552</v>
      </c>
      <c r="H1229" t="s">
        <v>44</v>
      </c>
      <c r="I1229" t="s">
        <v>45</v>
      </c>
      <c r="J1229" t="s">
        <v>44</v>
      </c>
      <c r="K1229" t="s">
        <v>45</v>
      </c>
      <c r="L1229">
        <v>5</v>
      </c>
      <c r="M1229" t="s">
        <v>65</v>
      </c>
      <c r="N1229" t="s">
        <v>46</v>
      </c>
    </row>
    <row r="1230" spans="1:14" x14ac:dyDescent="0.2">
      <c r="A1230" s="3">
        <f t="shared" si="20"/>
        <v>58242</v>
      </c>
      <c r="B1230" t="str">
        <f>"00582420001"</f>
        <v>00582420001</v>
      </c>
      <c r="C1230" t="s">
        <v>1599</v>
      </c>
      <c r="D1230" t="s">
        <v>52</v>
      </c>
      <c r="E1230">
        <v>12</v>
      </c>
      <c r="F1230">
        <v>2237</v>
      </c>
      <c r="G1230" t="s">
        <v>1576</v>
      </c>
      <c r="H1230" t="s">
        <v>44</v>
      </c>
      <c r="I1230" t="s">
        <v>45</v>
      </c>
      <c r="J1230" t="s">
        <v>44</v>
      </c>
      <c r="K1230" t="s">
        <v>45</v>
      </c>
      <c r="L1230">
        <v>5</v>
      </c>
      <c r="M1230" t="s">
        <v>65</v>
      </c>
      <c r="N1230" t="s">
        <v>46</v>
      </c>
    </row>
    <row r="1231" spans="1:14" x14ac:dyDescent="0.2">
      <c r="A1231" s="3">
        <f t="shared" si="20"/>
        <v>58253</v>
      </c>
      <c r="B1231" t="str">
        <f>"00582530001"</f>
        <v>00582530001</v>
      </c>
      <c r="C1231" t="s">
        <v>1600</v>
      </c>
      <c r="D1231" t="s">
        <v>52</v>
      </c>
      <c r="E1231">
        <v>12</v>
      </c>
      <c r="F1231">
        <v>2061</v>
      </c>
      <c r="G1231" t="s">
        <v>1552</v>
      </c>
      <c r="H1231" t="s">
        <v>44</v>
      </c>
      <c r="I1231" t="s">
        <v>45</v>
      </c>
      <c r="J1231" t="s">
        <v>44</v>
      </c>
      <c r="K1231" t="s">
        <v>45</v>
      </c>
      <c r="L1231">
        <v>5</v>
      </c>
      <c r="M1231" t="s">
        <v>65</v>
      </c>
      <c r="N1231" t="s">
        <v>46</v>
      </c>
    </row>
    <row r="1232" spans="1:14" x14ac:dyDescent="0.2">
      <c r="A1232" s="3">
        <f t="shared" si="20"/>
        <v>58254</v>
      </c>
      <c r="B1232" t="str">
        <f>"00582540001"</f>
        <v>00582540001</v>
      </c>
      <c r="C1232" t="s">
        <v>1601</v>
      </c>
      <c r="D1232" t="s">
        <v>52</v>
      </c>
      <c r="E1232">
        <v>12</v>
      </c>
      <c r="F1232">
        <v>2237</v>
      </c>
      <c r="G1232" t="s">
        <v>1576</v>
      </c>
      <c r="H1232" t="s">
        <v>44</v>
      </c>
      <c r="I1232" t="s">
        <v>45</v>
      </c>
      <c r="J1232" t="s">
        <v>44</v>
      </c>
      <c r="K1232" t="s">
        <v>45</v>
      </c>
      <c r="L1232">
        <v>5</v>
      </c>
      <c r="M1232" t="s">
        <v>65</v>
      </c>
      <c r="N1232" t="s">
        <v>46</v>
      </c>
    </row>
    <row r="1233" spans="1:14" x14ac:dyDescent="0.2">
      <c r="A1233" s="3">
        <f t="shared" si="20"/>
        <v>58296</v>
      </c>
      <c r="B1233" t="str">
        <f>"00582960001"</f>
        <v>00582960001</v>
      </c>
      <c r="C1233" t="s">
        <v>1602</v>
      </c>
      <c r="D1233" t="s">
        <v>52</v>
      </c>
      <c r="E1233">
        <v>12</v>
      </c>
      <c r="F1233">
        <v>2237</v>
      </c>
      <c r="G1233" t="s">
        <v>1576</v>
      </c>
      <c r="H1233" t="s">
        <v>44</v>
      </c>
      <c r="I1233" t="s">
        <v>45</v>
      </c>
      <c r="J1233" t="s">
        <v>44</v>
      </c>
      <c r="K1233" t="s">
        <v>45</v>
      </c>
      <c r="L1233">
        <v>5</v>
      </c>
      <c r="M1233" t="s">
        <v>65</v>
      </c>
      <c r="N1233" t="s">
        <v>46</v>
      </c>
    </row>
    <row r="1234" spans="1:14" x14ac:dyDescent="0.2">
      <c r="A1234" s="3">
        <f t="shared" si="20"/>
        <v>58379</v>
      </c>
      <c r="B1234" t="str">
        <f>"00583790008"</f>
        <v>00583790008</v>
      </c>
      <c r="C1234" t="s">
        <v>1603</v>
      </c>
      <c r="D1234" t="s">
        <v>52</v>
      </c>
      <c r="E1234">
        <v>12</v>
      </c>
      <c r="F1234">
        <v>2061</v>
      </c>
      <c r="G1234" t="s">
        <v>1552</v>
      </c>
      <c r="H1234" t="s">
        <v>44</v>
      </c>
      <c r="I1234" t="s">
        <v>45</v>
      </c>
      <c r="J1234" t="s">
        <v>44</v>
      </c>
      <c r="K1234" t="s">
        <v>45</v>
      </c>
      <c r="L1234">
        <v>6</v>
      </c>
      <c r="M1234">
        <v>92967</v>
      </c>
      <c r="N1234" t="s">
        <v>46</v>
      </c>
    </row>
    <row r="1235" spans="1:14" x14ac:dyDescent="0.2">
      <c r="A1235" s="3">
        <f t="shared" si="20"/>
        <v>58380</v>
      </c>
      <c r="B1235" t="str">
        <f>"00583800001"</f>
        <v>00583800001</v>
      </c>
      <c r="C1235" t="s">
        <v>1604</v>
      </c>
      <c r="D1235" t="s">
        <v>52</v>
      </c>
      <c r="E1235">
        <v>12</v>
      </c>
      <c r="F1235">
        <v>2061</v>
      </c>
      <c r="G1235" t="s">
        <v>1552</v>
      </c>
      <c r="H1235" t="s">
        <v>44</v>
      </c>
      <c r="I1235" t="s">
        <v>45</v>
      </c>
      <c r="J1235" t="s">
        <v>44</v>
      </c>
      <c r="K1235" t="s">
        <v>45</v>
      </c>
      <c r="L1235">
        <v>5</v>
      </c>
      <c r="M1235" t="s">
        <v>65</v>
      </c>
      <c r="N1235" t="s">
        <v>46</v>
      </c>
    </row>
    <row r="1236" spans="1:14" x14ac:dyDescent="0.2">
      <c r="A1236" s="3">
        <f t="shared" si="20"/>
        <v>58658</v>
      </c>
      <c r="B1236" t="str">
        <f>"00586580020"</f>
        <v>00586580020</v>
      </c>
      <c r="C1236" t="s">
        <v>1605</v>
      </c>
      <c r="D1236" t="s">
        <v>70</v>
      </c>
      <c r="E1236">
        <v>31</v>
      </c>
      <c r="F1236">
        <v>3717</v>
      </c>
      <c r="G1236" t="s">
        <v>1414</v>
      </c>
      <c r="H1236">
        <v>22</v>
      </c>
      <c r="I1236" t="s">
        <v>34</v>
      </c>
      <c r="J1236">
        <v>16</v>
      </c>
      <c r="K1236" t="s">
        <v>34</v>
      </c>
      <c r="L1236">
        <v>8</v>
      </c>
      <c r="M1236">
        <v>84204</v>
      </c>
      <c r="N1236">
        <v>6</v>
      </c>
    </row>
    <row r="1237" spans="1:14" x14ac:dyDescent="0.2">
      <c r="A1237" s="3">
        <f t="shared" si="20"/>
        <v>59542</v>
      </c>
      <c r="B1237" t="str">
        <f>"00595420010"</f>
        <v>00595420010</v>
      </c>
      <c r="C1237" t="s">
        <v>1606</v>
      </c>
      <c r="D1237" t="s">
        <v>604</v>
      </c>
      <c r="E1237">
        <v>70</v>
      </c>
      <c r="F1237">
        <v>845</v>
      </c>
      <c r="G1237" t="s">
        <v>605</v>
      </c>
      <c r="H1237">
        <v>6</v>
      </c>
      <c r="I1237" t="s">
        <v>25</v>
      </c>
      <c r="J1237">
        <v>4</v>
      </c>
      <c r="K1237" t="s">
        <v>25</v>
      </c>
      <c r="L1237">
        <v>8</v>
      </c>
      <c r="M1237">
        <v>73052</v>
      </c>
      <c r="N1237">
        <v>2</v>
      </c>
    </row>
    <row r="1238" spans="1:14" x14ac:dyDescent="0.2">
      <c r="A1238" s="3">
        <f t="shared" si="20"/>
        <v>59688</v>
      </c>
      <c r="B1238" t="str">
        <f>"00596880014"</f>
        <v>00596880014</v>
      </c>
      <c r="C1238" t="s">
        <v>1607</v>
      </c>
      <c r="D1238" t="s">
        <v>36</v>
      </c>
      <c r="E1238">
        <v>70</v>
      </c>
      <c r="F1238">
        <v>3526</v>
      </c>
      <c r="G1238" t="s">
        <v>1608</v>
      </c>
      <c r="H1238">
        <v>120</v>
      </c>
      <c r="I1238" t="s">
        <v>34</v>
      </c>
      <c r="J1238">
        <v>88</v>
      </c>
      <c r="K1238" t="s">
        <v>34</v>
      </c>
      <c r="L1238">
        <v>8</v>
      </c>
      <c r="M1238">
        <v>66162</v>
      </c>
      <c r="N1238">
        <v>32</v>
      </c>
    </row>
    <row r="1239" spans="1:14" x14ac:dyDescent="0.2">
      <c r="A1239" s="3">
        <f t="shared" si="20"/>
        <v>59697</v>
      </c>
      <c r="B1239" t="str">
        <f>"00596970010"</f>
        <v>00596970010</v>
      </c>
      <c r="C1239" t="s">
        <v>1609</v>
      </c>
      <c r="D1239" t="s">
        <v>686</v>
      </c>
      <c r="E1239">
        <v>47</v>
      </c>
      <c r="F1239">
        <v>1417</v>
      </c>
      <c r="G1239" t="s">
        <v>687</v>
      </c>
      <c r="H1239">
        <v>9</v>
      </c>
      <c r="I1239" t="s">
        <v>25</v>
      </c>
      <c r="J1239">
        <v>7</v>
      </c>
      <c r="K1239" t="s">
        <v>25</v>
      </c>
      <c r="L1239">
        <v>8</v>
      </c>
      <c r="M1239">
        <v>76081</v>
      </c>
      <c r="N1239">
        <v>2</v>
      </c>
    </row>
    <row r="1240" spans="1:14" x14ac:dyDescent="0.2">
      <c r="A1240" s="3">
        <f t="shared" si="20"/>
        <v>59786</v>
      </c>
      <c r="B1240" t="str">
        <f>"00597860012"</f>
        <v>00597860012</v>
      </c>
      <c r="C1240" t="s">
        <v>1610</v>
      </c>
      <c r="D1240" t="s">
        <v>216</v>
      </c>
      <c r="E1240">
        <v>72</v>
      </c>
      <c r="F1240">
        <v>8113</v>
      </c>
      <c r="G1240" t="s">
        <v>1611</v>
      </c>
      <c r="H1240">
        <v>90</v>
      </c>
      <c r="I1240" t="s">
        <v>34</v>
      </c>
      <c r="J1240">
        <v>69</v>
      </c>
      <c r="K1240" t="s">
        <v>34</v>
      </c>
      <c r="L1240">
        <v>8</v>
      </c>
      <c r="M1240">
        <v>74045</v>
      </c>
      <c r="N1240">
        <v>21</v>
      </c>
    </row>
    <row r="1241" spans="1:14" x14ac:dyDescent="0.2">
      <c r="A1241" s="3">
        <f t="shared" si="20"/>
        <v>59859</v>
      </c>
      <c r="B1241" t="str">
        <f>"00598590008"</f>
        <v>00598590008</v>
      </c>
      <c r="C1241" t="s">
        <v>1612</v>
      </c>
      <c r="D1241" t="s">
        <v>289</v>
      </c>
      <c r="E1241">
        <v>20</v>
      </c>
      <c r="F1241">
        <v>8086</v>
      </c>
      <c r="G1241" t="s">
        <v>290</v>
      </c>
      <c r="H1241">
        <v>6</v>
      </c>
      <c r="I1241" t="s">
        <v>25</v>
      </c>
      <c r="J1241">
        <v>4</v>
      </c>
      <c r="K1241" t="s">
        <v>25</v>
      </c>
      <c r="L1241">
        <v>6</v>
      </c>
      <c r="M1241">
        <v>99981</v>
      </c>
      <c r="N1241">
        <v>2</v>
      </c>
    </row>
    <row r="1242" spans="1:14" x14ac:dyDescent="0.2">
      <c r="A1242" s="3">
        <f t="shared" si="20"/>
        <v>59859</v>
      </c>
      <c r="B1242" t="str">
        <f>"00598590008"</f>
        <v>00598590008</v>
      </c>
      <c r="C1242" t="s">
        <v>1612</v>
      </c>
      <c r="D1242" t="s">
        <v>289</v>
      </c>
      <c r="E1242">
        <v>20</v>
      </c>
      <c r="F1242">
        <v>2855</v>
      </c>
      <c r="G1242" t="s">
        <v>291</v>
      </c>
      <c r="H1242">
        <v>6</v>
      </c>
      <c r="I1242" t="s">
        <v>25</v>
      </c>
      <c r="J1242">
        <v>4</v>
      </c>
      <c r="K1242" t="s">
        <v>25</v>
      </c>
      <c r="L1242">
        <v>6</v>
      </c>
      <c r="M1242">
        <v>99981</v>
      </c>
      <c r="N1242">
        <v>2</v>
      </c>
    </row>
    <row r="1243" spans="1:14" x14ac:dyDescent="0.2">
      <c r="A1243" s="3">
        <f t="shared" si="20"/>
        <v>60168</v>
      </c>
      <c r="B1243" t="str">
        <f>"00601680002"</f>
        <v>00601680002</v>
      </c>
      <c r="C1243" t="s">
        <v>1613</v>
      </c>
      <c r="D1243" t="s">
        <v>52</v>
      </c>
      <c r="E1243">
        <v>12</v>
      </c>
      <c r="F1243">
        <v>3694</v>
      </c>
      <c r="G1243" t="s">
        <v>1614</v>
      </c>
      <c r="H1243" t="s">
        <v>44</v>
      </c>
      <c r="I1243" t="s">
        <v>45</v>
      </c>
      <c r="J1243" t="s">
        <v>44</v>
      </c>
      <c r="K1243" t="s">
        <v>45</v>
      </c>
      <c r="L1243">
        <v>5</v>
      </c>
      <c r="M1243" t="s">
        <v>65</v>
      </c>
      <c r="N1243" t="s">
        <v>46</v>
      </c>
    </row>
    <row r="1244" spans="1:14" x14ac:dyDescent="0.2">
      <c r="A1244" s="3">
        <f t="shared" si="20"/>
        <v>60375</v>
      </c>
      <c r="B1244" t="str">
        <f>"00603750015"</f>
        <v>00603750015</v>
      </c>
      <c r="C1244" t="s">
        <v>1615</v>
      </c>
      <c r="D1244" t="s">
        <v>622</v>
      </c>
      <c r="E1244">
        <v>82</v>
      </c>
      <c r="F1244">
        <v>1224</v>
      </c>
      <c r="G1244" t="s">
        <v>1014</v>
      </c>
      <c r="H1244" t="s">
        <v>44</v>
      </c>
      <c r="I1244" t="s">
        <v>45</v>
      </c>
      <c r="J1244" t="s">
        <v>44</v>
      </c>
      <c r="K1244" t="s">
        <v>45</v>
      </c>
      <c r="L1244">
        <v>8</v>
      </c>
      <c r="M1244">
        <v>70058</v>
      </c>
      <c r="N1244" t="s">
        <v>46</v>
      </c>
    </row>
    <row r="1245" spans="1:14" x14ac:dyDescent="0.2">
      <c r="A1245" s="3">
        <f t="shared" si="20"/>
        <v>60378</v>
      </c>
      <c r="B1245" t="str">
        <f>"00603780006"</f>
        <v>00603780006</v>
      </c>
      <c r="C1245" t="s">
        <v>1616</v>
      </c>
      <c r="D1245" t="s">
        <v>1344</v>
      </c>
      <c r="E1245">
        <v>70</v>
      </c>
      <c r="F1245">
        <v>2036</v>
      </c>
      <c r="G1245" t="s">
        <v>600</v>
      </c>
      <c r="H1245">
        <v>70</v>
      </c>
      <c r="I1245" t="s">
        <v>34</v>
      </c>
      <c r="J1245">
        <v>56</v>
      </c>
      <c r="K1245" t="s">
        <v>34</v>
      </c>
      <c r="L1245">
        <v>6</v>
      </c>
      <c r="M1245">
        <v>52634</v>
      </c>
      <c r="N1245">
        <v>14</v>
      </c>
    </row>
    <row r="1246" spans="1:14" x14ac:dyDescent="0.2">
      <c r="A1246" s="3">
        <f t="shared" si="20"/>
        <v>60424</v>
      </c>
      <c r="B1246" t="str">
        <f>"00604240016"</f>
        <v>00604240016</v>
      </c>
      <c r="C1246" t="s">
        <v>1617</v>
      </c>
      <c r="D1246" t="s">
        <v>686</v>
      </c>
      <c r="E1246">
        <v>84</v>
      </c>
      <c r="F1246">
        <v>2275</v>
      </c>
      <c r="G1246" t="s">
        <v>1618</v>
      </c>
      <c r="H1246" t="s">
        <v>44</v>
      </c>
      <c r="I1246" t="s">
        <v>45</v>
      </c>
      <c r="J1246" t="s">
        <v>44</v>
      </c>
      <c r="K1246" t="s">
        <v>45</v>
      </c>
      <c r="L1246">
        <v>8</v>
      </c>
      <c r="M1246">
        <v>69034</v>
      </c>
      <c r="N1246" t="s">
        <v>46</v>
      </c>
    </row>
    <row r="1247" spans="1:14" x14ac:dyDescent="0.2">
      <c r="A1247" s="3">
        <f t="shared" si="20"/>
        <v>60634</v>
      </c>
      <c r="B1247" t="str">
        <f>"00606340015"</f>
        <v>00606340015</v>
      </c>
      <c r="C1247" t="s">
        <v>1619</v>
      </c>
      <c r="D1247" t="s">
        <v>115</v>
      </c>
      <c r="E1247">
        <v>45</v>
      </c>
      <c r="F1247">
        <v>2725</v>
      </c>
      <c r="G1247" t="s">
        <v>391</v>
      </c>
      <c r="H1247">
        <v>9</v>
      </c>
      <c r="I1247" t="s">
        <v>25</v>
      </c>
      <c r="J1247">
        <v>7</v>
      </c>
      <c r="K1247" t="s">
        <v>25</v>
      </c>
      <c r="L1247">
        <v>8</v>
      </c>
      <c r="M1247">
        <v>65190</v>
      </c>
      <c r="N1247">
        <v>2</v>
      </c>
    </row>
    <row r="1248" spans="1:14" x14ac:dyDescent="0.2">
      <c r="A1248" s="3">
        <f t="shared" si="20"/>
        <v>60762</v>
      </c>
      <c r="B1248" t="str">
        <f>"00607620008"</f>
        <v>00607620008</v>
      </c>
      <c r="C1248" t="s">
        <v>1394</v>
      </c>
      <c r="D1248" t="s">
        <v>216</v>
      </c>
      <c r="E1248">
        <v>48</v>
      </c>
      <c r="F1248">
        <v>1846</v>
      </c>
      <c r="G1248" t="s">
        <v>1395</v>
      </c>
      <c r="H1248">
        <v>12</v>
      </c>
      <c r="I1248" t="s">
        <v>25</v>
      </c>
      <c r="J1248">
        <v>9</v>
      </c>
      <c r="K1248" t="s">
        <v>25</v>
      </c>
      <c r="L1248">
        <v>8</v>
      </c>
      <c r="M1248">
        <v>74016</v>
      </c>
      <c r="N1248">
        <v>3</v>
      </c>
    </row>
    <row r="1249" spans="1:14" x14ac:dyDescent="0.2">
      <c r="A1249" s="3">
        <f t="shared" si="20"/>
        <v>60804</v>
      </c>
      <c r="B1249" t="str">
        <f>"00608040025"</f>
        <v>00608040025</v>
      </c>
      <c r="C1249" t="s">
        <v>1620</v>
      </c>
      <c r="D1249" t="s">
        <v>36</v>
      </c>
      <c r="E1249">
        <v>70</v>
      </c>
      <c r="F1249">
        <v>3526</v>
      </c>
      <c r="G1249" t="s">
        <v>1608</v>
      </c>
      <c r="H1249">
        <v>6</v>
      </c>
      <c r="I1249" t="s">
        <v>25</v>
      </c>
      <c r="J1249">
        <v>4</v>
      </c>
      <c r="K1249" t="s">
        <v>25</v>
      </c>
      <c r="L1249">
        <v>8</v>
      </c>
      <c r="M1249">
        <v>66124</v>
      </c>
      <c r="N1249">
        <v>2</v>
      </c>
    </row>
    <row r="1250" spans="1:14" x14ac:dyDescent="0.2">
      <c r="A1250" s="3">
        <f t="shared" si="20"/>
        <v>60999</v>
      </c>
      <c r="B1250" t="str">
        <f>"00609990009"</f>
        <v>00609990009</v>
      </c>
      <c r="C1250" t="s">
        <v>1621</v>
      </c>
      <c r="D1250" t="s">
        <v>1339</v>
      </c>
      <c r="E1250">
        <v>82</v>
      </c>
      <c r="F1250">
        <v>2435</v>
      </c>
      <c r="G1250" t="s">
        <v>1622</v>
      </c>
      <c r="H1250" t="s">
        <v>44</v>
      </c>
      <c r="I1250" t="s">
        <v>45</v>
      </c>
      <c r="J1250" t="s">
        <v>44</v>
      </c>
      <c r="K1250" t="s">
        <v>45</v>
      </c>
      <c r="L1250">
        <v>6</v>
      </c>
      <c r="M1250">
        <v>2633</v>
      </c>
      <c r="N1250" t="s">
        <v>46</v>
      </c>
    </row>
    <row r="1251" spans="1:14" x14ac:dyDescent="0.2">
      <c r="A1251" s="3">
        <f t="shared" si="20"/>
        <v>62384</v>
      </c>
      <c r="B1251" t="str">
        <f>"00623840012"</f>
        <v>00623840012</v>
      </c>
      <c r="C1251" t="s">
        <v>1623</v>
      </c>
      <c r="D1251" t="s">
        <v>70</v>
      </c>
      <c r="E1251">
        <v>32</v>
      </c>
      <c r="F1251">
        <v>1102</v>
      </c>
      <c r="G1251" t="s">
        <v>1624</v>
      </c>
      <c r="H1251">
        <v>60</v>
      </c>
      <c r="I1251" t="s">
        <v>34</v>
      </c>
      <c r="J1251">
        <v>44</v>
      </c>
      <c r="K1251" t="s">
        <v>34</v>
      </c>
      <c r="L1251">
        <v>8</v>
      </c>
      <c r="M1251">
        <v>82082</v>
      </c>
      <c r="N1251">
        <v>16</v>
      </c>
    </row>
    <row r="1252" spans="1:14" x14ac:dyDescent="0.2">
      <c r="A1252" s="3">
        <f t="shared" si="20"/>
        <v>62527</v>
      </c>
      <c r="B1252" t="str">
        <f>"00625270010"</f>
        <v>00625270010</v>
      </c>
      <c r="C1252" t="s">
        <v>1625</v>
      </c>
      <c r="D1252" t="s">
        <v>289</v>
      </c>
      <c r="E1252">
        <v>20</v>
      </c>
      <c r="F1252">
        <v>8086</v>
      </c>
      <c r="G1252" t="s">
        <v>290</v>
      </c>
      <c r="H1252">
        <v>12</v>
      </c>
      <c r="I1252" t="s">
        <v>25</v>
      </c>
      <c r="J1252">
        <v>9</v>
      </c>
      <c r="K1252" t="s">
        <v>25</v>
      </c>
      <c r="L1252">
        <v>8</v>
      </c>
      <c r="M1252">
        <v>88039</v>
      </c>
      <c r="N1252">
        <v>3</v>
      </c>
    </row>
    <row r="1253" spans="1:14" x14ac:dyDescent="0.2">
      <c r="A1253" s="3">
        <f t="shared" si="20"/>
        <v>62527</v>
      </c>
      <c r="B1253" t="str">
        <f>"00625270010"</f>
        <v>00625270010</v>
      </c>
      <c r="C1253" t="s">
        <v>1625</v>
      </c>
      <c r="D1253" t="s">
        <v>289</v>
      </c>
      <c r="E1253">
        <v>20</v>
      </c>
      <c r="F1253">
        <v>2827</v>
      </c>
      <c r="G1253" t="s">
        <v>333</v>
      </c>
      <c r="H1253">
        <v>12</v>
      </c>
      <c r="I1253" t="s">
        <v>25</v>
      </c>
      <c r="J1253">
        <v>9</v>
      </c>
      <c r="K1253" t="s">
        <v>25</v>
      </c>
      <c r="L1253">
        <v>8</v>
      </c>
      <c r="M1253">
        <v>88039</v>
      </c>
      <c r="N1253">
        <v>3</v>
      </c>
    </row>
    <row r="1254" spans="1:14" x14ac:dyDescent="0.2">
      <c r="A1254" s="3">
        <f t="shared" si="20"/>
        <v>62635</v>
      </c>
      <c r="B1254" t="str">
        <f>"00626350001"</f>
        <v>00626350001</v>
      </c>
      <c r="C1254" t="s">
        <v>1626</v>
      </c>
      <c r="D1254" t="s">
        <v>52</v>
      </c>
      <c r="E1254">
        <v>12</v>
      </c>
      <c r="F1254">
        <v>2061</v>
      </c>
      <c r="G1254" t="s">
        <v>1552</v>
      </c>
      <c r="H1254" t="s">
        <v>44</v>
      </c>
      <c r="I1254" t="s">
        <v>45</v>
      </c>
      <c r="J1254" t="s">
        <v>44</v>
      </c>
      <c r="K1254" t="s">
        <v>45</v>
      </c>
      <c r="L1254">
        <v>5</v>
      </c>
      <c r="M1254" t="s">
        <v>65</v>
      </c>
      <c r="N1254" t="s">
        <v>46</v>
      </c>
    </row>
    <row r="1255" spans="1:14" x14ac:dyDescent="0.2">
      <c r="A1255" s="3">
        <f t="shared" si="20"/>
        <v>62637</v>
      </c>
      <c r="B1255" t="str">
        <f>"00626370001"</f>
        <v>00626370001</v>
      </c>
      <c r="C1255" t="s">
        <v>1627</v>
      </c>
      <c r="D1255" t="s">
        <v>52</v>
      </c>
      <c r="E1255">
        <v>12</v>
      </c>
      <c r="F1255">
        <v>2237</v>
      </c>
      <c r="G1255" t="s">
        <v>1576</v>
      </c>
      <c r="H1255" t="s">
        <v>44</v>
      </c>
      <c r="I1255" t="s">
        <v>45</v>
      </c>
      <c r="J1255" t="s">
        <v>44</v>
      </c>
      <c r="K1255" t="s">
        <v>45</v>
      </c>
      <c r="L1255">
        <v>5</v>
      </c>
      <c r="M1255" t="s">
        <v>65</v>
      </c>
      <c r="N1255" t="s">
        <v>46</v>
      </c>
    </row>
    <row r="1256" spans="1:14" x14ac:dyDescent="0.2">
      <c r="A1256" s="3">
        <f t="shared" si="20"/>
        <v>62688</v>
      </c>
      <c r="B1256" t="str">
        <f>"00626880001"</f>
        <v>00626880001</v>
      </c>
      <c r="C1256" t="s">
        <v>1628</v>
      </c>
      <c r="D1256" t="s">
        <v>52</v>
      </c>
      <c r="E1256">
        <v>12</v>
      </c>
      <c r="F1256">
        <v>2061</v>
      </c>
      <c r="G1256" t="s">
        <v>1552</v>
      </c>
      <c r="H1256" t="s">
        <v>44</v>
      </c>
      <c r="I1256" t="s">
        <v>45</v>
      </c>
      <c r="J1256" t="s">
        <v>44</v>
      </c>
      <c r="K1256" t="s">
        <v>45</v>
      </c>
      <c r="L1256">
        <v>5</v>
      </c>
      <c r="M1256" t="s">
        <v>65</v>
      </c>
      <c r="N1256" t="s">
        <v>46</v>
      </c>
    </row>
    <row r="1257" spans="1:14" x14ac:dyDescent="0.2">
      <c r="A1257" s="3">
        <f t="shared" si="20"/>
        <v>62781</v>
      </c>
      <c r="B1257" t="str">
        <f>"00627810015"</f>
        <v>00627810015</v>
      </c>
      <c r="C1257" t="s">
        <v>1629</v>
      </c>
      <c r="D1257" t="s">
        <v>622</v>
      </c>
      <c r="E1257">
        <v>82</v>
      </c>
      <c r="F1257">
        <v>1224</v>
      </c>
      <c r="G1257" t="s">
        <v>1014</v>
      </c>
      <c r="H1257" t="s">
        <v>44</v>
      </c>
      <c r="I1257" t="s">
        <v>45</v>
      </c>
      <c r="J1257" t="s">
        <v>44</v>
      </c>
      <c r="K1257" t="s">
        <v>45</v>
      </c>
      <c r="L1257">
        <v>8</v>
      </c>
      <c r="M1257">
        <v>72259</v>
      </c>
      <c r="N1257" t="s">
        <v>46</v>
      </c>
    </row>
    <row r="1258" spans="1:14" x14ac:dyDescent="0.2">
      <c r="A1258" s="3">
        <f t="shared" si="20"/>
        <v>62785</v>
      </c>
      <c r="B1258" t="str">
        <f>"00627850020"</f>
        <v>00627850020</v>
      </c>
      <c r="C1258" t="s">
        <v>1630</v>
      </c>
      <c r="D1258" t="s">
        <v>622</v>
      </c>
      <c r="E1258">
        <v>82</v>
      </c>
      <c r="F1258">
        <v>1224</v>
      </c>
      <c r="G1258" t="s">
        <v>1014</v>
      </c>
      <c r="H1258" t="s">
        <v>44</v>
      </c>
      <c r="I1258" t="s">
        <v>45</v>
      </c>
      <c r="J1258" t="s">
        <v>44</v>
      </c>
      <c r="K1258" t="s">
        <v>45</v>
      </c>
      <c r="L1258">
        <v>8</v>
      </c>
      <c r="M1258">
        <v>72250</v>
      </c>
      <c r="N1258" t="s">
        <v>46</v>
      </c>
    </row>
    <row r="1259" spans="1:14" x14ac:dyDescent="0.2">
      <c r="A1259" s="3">
        <f t="shared" si="20"/>
        <v>62831</v>
      </c>
      <c r="B1259" t="str">
        <f>"00628310024"</f>
        <v>00628310024</v>
      </c>
      <c r="C1259" t="s">
        <v>1631</v>
      </c>
      <c r="D1259" t="s">
        <v>622</v>
      </c>
      <c r="E1259">
        <v>82</v>
      </c>
      <c r="F1259">
        <v>1224</v>
      </c>
      <c r="G1259" t="s">
        <v>1014</v>
      </c>
      <c r="H1259" t="s">
        <v>44</v>
      </c>
      <c r="I1259" t="s">
        <v>45</v>
      </c>
      <c r="J1259" t="s">
        <v>44</v>
      </c>
      <c r="K1259" t="s">
        <v>45</v>
      </c>
      <c r="L1259">
        <v>8</v>
      </c>
      <c r="M1259">
        <v>70173</v>
      </c>
      <c r="N1259" t="s">
        <v>46</v>
      </c>
    </row>
    <row r="1260" spans="1:14" x14ac:dyDescent="0.2">
      <c r="A1260" s="3">
        <f t="shared" si="20"/>
        <v>63103</v>
      </c>
      <c r="B1260" t="str">
        <f>"00631030008"</f>
        <v>00631030008</v>
      </c>
      <c r="C1260" t="s">
        <v>1632</v>
      </c>
      <c r="D1260" t="s">
        <v>67</v>
      </c>
      <c r="E1260">
        <v>36</v>
      </c>
      <c r="F1260">
        <v>4937</v>
      </c>
      <c r="G1260" t="s">
        <v>68</v>
      </c>
      <c r="H1260">
        <v>22</v>
      </c>
      <c r="I1260" t="s">
        <v>34</v>
      </c>
      <c r="J1260">
        <v>16</v>
      </c>
      <c r="K1260" t="s">
        <v>34</v>
      </c>
      <c r="L1260">
        <v>8</v>
      </c>
      <c r="M1260">
        <v>81050</v>
      </c>
      <c r="N1260">
        <v>6</v>
      </c>
    </row>
    <row r="1261" spans="1:14" x14ac:dyDescent="0.2">
      <c r="A1261" s="3">
        <f t="shared" si="20"/>
        <v>63250</v>
      </c>
      <c r="B1261" t="str">
        <f>"00632500006"</f>
        <v>00632500006</v>
      </c>
      <c r="C1261" t="s">
        <v>1633</v>
      </c>
      <c r="D1261" t="s">
        <v>622</v>
      </c>
      <c r="E1261">
        <v>83</v>
      </c>
      <c r="F1261">
        <v>1224</v>
      </c>
      <c r="G1261" t="s">
        <v>1014</v>
      </c>
      <c r="H1261" t="s">
        <v>44</v>
      </c>
      <c r="I1261" t="s">
        <v>45</v>
      </c>
      <c r="J1261" t="s">
        <v>44</v>
      </c>
      <c r="K1261" t="s">
        <v>45</v>
      </c>
      <c r="L1261">
        <v>8</v>
      </c>
      <c r="M1261">
        <v>67157</v>
      </c>
      <c r="N1261" t="s">
        <v>46</v>
      </c>
    </row>
    <row r="1262" spans="1:14" x14ac:dyDescent="0.2">
      <c r="A1262" s="3">
        <f t="shared" si="20"/>
        <v>63258</v>
      </c>
      <c r="B1262" t="str">
        <f>"00632580018"</f>
        <v>00632580018</v>
      </c>
      <c r="C1262" t="s">
        <v>1634</v>
      </c>
      <c r="D1262" t="s">
        <v>543</v>
      </c>
      <c r="E1262">
        <v>49</v>
      </c>
      <c r="F1262">
        <v>4376</v>
      </c>
      <c r="G1262" t="s">
        <v>1488</v>
      </c>
      <c r="H1262">
        <v>8</v>
      </c>
      <c r="I1262" t="s">
        <v>25</v>
      </c>
      <c r="J1262">
        <v>6</v>
      </c>
      <c r="K1262" t="s">
        <v>25</v>
      </c>
      <c r="L1262">
        <v>8</v>
      </c>
      <c r="M1262">
        <v>66012</v>
      </c>
      <c r="N1262">
        <v>2</v>
      </c>
    </row>
    <row r="1263" spans="1:14" x14ac:dyDescent="0.2">
      <c r="A1263" s="3">
        <f t="shared" si="20"/>
        <v>63265</v>
      </c>
      <c r="B1263" t="str">
        <f>"00632650010"</f>
        <v>00632650010</v>
      </c>
      <c r="C1263" t="s">
        <v>1635</v>
      </c>
      <c r="D1263" t="s">
        <v>23</v>
      </c>
      <c r="E1263">
        <v>47</v>
      </c>
      <c r="F1263">
        <v>4616</v>
      </c>
      <c r="G1263" t="s">
        <v>449</v>
      </c>
      <c r="H1263">
        <v>20</v>
      </c>
      <c r="I1263" t="s">
        <v>25</v>
      </c>
      <c r="J1263">
        <v>16</v>
      </c>
      <c r="K1263" t="s">
        <v>25</v>
      </c>
      <c r="L1263">
        <v>8</v>
      </c>
      <c r="M1263">
        <v>72177</v>
      </c>
      <c r="N1263">
        <v>4</v>
      </c>
    </row>
    <row r="1264" spans="1:14" x14ac:dyDescent="0.2">
      <c r="A1264" s="3">
        <f t="shared" si="20"/>
        <v>63359</v>
      </c>
      <c r="B1264" t="str">
        <f>"00633590020"</f>
        <v>00633590020</v>
      </c>
      <c r="C1264" t="s">
        <v>1636</v>
      </c>
      <c r="D1264" t="s">
        <v>42</v>
      </c>
      <c r="E1264">
        <v>70</v>
      </c>
      <c r="F1264">
        <v>703</v>
      </c>
      <c r="G1264" t="s">
        <v>562</v>
      </c>
      <c r="H1264">
        <v>6</v>
      </c>
      <c r="I1264" t="s">
        <v>25</v>
      </c>
      <c r="J1264">
        <v>4</v>
      </c>
      <c r="K1264" t="s">
        <v>25</v>
      </c>
      <c r="L1264">
        <v>8</v>
      </c>
      <c r="M1264">
        <v>74109</v>
      </c>
      <c r="N1264">
        <v>2</v>
      </c>
    </row>
    <row r="1265" spans="1:14" x14ac:dyDescent="0.2">
      <c r="A1265" s="3">
        <f t="shared" si="20"/>
        <v>63453</v>
      </c>
      <c r="B1265" t="str">
        <f>"00634530007"</f>
        <v>00634530007</v>
      </c>
      <c r="C1265" t="s">
        <v>1637</v>
      </c>
      <c r="D1265" t="s">
        <v>70</v>
      </c>
      <c r="E1265">
        <v>33</v>
      </c>
      <c r="F1265">
        <v>1281</v>
      </c>
      <c r="G1265" t="s">
        <v>182</v>
      </c>
      <c r="H1265">
        <v>13</v>
      </c>
      <c r="I1265" t="s">
        <v>34</v>
      </c>
      <c r="J1265">
        <v>9</v>
      </c>
      <c r="K1265" t="s">
        <v>34</v>
      </c>
      <c r="L1265">
        <v>8</v>
      </c>
      <c r="M1265">
        <v>91116</v>
      </c>
      <c r="N1265">
        <v>4</v>
      </c>
    </row>
    <row r="1266" spans="1:14" x14ac:dyDescent="0.2">
      <c r="A1266" s="3">
        <f t="shared" si="20"/>
        <v>63494</v>
      </c>
      <c r="B1266" t="str">
        <f>"00634940006"</f>
        <v>00634940006</v>
      </c>
      <c r="C1266" t="s">
        <v>1638</v>
      </c>
      <c r="D1266" t="s">
        <v>70</v>
      </c>
      <c r="E1266">
        <v>31</v>
      </c>
      <c r="F1266">
        <v>8093</v>
      </c>
      <c r="G1266" t="s">
        <v>1639</v>
      </c>
      <c r="H1266">
        <v>30</v>
      </c>
      <c r="I1266" t="s">
        <v>34</v>
      </c>
      <c r="J1266">
        <v>20</v>
      </c>
      <c r="K1266" t="s">
        <v>34</v>
      </c>
      <c r="L1266">
        <v>9</v>
      </c>
      <c r="M1266">
        <v>85210</v>
      </c>
      <c r="N1266">
        <v>10</v>
      </c>
    </row>
    <row r="1267" spans="1:14" x14ac:dyDescent="0.2">
      <c r="A1267" s="3">
        <f t="shared" si="20"/>
        <v>63499</v>
      </c>
      <c r="B1267" t="str">
        <f>"00634990016"</f>
        <v>00634990016</v>
      </c>
      <c r="C1267" t="s">
        <v>1640</v>
      </c>
      <c r="D1267" t="s">
        <v>52</v>
      </c>
      <c r="E1267">
        <v>20</v>
      </c>
      <c r="F1267">
        <v>2610</v>
      </c>
      <c r="G1267" t="s">
        <v>1641</v>
      </c>
      <c r="H1267">
        <v>15</v>
      </c>
      <c r="I1267" t="s">
        <v>25</v>
      </c>
      <c r="J1267">
        <v>11</v>
      </c>
      <c r="K1267" t="s">
        <v>25</v>
      </c>
      <c r="L1267">
        <v>5</v>
      </c>
      <c r="M1267" t="s">
        <v>65</v>
      </c>
      <c r="N1267">
        <v>4</v>
      </c>
    </row>
    <row r="1268" spans="1:14" x14ac:dyDescent="0.2">
      <c r="A1268" s="3">
        <f t="shared" si="20"/>
        <v>63499</v>
      </c>
      <c r="B1268" t="str">
        <f>"00634990016"</f>
        <v>00634990016</v>
      </c>
      <c r="C1268" t="s">
        <v>1640</v>
      </c>
      <c r="D1268" t="s">
        <v>52</v>
      </c>
      <c r="E1268">
        <v>20</v>
      </c>
      <c r="F1268">
        <v>8086</v>
      </c>
      <c r="G1268" t="s">
        <v>290</v>
      </c>
      <c r="H1268">
        <v>15</v>
      </c>
      <c r="I1268" t="s">
        <v>25</v>
      </c>
      <c r="J1268">
        <v>11</v>
      </c>
      <c r="K1268" t="s">
        <v>25</v>
      </c>
      <c r="L1268">
        <v>5</v>
      </c>
      <c r="M1268" t="s">
        <v>65</v>
      </c>
      <c r="N1268">
        <v>4</v>
      </c>
    </row>
    <row r="1269" spans="1:14" x14ac:dyDescent="0.2">
      <c r="A1269" s="3">
        <f t="shared" si="20"/>
        <v>63512</v>
      </c>
      <c r="B1269" t="str">
        <f>"00635120024"</f>
        <v>00635120024</v>
      </c>
      <c r="C1269" t="s">
        <v>1642</v>
      </c>
      <c r="D1269" t="s">
        <v>52</v>
      </c>
      <c r="E1269">
        <v>50</v>
      </c>
      <c r="F1269">
        <v>1633</v>
      </c>
      <c r="G1269" t="s">
        <v>469</v>
      </c>
      <c r="H1269">
        <v>30</v>
      </c>
      <c r="I1269" t="s">
        <v>25</v>
      </c>
      <c r="J1269">
        <v>24</v>
      </c>
      <c r="K1269" t="s">
        <v>25</v>
      </c>
      <c r="L1269">
        <v>5</v>
      </c>
      <c r="M1269" t="s">
        <v>65</v>
      </c>
      <c r="N1269">
        <v>6</v>
      </c>
    </row>
    <row r="1270" spans="1:14" x14ac:dyDescent="0.2">
      <c r="A1270" s="3">
        <f t="shared" si="20"/>
        <v>64974</v>
      </c>
      <c r="B1270" t="str">
        <f>"00649740075"</f>
        <v>00649740075</v>
      </c>
      <c r="C1270" t="s">
        <v>1643</v>
      </c>
      <c r="D1270" t="s">
        <v>42</v>
      </c>
      <c r="E1270">
        <v>85</v>
      </c>
      <c r="F1270">
        <v>2621</v>
      </c>
      <c r="G1270" t="s">
        <v>1118</v>
      </c>
      <c r="H1270" t="s">
        <v>44</v>
      </c>
      <c r="I1270" t="s">
        <v>45</v>
      </c>
      <c r="J1270" t="s">
        <v>44</v>
      </c>
      <c r="K1270" t="s">
        <v>45</v>
      </c>
      <c r="L1270">
        <v>8</v>
      </c>
      <c r="M1270">
        <v>69060</v>
      </c>
      <c r="N1270" t="s">
        <v>46</v>
      </c>
    </row>
    <row r="1271" spans="1:14" x14ac:dyDescent="0.2">
      <c r="A1271" s="3">
        <f t="shared" si="20"/>
        <v>65260</v>
      </c>
      <c r="B1271" t="str">
        <f>"00652600040"</f>
        <v>00652600040</v>
      </c>
      <c r="C1271" t="s">
        <v>1644</v>
      </c>
      <c r="D1271" t="s">
        <v>324</v>
      </c>
      <c r="E1271">
        <v>74</v>
      </c>
      <c r="F1271">
        <v>8086</v>
      </c>
      <c r="G1271" t="s">
        <v>290</v>
      </c>
      <c r="H1271">
        <v>8</v>
      </c>
      <c r="I1271" t="s">
        <v>25</v>
      </c>
      <c r="J1271">
        <v>6</v>
      </c>
      <c r="K1271" t="s">
        <v>25</v>
      </c>
      <c r="L1271">
        <v>8</v>
      </c>
      <c r="M1271">
        <v>86036</v>
      </c>
      <c r="N1271">
        <v>1</v>
      </c>
    </row>
    <row r="1272" spans="1:14" x14ac:dyDescent="0.2">
      <c r="A1272" s="3">
        <f t="shared" si="20"/>
        <v>65260</v>
      </c>
      <c r="B1272" t="str">
        <f>"00652600040"</f>
        <v>00652600040</v>
      </c>
      <c r="C1272" t="s">
        <v>1644</v>
      </c>
      <c r="D1272" t="s">
        <v>324</v>
      </c>
      <c r="E1272">
        <v>74</v>
      </c>
      <c r="F1272">
        <v>564</v>
      </c>
      <c r="G1272" t="s">
        <v>1645</v>
      </c>
      <c r="H1272">
        <v>8</v>
      </c>
      <c r="I1272" t="s">
        <v>25</v>
      </c>
      <c r="J1272">
        <v>6</v>
      </c>
      <c r="K1272" t="s">
        <v>25</v>
      </c>
      <c r="L1272">
        <v>8</v>
      </c>
      <c r="M1272">
        <v>86036</v>
      </c>
      <c r="N1272">
        <v>1</v>
      </c>
    </row>
    <row r="1273" spans="1:14" x14ac:dyDescent="0.2">
      <c r="A1273" s="3">
        <f t="shared" si="20"/>
        <v>65262</v>
      </c>
      <c r="B1273" t="str">
        <f>"00652620008"</f>
        <v>00652620008</v>
      </c>
      <c r="C1273" t="s">
        <v>1646</v>
      </c>
      <c r="D1273" t="s">
        <v>289</v>
      </c>
      <c r="E1273">
        <v>20</v>
      </c>
      <c r="F1273">
        <v>8086</v>
      </c>
      <c r="G1273" t="s">
        <v>290</v>
      </c>
      <c r="H1273">
        <v>6</v>
      </c>
      <c r="I1273" t="s">
        <v>25</v>
      </c>
      <c r="J1273">
        <v>4</v>
      </c>
      <c r="K1273" t="s">
        <v>25</v>
      </c>
      <c r="L1273">
        <v>8</v>
      </c>
      <c r="M1273">
        <v>87018</v>
      </c>
      <c r="N1273">
        <v>2</v>
      </c>
    </row>
    <row r="1274" spans="1:14" x14ac:dyDescent="0.2">
      <c r="A1274" s="3">
        <f t="shared" si="20"/>
        <v>65262</v>
      </c>
      <c r="B1274" t="str">
        <f>"00652620008"</f>
        <v>00652620008</v>
      </c>
      <c r="C1274" t="s">
        <v>1646</v>
      </c>
      <c r="D1274" t="s">
        <v>289</v>
      </c>
      <c r="E1274">
        <v>20</v>
      </c>
      <c r="F1274">
        <v>2855</v>
      </c>
      <c r="G1274" t="s">
        <v>291</v>
      </c>
      <c r="H1274">
        <v>6</v>
      </c>
      <c r="I1274" t="s">
        <v>25</v>
      </c>
      <c r="J1274">
        <v>4</v>
      </c>
      <c r="K1274" t="s">
        <v>25</v>
      </c>
      <c r="L1274">
        <v>8</v>
      </c>
      <c r="M1274">
        <v>87018</v>
      </c>
      <c r="N1274">
        <v>2</v>
      </c>
    </row>
    <row r="1275" spans="1:14" x14ac:dyDescent="0.2">
      <c r="A1275" s="3">
        <f t="shared" si="20"/>
        <v>65368</v>
      </c>
      <c r="B1275" t="str">
        <f>"00653680025"</f>
        <v>00653680025</v>
      </c>
      <c r="C1275" t="s">
        <v>1647</v>
      </c>
      <c r="D1275" t="s">
        <v>52</v>
      </c>
      <c r="E1275">
        <v>62</v>
      </c>
      <c r="F1275">
        <v>1429</v>
      </c>
      <c r="G1275" t="s">
        <v>873</v>
      </c>
      <c r="H1275">
        <v>11</v>
      </c>
      <c r="I1275" t="s">
        <v>25</v>
      </c>
      <c r="J1275">
        <v>8</v>
      </c>
      <c r="K1275" t="s">
        <v>25</v>
      </c>
      <c r="L1275">
        <v>6</v>
      </c>
      <c r="M1275">
        <v>2634</v>
      </c>
      <c r="N1275">
        <v>3</v>
      </c>
    </row>
    <row r="1276" spans="1:14" x14ac:dyDescent="0.2">
      <c r="A1276" s="3">
        <f t="shared" si="20"/>
        <v>65418</v>
      </c>
      <c r="B1276" t="str">
        <f>"00654180020"</f>
        <v>00654180020</v>
      </c>
      <c r="C1276" t="s">
        <v>1648</v>
      </c>
      <c r="D1276" t="s">
        <v>1344</v>
      </c>
      <c r="E1276">
        <v>70</v>
      </c>
      <c r="F1276">
        <v>2036</v>
      </c>
      <c r="G1276" t="s">
        <v>600</v>
      </c>
      <c r="H1276">
        <v>100</v>
      </c>
      <c r="I1276" t="s">
        <v>34</v>
      </c>
      <c r="J1276">
        <v>75</v>
      </c>
      <c r="K1276" t="s">
        <v>34</v>
      </c>
      <c r="L1276">
        <v>6</v>
      </c>
      <c r="M1276">
        <v>2635</v>
      </c>
      <c r="N1276">
        <v>25</v>
      </c>
    </row>
    <row r="1277" spans="1:14" x14ac:dyDescent="0.2">
      <c r="A1277" s="3">
        <f t="shared" si="20"/>
        <v>65435</v>
      </c>
      <c r="B1277" t="str">
        <f>"00654350008"</f>
        <v>00654350008</v>
      </c>
      <c r="C1277" t="s">
        <v>1649</v>
      </c>
      <c r="D1277" t="s">
        <v>1124</v>
      </c>
      <c r="E1277">
        <v>20</v>
      </c>
      <c r="F1277">
        <v>8086</v>
      </c>
      <c r="G1277" t="s">
        <v>290</v>
      </c>
      <c r="H1277">
        <v>8</v>
      </c>
      <c r="I1277" t="s">
        <v>25</v>
      </c>
      <c r="J1277">
        <v>6</v>
      </c>
      <c r="K1277" t="s">
        <v>25</v>
      </c>
      <c r="L1277">
        <v>6</v>
      </c>
      <c r="M1277">
        <v>99031</v>
      </c>
      <c r="N1277">
        <v>2</v>
      </c>
    </row>
    <row r="1278" spans="1:14" x14ac:dyDescent="0.2">
      <c r="A1278" s="3">
        <f t="shared" si="20"/>
        <v>65435</v>
      </c>
      <c r="B1278" t="str">
        <f>"00654350008"</f>
        <v>00654350008</v>
      </c>
      <c r="C1278" t="s">
        <v>1649</v>
      </c>
      <c r="D1278" t="s">
        <v>1124</v>
      </c>
      <c r="E1278">
        <v>20</v>
      </c>
      <c r="F1278">
        <v>4989</v>
      </c>
      <c r="G1278" t="s">
        <v>1650</v>
      </c>
      <c r="H1278">
        <v>8</v>
      </c>
      <c r="I1278" t="s">
        <v>25</v>
      </c>
      <c r="J1278">
        <v>6</v>
      </c>
      <c r="K1278" t="s">
        <v>25</v>
      </c>
      <c r="L1278">
        <v>6</v>
      </c>
      <c r="M1278">
        <v>99031</v>
      </c>
      <c r="N1278">
        <v>2</v>
      </c>
    </row>
    <row r="1279" spans="1:14" x14ac:dyDescent="0.2">
      <c r="A1279" s="3">
        <f t="shared" si="20"/>
        <v>65481</v>
      </c>
      <c r="B1279" t="str">
        <f>"00654810006"</f>
        <v>00654810006</v>
      </c>
      <c r="C1279" t="s">
        <v>1651</v>
      </c>
      <c r="D1279" t="s">
        <v>67</v>
      </c>
      <c r="E1279">
        <v>72</v>
      </c>
      <c r="F1279">
        <v>2476</v>
      </c>
      <c r="G1279" t="s">
        <v>679</v>
      </c>
      <c r="H1279">
        <v>23</v>
      </c>
      <c r="I1279" t="s">
        <v>34</v>
      </c>
      <c r="J1279">
        <v>17</v>
      </c>
      <c r="K1279" t="s">
        <v>34</v>
      </c>
      <c r="L1279">
        <v>6</v>
      </c>
      <c r="M1279">
        <v>2636</v>
      </c>
      <c r="N1279">
        <v>6</v>
      </c>
    </row>
    <row r="1280" spans="1:14" x14ac:dyDescent="0.2">
      <c r="A1280" s="3">
        <f t="shared" si="20"/>
        <v>65607</v>
      </c>
      <c r="B1280" t="str">
        <f>"00656070039"</f>
        <v>00656070039</v>
      </c>
      <c r="C1280" t="s">
        <v>1652</v>
      </c>
      <c r="D1280" t="s">
        <v>216</v>
      </c>
      <c r="E1280">
        <v>71</v>
      </c>
      <c r="F1280">
        <v>4355</v>
      </c>
      <c r="G1280" t="s">
        <v>553</v>
      </c>
      <c r="H1280">
        <v>120</v>
      </c>
      <c r="I1280" t="s">
        <v>34</v>
      </c>
      <c r="J1280">
        <v>88</v>
      </c>
      <c r="K1280" t="s">
        <v>34</v>
      </c>
      <c r="L1280">
        <v>8</v>
      </c>
      <c r="M1280">
        <v>74203</v>
      </c>
      <c r="N1280">
        <v>32</v>
      </c>
    </row>
    <row r="1281" spans="1:14" x14ac:dyDescent="0.2">
      <c r="A1281" s="3">
        <f t="shared" si="20"/>
        <v>65611</v>
      </c>
      <c r="B1281" t="str">
        <f>"00656110006"</f>
        <v>00656110006</v>
      </c>
      <c r="C1281" t="s">
        <v>1653</v>
      </c>
      <c r="D1281" t="s">
        <v>52</v>
      </c>
      <c r="E1281">
        <v>30</v>
      </c>
      <c r="F1281">
        <v>4980</v>
      </c>
      <c r="G1281" t="s">
        <v>154</v>
      </c>
      <c r="H1281">
        <v>21</v>
      </c>
      <c r="I1281" t="s">
        <v>34</v>
      </c>
      <c r="J1281">
        <v>15</v>
      </c>
      <c r="K1281" t="s">
        <v>34</v>
      </c>
      <c r="L1281">
        <v>6</v>
      </c>
      <c r="M1281">
        <v>2506</v>
      </c>
      <c r="N1281">
        <v>6</v>
      </c>
    </row>
    <row r="1282" spans="1:14" x14ac:dyDescent="0.2">
      <c r="A1282" s="3">
        <f t="shared" si="20"/>
        <v>65810</v>
      </c>
      <c r="B1282" t="str">
        <f>"00658100015"</f>
        <v>00658100015</v>
      </c>
      <c r="C1282" t="s">
        <v>1654</v>
      </c>
      <c r="D1282" t="s">
        <v>604</v>
      </c>
      <c r="E1282">
        <v>83</v>
      </c>
      <c r="F1282">
        <v>1515</v>
      </c>
      <c r="G1282" t="s">
        <v>1655</v>
      </c>
      <c r="H1282">
        <v>36</v>
      </c>
      <c r="I1282" t="s">
        <v>25</v>
      </c>
      <c r="J1282">
        <v>30</v>
      </c>
      <c r="K1282" t="s">
        <v>25</v>
      </c>
      <c r="L1282">
        <v>8</v>
      </c>
      <c r="M1282">
        <v>69027</v>
      </c>
      <c r="N1282">
        <v>6</v>
      </c>
    </row>
    <row r="1283" spans="1:14" x14ac:dyDescent="0.2">
      <c r="A1283" s="3">
        <f t="shared" si="20"/>
        <v>65813</v>
      </c>
      <c r="B1283" t="str">
        <f>"00658130006"</f>
        <v>00658130006</v>
      </c>
      <c r="C1283" t="s">
        <v>1656</v>
      </c>
      <c r="D1283" t="s">
        <v>23</v>
      </c>
      <c r="E1283">
        <v>62</v>
      </c>
      <c r="F1283">
        <v>378</v>
      </c>
      <c r="G1283" t="s">
        <v>880</v>
      </c>
      <c r="H1283">
        <v>150</v>
      </c>
      <c r="I1283" t="s">
        <v>34</v>
      </c>
      <c r="J1283">
        <v>118</v>
      </c>
      <c r="K1283" t="s">
        <v>34</v>
      </c>
      <c r="L1283">
        <v>8</v>
      </c>
      <c r="M1283">
        <v>71193</v>
      </c>
      <c r="N1283">
        <v>32</v>
      </c>
    </row>
    <row r="1284" spans="1:14" x14ac:dyDescent="0.2">
      <c r="A1284" s="3">
        <f t="shared" ref="A1284:A1347" si="21">(B1284-RIGHT(B1284,4))/10000</f>
        <v>65854</v>
      </c>
      <c r="B1284" t="str">
        <f>"00658540024"</f>
        <v>00658540024</v>
      </c>
      <c r="C1284" t="s">
        <v>1657</v>
      </c>
      <c r="D1284" t="s">
        <v>543</v>
      </c>
      <c r="E1284">
        <v>82</v>
      </c>
      <c r="F1284">
        <v>4320</v>
      </c>
      <c r="G1284" t="s">
        <v>1059</v>
      </c>
      <c r="H1284" t="s">
        <v>44</v>
      </c>
      <c r="I1284" t="s">
        <v>45</v>
      </c>
      <c r="J1284" t="s">
        <v>44</v>
      </c>
      <c r="K1284" t="s">
        <v>45</v>
      </c>
      <c r="L1284">
        <v>8</v>
      </c>
      <c r="M1284">
        <v>70164</v>
      </c>
      <c r="N1284" t="s">
        <v>46</v>
      </c>
    </row>
    <row r="1285" spans="1:14" x14ac:dyDescent="0.2">
      <c r="A1285" s="3">
        <f t="shared" si="21"/>
        <v>65975</v>
      </c>
      <c r="B1285" t="str">
        <f>"00659750012"</f>
        <v>00659750012</v>
      </c>
      <c r="C1285" t="s">
        <v>1658</v>
      </c>
      <c r="D1285" t="s">
        <v>543</v>
      </c>
      <c r="E1285">
        <v>82</v>
      </c>
      <c r="F1285">
        <v>4320</v>
      </c>
      <c r="G1285" t="s">
        <v>1059</v>
      </c>
      <c r="H1285" t="s">
        <v>44</v>
      </c>
      <c r="I1285" t="s">
        <v>45</v>
      </c>
      <c r="J1285" t="s">
        <v>44</v>
      </c>
      <c r="K1285" t="s">
        <v>45</v>
      </c>
      <c r="L1285">
        <v>8</v>
      </c>
      <c r="M1285">
        <v>70155</v>
      </c>
      <c r="N1285" t="s">
        <v>46</v>
      </c>
    </row>
    <row r="1286" spans="1:14" x14ac:dyDescent="0.2">
      <c r="A1286" s="3">
        <f t="shared" si="21"/>
        <v>65989</v>
      </c>
      <c r="B1286" t="str">
        <f>"00659890009"</f>
        <v>00659890009</v>
      </c>
      <c r="C1286" t="s">
        <v>1659</v>
      </c>
      <c r="D1286" t="s">
        <v>52</v>
      </c>
      <c r="E1286">
        <v>30</v>
      </c>
      <c r="F1286">
        <v>391</v>
      </c>
      <c r="G1286" t="s">
        <v>168</v>
      </c>
      <c r="H1286">
        <v>60</v>
      </c>
      <c r="I1286" t="s">
        <v>34</v>
      </c>
      <c r="J1286">
        <v>44</v>
      </c>
      <c r="K1286" t="s">
        <v>34</v>
      </c>
      <c r="L1286">
        <v>6</v>
      </c>
      <c r="M1286">
        <v>2507</v>
      </c>
      <c r="N1286">
        <v>16</v>
      </c>
    </row>
    <row r="1287" spans="1:14" x14ac:dyDescent="0.2">
      <c r="A1287" s="3">
        <f t="shared" si="21"/>
        <v>65996</v>
      </c>
      <c r="B1287" t="str">
        <f>"00659960012"</f>
        <v>00659960012</v>
      </c>
      <c r="C1287" t="s">
        <v>1660</v>
      </c>
      <c r="D1287" t="s">
        <v>52</v>
      </c>
      <c r="E1287">
        <v>20</v>
      </c>
      <c r="F1287">
        <v>8086</v>
      </c>
      <c r="G1287" t="s">
        <v>290</v>
      </c>
      <c r="H1287">
        <v>6</v>
      </c>
      <c r="I1287" t="s">
        <v>25</v>
      </c>
      <c r="J1287">
        <v>4</v>
      </c>
      <c r="K1287" t="s">
        <v>25</v>
      </c>
      <c r="L1287">
        <v>6</v>
      </c>
      <c r="M1287">
        <v>99903</v>
      </c>
      <c r="N1287">
        <v>2</v>
      </c>
    </row>
    <row r="1288" spans="1:14" x14ac:dyDescent="0.2">
      <c r="A1288" s="3">
        <f t="shared" si="21"/>
        <v>65996</v>
      </c>
      <c r="B1288" t="str">
        <f>"00659960012"</f>
        <v>00659960012</v>
      </c>
      <c r="C1288" t="s">
        <v>1660</v>
      </c>
      <c r="D1288" t="s">
        <v>52</v>
      </c>
      <c r="E1288">
        <v>20</v>
      </c>
      <c r="F1288">
        <v>5026</v>
      </c>
      <c r="G1288" t="s">
        <v>750</v>
      </c>
      <c r="H1288">
        <v>6</v>
      </c>
      <c r="I1288" t="s">
        <v>25</v>
      </c>
      <c r="J1288">
        <v>4</v>
      </c>
      <c r="K1288" t="s">
        <v>25</v>
      </c>
      <c r="L1288">
        <v>6</v>
      </c>
      <c r="M1288">
        <v>99903</v>
      </c>
      <c r="N1288">
        <v>2</v>
      </c>
    </row>
    <row r="1289" spans="1:14" x14ac:dyDescent="0.2">
      <c r="A1289" s="3">
        <f t="shared" si="21"/>
        <v>67420</v>
      </c>
      <c r="B1289" t="str">
        <f>"00674200012"</f>
        <v>00674200012</v>
      </c>
      <c r="C1289" t="s">
        <v>1661</v>
      </c>
      <c r="D1289" t="s">
        <v>604</v>
      </c>
      <c r="E1289">
        <v>82</v>
      </c>
      <c r="F1289">
        <v>907</v>
      </c>
      <c r="G1289" t="s">
        <v>1076</v>
      </c>
      <c r="H1289" t="s">
        <v>44</v>
      </c>
      <c r="I1289" t="s">
        <v>45</v>
      </c>
      <c r="J1289" t="s">
        <v>44</v>
      </c>
      <c r="K1289" t="s">
        <v>45</v>
      </c>
      <c r="L1289">
        <v>8</v>
      </c>
      <c r="M1289">
        <v>70234</v>
      </c>
      <c r="N1289" t="s">
        <v>46</v>
      </c>
    </row>
    <row r="1290" spans="1:14" x14ac:dyDescent="0.2">
      <c r="A1290" s="3">
        <f t="shared" si="21"/>
        <v>67642</v>
      </c>
      <c r="B1290" t="str">
        <f>"00676420004"</f>
        <v>00676420004</v>
      </c>
      <c r="C1290" t="s">
        <v>1662</v>
      </c>
      <c r="D1290" t="s">
        <v>52</v>
      </c>
      <c r="E1290">
        <v>31</v>
      </c>
      <c r="F1290">
        <v>4248</v>
      </c>
      <c r="G1290" t="s">
        <v>96</v>
      </c>
      <c r="H1290">
        <v>19</v>
      </c>
      <c r="I1290" t="s">
        <v>34</v>
      </c>
      <c r="J1290">
        <v>14</v>
      </c>
      <c r="K1290" t="s">
        <v>34</v>
      </c>
      <c r="L1290">
        <v>6</v>
      </c>
      <c r="M1290">
        <v>1512</v>
      </c>
      <c r="N1290">
        <v>5</v>
      </c>
    </row>
    <row r="1291" spans="1:14" x14ac:dyDescent="0.2">
      <c r="A1291" s="3">
        <f t="shared" si="21"/>
        <v>67754</v>
      </c>
      <c r="B1291" t="str">
        <f>"00677540008"</f>
        <v>00677540008</v>
      </c>
      <c r="C1291" t="s">
        <v>1663</v>
      </c>
      <c r="D1291" t="s">
        <v>48</v>
      </c>
      <c r="E1291">
        <v>31</v>
      </c>
      <c r="F1291">
        <v>2174</v>
      </c>
      <c r="G1291" t="s">
        <v>85</v>
      </c>
      <c r="H1291">
        <v>18</v>
      </c>
      <c r="I1291" t="s">
        <v>34</v>
      </c>
      <c r="J1291">
        <v>13</v>
      </c>
      <c r="K1291" t="s">
        <v>34</v>
      </c>
      <c r="L1291">
        <v>8</v>
      </c>
      <c r="M1291">
        <v>80184</v>
      </c>
      <c r="N1291">
        <v>5</v>
      </c>
    </row>
    <row r="1292" spans="1:14" x14ac:dyDescent="0.2">
      <c r="A1292" s="3">
        <f t="shared" si="21"/>
        <v>67820</v>
      </c>
      <c r="B1292" t="str">
        <f>"00678200018"</f>
        <v>00678200018</v>
      </c>
      <c r="C1292" t="s">
        <v>1664</v>
      </c>
      <c r="D1292" t="s">
        <v>52</v>
      </c>
      <c r="E1292">
        <v>30</v>
      </c>
      <c r="F1292">
        <v>3760</v>
      </c>
      <c r="G1292" t="s">
        <v>197</v>
      </c>
      <c r="H1292">
        <v>17</v>
      </c>
      <c r="I1292" t="s">
        <v>34</v>
      </c>
      <c r="J1292">
        <v>11</v>
      </c>
      <c r="K1292" t="s">
        <v>34</v>
      </c>
      <c r="L1292">
        <v>6</v>
      </c>
      <c r="M1292">
        <v>2508</v>
      </c>
      <c r="N1292">
        <v>6</v>
      </c>
    </row>
    <row r="1293" spans="1:14" x14ac:dyDescent="0.2">
      <c r="A1293" s="3">
        <f t="shared" si="21"/>
        <v>68074</v>
      </c>
      <c r="B1293" t="str">
        <f>"00680740012"</f>
        <v>00680740012</v>
      </c>
      <c r="C1293" t="s">
        <v>1665</v>
      </c>
      <c r="D1293" t="s">
        <v>604</v>
      </c>
      <c r="E1293">
        <v>44</v>
      </c>
      <c r="F1293">
        <v>7220</v>
      </c>
      <c r="G1293" t="s">
        <v>1429</v>
      </c>
      <c r="H1293">
        <v>30</v>
      </c>
      <c r="I1293" t="s">
        <v>25</v>
      </c>
      <c r="J1293">
        <v>24</v>
      </c>
      <c r="K1293" t="s">
        <v>25</v>
      </c>
      <c r="L1293">
        <v>8</v>
      </c>
      <c r="M1293">
        <v>66023</v>
      </c>
      <c r="N1293">
        <v>6</v>
      </c>
    </row>
    <row r="1294" spans="1:14" x14ac:dyDescent="0.2">
      <c r="A1294" s="3">
        <f t="shared" si="21"/>
        <v>68193</v>
      </c>
      <c r="B1294" t="str">
        <f>"00681930025"</f>
        <v>00681930025</v>
      </c>
      <c r="C1294" t="s">
        <v>1666</v>
      </c>
      <c r="D1294" t="s">
        <v>23</v>
      </c>
      <c r="E1294">
        <v>62</v>
      </c>
      <c r="F1294">
        <v>1429</v>
      </c>
      <c r="G1294" t="s">
        <v>873</v>
      </c>
      <c r="H1294">
        <v>8</v>
      </c>
      <c r="I1294" t="s">
        <v>25</v>
      </c>
      <c r="J1294">
        <v>6</v>
      </c>
      <c r="K1294" t="s">
        <v>25</v>
      </c>
      <c r="L1294">
        <v>6</v>
      </c>
      <c r="M1294">
        <v>2637</v>
      </c>
      <c r="N1294">
        <v>2</v>
      </c>
    </row>
    <row r="1295" spans="1:14" x14ac:dyDescent="0.2">
      <c r="A1295" s="3">
        <f t="shared" si="21"/>
        <v>68400</v>
      </c>
      <c r="B1295" t="str">
        <f>"00684000006"</f>
        <v>00684000006</v>
      </c>
      <c r="C1295" t="s">
        <v>1667</v>
      </c>
      <c r="D1295" t="s">
        <v>431</v>
      </c>
      <c r="E1295">
        <v>45</v>
      </c>
      <c r="F1295">
        <v>1701</v>
      </c>
      <c r="G1295" t="s">
        <v>389</v>
      </c>
      <c r="H1295">
        <v>9</v>
      </c>
      <c r="I1295" t="s">
        <v>25</v>
      </c>
      <c r="J1295">
        <v>7</v>
      </c>
      <c r="K1295" t="s">
        <v>25</v>
      </c>
      <c r="L1295">
        <v>8</v>
      </c>
      <c r="M1295">
        <v>65226</v>
      </c>
      <c r="N1295">
        <v>2</v>
      </c>
    </row>
    <row r="1296" spans="1:14" x14ac:dyDescent="0.2">
      <c r="A1296" s="3">
        <f t="shared" si="21"/>
        <v>68460</v>
      </c>
      <c r="B1296" t="str">
        <f>"00684600012"</f>
        <v>00684600012</v>
      </c>
      <c r="C1296" t="s">
        <v>1668</v>
      </c>
      <c r="D1296" t="s">
        <v>52</v>
      </c>
      <c r="E1296">
        <v>30</v>
      </c>
      <c r="F1296">
        <v>2755</v>
      </c>
      <c r="G1296" t="s">
        <v>170</v>
      </c>
      <c r="H1296">
        <v>24</v>
      </c>
      <c r="I1296" t="s">
        <v>34</v>
      </c>
      <c r="J1296">
        <v>18</v>
      </c>
      <c r="K1296" t="s">
        <v>34</v>
      </c>
      <c r="L1296">
        <v>6</v>
      </c>
      <c r="M1296">
        <v>2509</v>
      </c>
      <c r="N1296">
        <v>6</v>
      </c>
    </row>
    <row r="1297" spans="1:14" x14ac:dyDescent="0.2">
      <c r="A1297" s="3">
        <f t="shared" si="21"/>
        <v>68479</v>
      </c>
      <c r="B1297" t="str">
        <f>"00684790006"</f>
        <v>00684790006</v>
      </c>
      <c r="C1297" t="s">
        <v>1669</v>
      </c>
      <c r="D1297" t="s">
        <v>32</v>
      </c>
      <c r="E1297">
        <v>31</v>
      </c>
      <c r="F1297">
        <v>4248</v>
      </c>
      <c r="G1297" t="s">
        <v>96</v>
      </c>
      <c r="H1297">
        <v>19</v>
      </c>
      <c r="I1297" t="s">
        <v>34</v>
      </c>
      <c r="J1297">
        <v>14</v>
      </c>
      <c r="K1297" t="s">
        <v>34</v>
      </c>
      <c r="L1297">
        <v>8</v>
      </c>
      <c r="M1297">
        <v>80250</v>
      </c>
      <c r="N1297">
        <v>5</v>
      </c>
    </row>
    <row r="1298" spans="1:14" x14ac:dyDescent="0.2">
      <c r="A1298" s="3">
        <f t="shared" si="21"/>
        <v>69751</v>
      </c>
      <c r="B1298" t="str">
        <f>"00697510001"</f>
        <v>00697510001</v>
      </c>
      <c r="C1298" t="s">
        <v>1670</v>
      </c>
      <c r="D1298" t="s">
        <v>52</v>
      </c>
      <c r="E1298">
        <v>12</v>
      </c>
      <c r="F1298">
        <v>2237</v>
      </c>
      <c r="G1298" t="s">
        <v>1576</v>
      </c>
      <c r="H1298" t="s">
        <v>44</v>
      </c>
      <c r="I1298" t="s">
        <v>45</v>
      </c>
      <c r="J1298" t="s">
        <v>44</v>
      </c>
      <c r="K1298" t="s">
        <v>45</v>
      </c>
      <c r="L1298">
        <v>5</v>
      </c>
      <c r="M1298" t="s">
        <v>65</v>
      </c>
      <c r="N1298" t="s">
        <v>46</v>
      </c>
    </row>
    <row r="1299" spans="1:14" x14ac:dyDescent="0.2">
      <c r="A1299" s="3">
        <f t="shared" si="21"/>
        <v>69751</v>
      </c>
      <c r="B1299" t="str">
        <f>"00697510011"</f>
        <v>00697510011</v>
      </c>
      <c r="C1299" t="s">
        <v>1670</v>
      </c>
      <c r="D1299" t="s">
        <v>52</v>
      </c>
      <c r="E1299">
        <v>12</v>
      </c>
      <c r="F1299">
        <v>2237</v>
      </c>
      <c r="G1299" t="s">
        <v>1576</v>
      </c>
      <c r="H1299" t="s">
        <v>44</v>
      </c>
      <c r="I1299" t="s">
        <v>45</v>
      </c>
      <c r="J1299" t="s">
        <v>44</v>
      </c>
      <c r="K1299" t="s">
        <v>45</v>
      </c>
      <c r="L1299">
        <v>7</v>
      </c>
      <c r="M1299">
        <v>92940</v>
      </c>
      <c r="N1299" t="s">
        <v>46</v>
      </c>
    </row>
    <row r="1300" spans="1:14" x14ac:dyDescent="0.2">
      <c r="A1300" s="3">
        <f t="shared" si="21"/>
        <v>69753</v>
      </c>
      <c r="B1300" t="str">
        <f>"00697530001"</f>
        <v>00697530001</v>
      </c>
      <c r="C1300" t="s">
        <v>1671</v>
      </c>
      <c r="D1300" t="s">
        <v>52</v>
      </c>
      <c r="E1300">
        <v>12</v>
      </c>
      <c r="F1300">
        <v>2237</v>
      </c>
      <c r="G1300" t="s">
        <v>1576</v>
      </c>
      <c r="H1300" t="s">
        <v>44</v>
      </c>
      <c r="I1300" t="s">
        <v>45</v>
      </c>
      <c r="J1300" t="s">
        <v>44</v>
      </c>
      <c r="K1300" t="s">
        <v>45</v>
      </c>
      <c r="L1300">
        <v>5</v>
      </c>
      <c r="M1300" t="s">
        <v>65</v>
      </c>
      <c r="N1300" t="s">
        <v>46</v>
      </c>
    </row>
    <row r="1301" spans="1:14" x14ac:dyDescent="0.2">
      <c r="A1301" s="3">
        <f t="shared" si="21"/>
        <v>69753</v>
      </c>
      <c r="B1301" t="str">
        <f>"00697530007"</f>
        <v>00697530007</v>
      </c>
      <c r="C1301" t="s">
        <v>1671</v>
      </c>
      <c r="D1301" t="s">
        <v>52</v>
      </c>
      <c r="E1301">
        <v>12</v>
      </c>
      <c r="F1301">
        <v>2237</v>
      </c>
      <c r="G1301" t="s">
        <v>1576</v>
      </c>
      <c r="H1301" t="s">
        <v>44</v>
      </c>
      <c r="I1301" t="s">
        <v>45</v>
      </c>
      <c r="J1301" t="s">
        <v>44</v>
      </c>
      <c r="K1301" t="s">
        <v>45</v>
      </c>
      <c r="L1301">
        <v>7</v>
      </c>
      <c r="M1301">
        <v>92920</v>
      </c>
      <c r="N1301" t="s">
        <v>46</v>
      </c>
    </row>
    <row r="1302" spans="1:14" x14ac:dyDescent="0.2">
      <c r="A1302" s="3">
        <f t="shared" si="21"/>
        <v>69753</v>
      </c>
      <c r="B1302" t="str">
        <f>"00697530007"</f>
        <v>00697530007</v>
      </c>
      <c r="C1302" t="s">
        <v>1671</v>
      </c>
      <c r="D1302" t="s">
        <v>52</v>
      </c>
      <c r="E1302">
        <v>12</v>
      </c>
      <c r="F1302">
        <v>3694</v>
      </c>
      <c r="G1302" t="s">
        <v>1614</v>
      </c>
      <c r="H1302" t="s">
        <v>44</v>
      </c>
      <c r="I1302" t="s">
        <v>45</v>
      </c>
      <c r="J1302" t="s">
        <v>44</v>
      </c>
      <c r="K1302" t="s">
        <v>45</v>
      </c>
      <c r="L1302">
        <v>7</v>
      </c>
      <c r="M1302">
        <v>92920</v>
      </c>
      <c r="N1302" t="s">
        <v>46</v>
      </c>
    </row>
    <row r="1303" spans="1:14" x14ac:dyDescent="0.2">
      <c r="A1303" s="3">
        <f t="shared" si="21"/>
        <v>69783</v>
      </c>
      <c r="B1303" t="str">
        <f>"00697830009"</f>
        <v>00697830009</v>
      </c>
      <c r="C1303" t="s">
        <v>1672</v>
      </c>
      <c r="D1303" t="s">
        <v>52</v>
      </c>
      <c r="E1303">
        <v>12</v>
      </c>
      <c r="F1303">
        <v>2237</v>
      </c>
      <c r="G1303" t="s">
        <v>1576</v>
      </c>
      <c r="H1303" t="s">
        <v>44</v>
      </c>
      <c r="I1303" t="s">
        <v>45</v>
      </c>
      <c r="J1303" t="s">
        <v>44</v>
      </c>
      <c r="K1303" t="s">
        <v>45</v>
      </c>
      <c r="L1303">
        <v>7</v>
      </c>
      <c r="M1303">
        <v>92880</v>
      </c>
      <c r="N1303" t="s">
        <v>46</v>
      </c>
    </row>
    <row r="1304" spans="1:14" x14ac:dyDescent="0.2">
      <c r="A1304" s="3">
        <f t="shared" si="21"/>
        <v>69790</v>
      </c>
      <c r="B1304" t="str">
        <f>"00697900010"</f>
        <v>00697900010</v>
      </c>
      <c r="C1304" t="s">
        <v>1673</v>
      </c>
      <c r="D1304" t="s">
        <v>52</v>
      </c>
      <c r="E1304">
        <v>12</v>
      </c>
      <c r="F1304">
        <v>2237</v>
      </c>
      <c r="G1304" t="s">
        <v>1576</v>
      </c>
      <c r="H1304" t="s">
        <v>44</v>
      </c>
      <c r="I1304" t="s">
        <v>45</v>
      </c>
      <c r="J1304" t="s">
        <v>44</v>
      </c>
      <c r="K1304" t="s">
        <v>45</v>
      </c>
      <c r="L1304">
        <v>7</v>
      </c>
      <c r="M1304">
        <v>92210</v>
      </c>
      <c r="N1304" t="s">
        <v>46</v>
      </c>
    </row>
    <row r="1305" spans="1:14" x14ac:dyDescent="0.2">
      <c r="A1305" s="3">
        <f t="shared" si="21"/>
        <v>69790</v>
      </c>
      <c r="B1305" t="str">
        <f>"00697900010"</f>
        <v>00697900010</v>
      </c>
      <c r="C1305" t="s">
        <v>1673</v>
      </c>
      <c r="D1305" t="s">
        <v>52</v>
      </c>
      <c r="E1305">
        <v>12</v>
      </c>
      <c r="F1305">
        <v>3694</v>
      </c>
      <c r="G1305" t="s">
        <v>1614</v>
      </c>
      <c r="H1305" t="s">
        <v>44</v>
      </c>
      <c r="I1305" t="s">
        <v>45</v>
      </c>
      <c r="J1305" t="s">
        <v>44</v>
      </c>
      <c r="K1305" t="s">
        <v>45</v>
      </c>
      <c r="L1305">
        <v>7</v>
      </c>
      <c r="M1305">
        <v>92210</v>
      </c>
      <c r="N1305" t="s">
        <v>46</v>
      </c>
    </row>
    <row r="1306" spans="1:14" x14ac:dyDescent="0.2">
      <c r="A1306" s="3">
        <f t="shared" si="21"/>
        <v>69833</v>
      </c>
      <c r="B1306" t="str">
        <f>"00698330030"</f>
        <v>00698330030</v>
      </c>
      <c r="C1306" t="s">
        <v>1674</v>
      </c>
      <c r="D1306" t="s">
        <v>604</v>
      </c>
      <c r="E1306">
        <v>82</v>
      </c>
      <c r="F1306">
        <v>907</v>
      </c>
      <c r="G1306" t="s">
        <v>1076</v>
      </c>
      <c r="H1306" t="s">
        <v>44</v>
      </c>
      <c r="I1306" t="s">
        <v>45</v>
      </c>
      <c r="J1306" t="s">
        <v>44</v>
      </c>
      <c r="K1306" t="s">
        <v>45</v>
      </c>
      <c r="L1306">
        <v>8</v>
      </c>
      <c r="M1306">
        <v>70269</v>
      </c>
      <c r="N1306" t="s">
        <v>46</v>
      </c>
    </row>
    <row r="1307" spans="1:14" x14ac:dyDescent="0.2">
      <c r="A1307" s="3">
        <f t="shared" si="21"/>
        <v>69943</v>
      </c>
      <c r="B1307" t="str">
        <f>"00699430120"</f>
        <v>00699430120</v>
      </c>
      <c r="C1307" t="s">
        <v>1675</v>
      </c>
      <c r="D1307" t="s">
        <v>289</v>
      </c>
      <c r="E1307">
        <v>74</v>
      </c>
      <c r="F1307">
        <v>8086</v>
      </c>
      <c r="G1307" t="s">
        <v>290</v>
      </c>
      <c r="H1307">
        <v>9</v>
      </c>
      <c r="I1307" t="s">
        <v>25</v>
      </c>
      <c r="J1307">
        <v>7</v>
      </c>
      <c r="K1307" t="s">
        <v>25</v>
      </c>
      <c r="L1307">
        <v>8</v>
      </c>
      <c r="M1307">
        <v>86019</v>
      </c>
      <c r="N1307">
        <v>1</v>
      </c>
    </row>
    <row r="1308" spans="1:14" x14ac:dyDescent="0.2">
      <c r="A1308" s="3">
        <f t="shared" si="21"/>
        <v>69943</v>
      </c>
      <c r="B1308" t="str">
        <f>"00699430120"</f>
        <v>00699430120</v>
      </c>
      <c r="C1308" t="s">
        <v>1675</v>
      </c>
      <c r="D1308" t="s">
        <v>289</v>
      </c>
      <c r="E1308">
        <v>74</v>
      </c>
      <c r="F1308">
        <v>2477</v>
      </c>
      <c r="G1308" t="s">
        <v>1426</v>
      </c>
      <c r="H1308">
        <v>9</v>
      </c>
      <c r="I1308" t="s">
        <v>25</v>
      </c>
      <c r="J1308">
        <v>7</v>
      </c>
      <c r="K1308" t="s">
        <v>25</v>
      </c>
      <c r="L1308">
        <v>8</v>
      </c>
      <c r="M1308">
        <v>86019</v>
      </c>
      <c r="N1308">
        <v>1</v>
      </c>
    </row>
    <row r="1309" spans="1:14" x14ac:dyDescent="0.2">
      <c r="A1309" s="3">
        <f t="shared" si="21"/>
        <v>69944</v>
      </c>
      <c r="B1309" t="str">
        <f>"00699440068"</f>
        <v>00699440068</v>
      </c>
      <c r="C1309" t="s">
        <v>1676</v>
      </c>
      <c r="D1309" t="s">
        <v>289</v>
      </c>
      <c r="E1309">
        <v>74</v>
      </c>
      <c r="F1309">
        <v>8086</v>
      </c>
      <c r="G1309" t="s">
        <v>290</v>
      </c>
      <c r="H1309">
        <v>9</v>
      </c>
      <c r="I1309" t="s">
        <v>25</v>
      </c>
      <c r="J1309">
        <v>7</v>
      </c>
      <c r="K1309" t="s">
        <v>25</v>
      </c>
      <c r="L1309">
        <v>8</v>
      </c>
      <c r="M1309">
        <v>86015</v>
      </c>
      <c r="N1309">
        <v>1</v>
      </c>
    </row>
    <row r="1310" spans="1:14" x14ac:dyDescent="0.2">
      <c r="A1310" s="3">
        <f t="shared" si="21"/>
        <v>69944</v>
      </c>
      <c r="B1310" t="str">
        <f>"00699440068"</f>
        <v>00699440068</v>
      </c>
      <c r="C1310" t="s">
        <v>1676</v>
      </c>
      <c r="D1310" t="s">
        <v>289</v>
      </c>
      <c r="E1310">
        <v>74</v>
      </c>
      <c r="F1310">
        <v>2477</v>
      </c>
      <c r="G1310" t="s">
        <v>1426</v>
      </c>
      <c r="H1310">
        <v>9</v>
      </c>
      <c r="I1310" t="s">
        <v>25</v>
      </c>
      <c r="J1310">
        <v>7</v>
      </c>
      <c r="K1310" t="s">
        <v>25</v>
      </c>
      <c r="L1310">
        <v>8</v>
      </c>
      <c r="M1310">
        <v>86015</v>
      </c>
      <c r="N1310">
        <v>1</v>
      </c>
    </row>
    <row r="1311" spans="1:14" x14ac:dyDescent="0.2">
      <c r="A1311" s="3">
        <f t="shared" si="21"/>
        <v>69948</v>
      </c>
      <c r="B1311" t="str">
        <f>"00699480028"</f>
        <v>00699480028</v>
      </c>
      <c r="C1311" t="s">
        <v>1677</v>
      </c>
      <c r="D1311" t="s">
        <v>289</v>
      </c>
      <c r="E1311">
        <v>20</v>
      </c>
      <c r="F1311">
        <v>8086</v>
      </c>
      <c r="G1311" t="s">
        <v>290</v>
      </c>
      <c r="H1311">
        <v>12</v>
      </c>
      <c r="I1311" t="s">
        <v>25</v>
      </c>
      <c r="J1311">
        <v>9</v>
      </c>
      <c r="K1311" t="s">
        <v>25</v>
      </c>
      <c r="L1311">
        <v>6</v>
      </c>
      <c r="M1311" t="s">
        <v>65</v>
      </c>
      <c r="N1311">
        <v>3</v>
      </c>
    </row>
    <row r="1312" spans="1:14" x14ac:dyDescent="0.2">
      <c r="A1312" s="3">
        <f t="shared" si="21"/>
        <v>69948</v>
      </c>
      <c r="B1312" t="str">
        <f>"00699480028"</f>
        <v>00699480028</v>
      </c>
      <c r="C1312" t="s">
        <v>1677</v>
      </c>
      <c r="D1312" t="s">
        <v>289</v>
      </c>
      <c r="E1312">
        <v>20</v>
      </c>
      <c r="F1312">
        <v>2827</v>
      </c>
      <c r="G1312" t="s">
        <v>333</v>
      </c>
      <c r="H1312">
        <v>12</v>
      </c>
      <c r="I1312" t="s">
        <v>25</v>
      </c>
      <c r="J1312">
        <v>9</v>
      </c>
      <c r="K1312" t="s">
        <v>25</v>
      </c>
      <c r="L1312">
        <v>6</v>
      </c>
      <c r="M1312" t="s">
        <v>65</v>
      </c>
      <c r="N1312">
        <v>3</v>
      </c>
    </row>
    <row r="1313" spans="1:14" x14ac:dyDescent="0.2">
      <c r="A1313" s="3">
        <f t="shared" si="21"/>
        <v>69995</v>
      </c>
      <c r="B1313" t="str">
        <f>"00699950020"</f>
        <v>00699950020</v>
      </c>
      <c r="C1313" t="s">
        <v>1678</v>
      </c>
      <c r="D1313" t="s">
        <v>52</v>
      </c>
      <c r="E1313">
        <v>32</v>
      </c>
      <c r="F1313">
        <v>8136</v>
      </c>
      <c r="G1313" t="s">
        <v>838</v>
      </c>
      <c r="H1313">
        <v>95</v>
      </c>
      <c r="I1313" t="s">
        <v>34</v>
      </c>
      <c r="J1313">
        <v>72</v>
      </c>
      <c r="K1313" t="s">
        <v>34</v>
      </c>
      <c r="L1313">
        <v>5</v>
      </c>
      <c r="M1313" t="s">
        <v>65</v>
      </c>
      <c r="N1313">
        <v>23</v>
      </c>
    </row>
    <row r="1314" spans="1:14" x14ac:dyDescent="0.2">
      <c r="A1314" s="3">
        <f t="shared" si="21"/>
        <v>70012</v>
      </c>
      <c r="B1314" t="str">
        <f>"00700120016"</f>
        <v>00700120016</v>
      </c>
      <c r="C1314" t="s">
        <v>1679</v>
      </c>
      <c r="D1314" t="s">
        <v>70</v>
      </c>
      <c r="E1314">
        <v>33</v>
      </c>
      <c r="F1314">
        <v>8080</v>
      </c>
      <c r="G1314" t="s">
        <v>1680</v>
      </c>
      <c r="H1314">
        <v>23</v>
      </c>
      <c r="I1314" t="s">
        <v>34</v>
      </c>
      <c r="J1314">
        <v>17</v>
      </c>
      <c r="K1314" t="s">
        <v>34</v>
      </c>
      <c r="L1314">
        <v>8</v>
      </c>
      <c r="M1314">
        <v>83208</v>
      </c>
      <c r="N1314">
        <v>6</v>
      </c>
    </row>
    <row r="1315" spans="1:14" x14ac:dyDescent="0.2">
      <c r="A1315" s="3">
        <f t="shared" si="21"/>
        <v>70432</v>
      </c>
      <c r="B1315" t="str">
        <f>"00704320028"</f>
        <v>00704320028</v>
      </c>
      <c r="C1315" t="s">
        <v>1681</v>
      </c>
      <c r="D1315" t="s">
        <v>604</v>
      </c>
      <c r="E1315">
        <v>47</v>
      </c>
      <c r="F1315">
        <v>1797</v>
      </c>
      <c r="G1315" t="s">
        <v>710</v>
      </c>
      <c r="H1315">
        <v>9</v>
      </c>
      <c r="I1315" t="s">
        <v>25</v>
      </c>
      <c r="J1315">
        <v>7</v>
      </c>
      <c r="K1315" t="s">
        <v>25</v>
      </c>
      <c r="L1315">
        <v>6</v>
      </c>
      <c r="M1315" t="s">
        <v>65</v>
      </c>
      <c r="N1315">
        <v>2</v>
      </c>
    </row>
    <row r="1316" spans="1:14" x14ac:dyDescent="0.2">
      <c r="A1316" s="3">
        <f t="shared" si="21"/>
        <v>70557</v>
      </c>
      <c r="B1316" t="str">
        <f>"00705570006"</f>
        <v>00705570006</v>
      </c>
      <c r="C1316" t="s">
        <v>1682</v>
      </c>
      <c r="D1316" t="s">
        <v>386</v>
      </c>
      <c r="E1316">
        <v>60</v>
      </c>
      <c r="F1316">
        <v>2251</v>
      </c>
      <c r="G1316" t="s">
        <v>1683</v>
      </c>
      <c r="H1316" t="s">
        <v>44</v>
      </c>
      <c r="I1316" t="s">
        <v>45</v>
      </c>
      <c r="J1316" t="s">
        <v>44</v>
      </c>
      <c r="K1316" t="s">
        <v>45</v>
      </c>
      <c r="L1316">
        <v>8</v>
      </c>
      <c r="M1316">
        <v>61164</v>
      </c>
      <c r="N1316" t="s">
        <v>46</v>
      </c>
    </row>
    <row r="1317" spans="1:14" x14ac:dyDescent="0.2">
      <c r="A1317" s="3">
        <f t="shared" si="21"/>
        <v>70675</v>
      </c>
      <c r="B1317" t="str">
        <f>"00706750008"</f>
        <v>00706750008</v>
      </c>
      <c r="C1317" t="s">
        <v>1684</v>
      </c>
      <c r="D1317" t="s">
        <v>32</v>
      </c>
      <c r="E1317">
        <v>31</v>
      </c>
      <c r="F1317">
        <v>4248</v>
      </c>
      <c r="G1317" t="s">
        <v>96</v>
      </c>
      <c r="H1317">
        <v>21</v>
      </c>
      <c r="I1317" t="s">
        <v>34</v>
      </c>
      <c r="J1317">
        <v>15</v>
      </c>
      <c r="K1317" t="s">
        <v>34</v>
      </c>
      <c r="L1317">
        <v>8</v>
      </c>
      <c r="M1317">
        <v>80219</v>
      </c>
      <c r="N1317">
        <v>6</v>
      </c>
    </row>
    <row r="1318" spans="1:14" x14ac:dyDescent="0.2">
      <c r="A1318" s="3">
        <f t="shared" si="21"/>
        <v>70676</v>
      </c>
      <c r="B1318" t="str">
        <f>"00706760008"</f>
        <v>00706760008</v>
      </c>
      <c r="C1318" t="s">
        <v>1685</v>
      </c>
      <c r="D1318" t="s">
        <v>32</v>
      </c>
      <c r="E1318">
        <v>31</v>
      </c>
      <c r="F1318">
        <v>4248</v>
      </c>
      <c r="G1318" t="s">
        <v>96</v>
      </c>
      <c r="H1318">
        <v>21</v>
      </c>
      <c r="I1318" t="s">
        <v>34</v>
      </c>
      <c r="J1318">
        <v>15</v>
      </c>
      <c r="K1318" t="s">
        <v>34</v>
      </c>
      <c r="L1318">
        <v>8</v>
      </c>
      <c r="M1318">
        <v>80237</v>
      </c>
      <c r="N1318">
        <v>6</v>
      </c>
    </row>
    <row r="1319" spans="1:14" x14ac:dyDescent="0.2">
      <c r="A1319" s="3">
        <f t="shared" si="21"/>
        <v>70686</v>
      </c>
      <c r="B1319" t="str">
        <f>"00706860004"</f>
        <v>00706860004</v>
      </c>
      <c r="C1319" t="s">
        <v>1686</v>
      </c>
      <c r="D1319" t="s">
        <v>1339</v>
      </c>
      <c r="E1319">
        <v>84</v>
      </c>
      <c r="F1319">
        <v>3640</v>
      </c>
      <c r="G1319" t="s">
        <v>1035</v>
      </c>
      <c r="H1319" t="s">
        <v>44</v>
      </c>
      <c r="I1319" t="s">
        <v>45</v>
      </c>
      <c r="J1319" t="s">
        <v>44</v>
      </c>
      <c r="K1319" t="s">
        <v>45</v>
      </c>
      <c r="L1319">
        <v>6</v>
      </c>
      <c r="M1319">
        <v>2638</v>
      </c>
      <c r="N1319" t="s">
        <v>46</v>
      </c>
    </row>
    <row r="1320" spans="1:14" x14ac:dyDescent="0.2">
      <c r="A1320" s="3">
        <f t="shared" si="21"/>
        <v>70691</v>
      </c>
      <c r="B1320" t="str">
        <f>"00706910006"</f>
        <v>00706910006</v>
      </c>
      <c r="C1320" t="s">
        <v>1687</v>
      </c>
      <c r="D1320" t="s">
        <v>23</v>
      </c>
      <c r="E1320">
        <v>62</v>
      </c>
      <c r="F1320">
        <v>1429</v>
      </c>
      <c r="G1320" t="s">
        <v>873</v>
      </c>
      <c r="H1320">
        <v>150</v>
      </c>
      <c r="I1320" t="s">
        <v>34</v>
      </c>
      <c r="J1320">
        <v>118</v>
      </c>
      <c r="K1320" t="s">
        <v>34</v>
      </c>
      <c r="L1320">
        <v>8</v>
      </c>
      <c r="M1320">
        <v>71171</v>
      </c>
      <c r="N1320">
        <v>32</v>
      </c>
    </row>
    <row r="1321" spans="1:14" x14ac:dyDescent="0.2">
      <c r="A1321" s="3">
        <f t="shared" si="21"/>
        <v>70724</v>
      </c>
      <c r="B1321" t="str">
        <f>"00707240026"</f>
        <v>00707240026</v>
      </c>
      <c r="C1321" t="s">
        <v>1688</v>
      </c>
      <c r="D1321" t="s">
        <v>622</v>
      </c>
      <c r="E1321">
        <v>71</v>
      </c>
      <c r="F1321">
        <v>8052</v>
      </c>
      <c r="G1321" t="s">
        <v>642</v>
      </c>
      <c r="H1321">
        <v>15</v>
      </c>
      <c r="I1321" t="s">
        <v>25</v>
      </c>
      <c r="J1321">
        <v>11</v>
      </c>
      <c r="K1321" t="s">
        <v>25</v>
      </c>
      <c r="L1321">
        <v>8</v>
      </c>
      <c r="M1321">
        <v>73003</v>
      </c>
      <c r="N1321">
        <v>4</v>
      </c>
    </row>
    <row r="1322" spans="1:14" x14ac:dyDescent="0.2">
      <c r="A1322" s="3">
        <f t="shared" si="21"/>
        <v>70752</v>
      </c>
      <c r="B1322" t="str">
        <f>"00707520021"</f>
        <v>00707520021</v>
      </c>
      <c r="C1322" t="s">
        <v>1689</v>
      </c>
      <c r="D1322" t="s">
        <v>543</v>
      </c>
      <c r="E1322">
        <v>44</v>
      </c>
      <c r="F1322">
        <v>4365</v>
      </c>
      <c r="G1322" t="s">
        <v>1690</v>
      </c>
      <c r="H1322">
        <v>27</v>
      </c>
      <c r="I1322" t="s">
        <v>25</v>
      </c>
      <c r="J1322">
        <v>22</v>
      </c>
      <c r="K1322" t="s">
        <v>25</v>
      </c>
      <c r="L1322">
        <v>8</v>
      </c>
      <c r="M1322">
        <v>66032</v>
      </c>
      <c r="N1322">
        <v>5</v>
      </c>
    </row>
    <row r="1323" spans="1:14" x14ac:dyDescent="0.2">
      <c r="A1323" s="3">
        <f t="shared" si="21"/>
        <v>70905</v>
      </c>
      <c r="B1323" t="str">
        <f>"00709050015"</f>
        <v>00709050015</v>
      </c>
      <c r="C1323" t="s">
        <v>1691</v>
      </c>
      <c r="D1323" t="s">
        <v>543</v>
      </c>
      <c r="E1323">
        <v>46</v>
      </c>
      <c r="F1323">
        <v>1517</v>
      </c>
      <c r="G1323" t="s">
        <v>654</v>
      </c>
      <c r="H1323">
        <v>18</v>
      </c>
      <c r="I1323" t="s">
        <v>25</v>
      </c>
      <c r="J1323">
        <v>14</v>
      </c>
      <c r="K1323" t="s">
        <v>25</v>
      </c>
      <c r="L1323">
        <v>8</v>
      </c>
      <c r="M1323">
        <v>73241</v>
      </c>
      <c r="N1323">
        <v>4</v>
      </c>
    </row>
    <row r="1324" spans="1:14" x14ac:dyDescent="0.2">
      <c r="A1324" s="3">
        <f t="shared" si="21"/>
        <v>72092</v>
      </c>
      <c r="B1324" t="str">
        <f>"00720920012"</f>
        <v>00720920012</v>
      </c>
      <c r="C1324" t="s">
        <v>1692</v>
      </c>
      <c r="D1324" t="s">
        <v>42</v>
      </c>
      <c r="E1324">
        <v>44</v>
      </c>
      <c r="F1324">
        <v>2612</v>
      </c>
      <c r="G1324" t="s">
        <v>416</v>
      </c>
      <c r="H1324">
        <v>6</v>
      </c>
      <c r="I1324" t="s">
        <v>25</v>
      </c>
      <c r="J1324">
        <v>4</v>
      </c>
      <c r="K1324" t="s">
        <v>25</v>
      </c>
      <c r="L1324">
        <v>9</v>
      </c>
      <c r="M1324">
        <v>65270</v>
      </c>
      <c r="N1324">
        <v>2</v>
      </c>
    </row>
    <row r="1325" spans="1:14" x14ac:dyDescent="0.2">
      <c r="A1325" s="3">
        <f t="shared" si="21"/>
        <v>72154</v>
      </c>
      <c r="B1325" t="str">
        <f>"00721540010"</f>
        <v>00721540010</v>
      </c>
      <c r="C1325" t="s">
        <v>1693</v>
      </c>
      <c r="D1325" t="s">
        <v>604</v>
      </c>
      <c r="E1325">
        <v>47</v>
      </c>
      <c r="F1325">
        <v>1797</v>
      </c>
      <c r="G1325" t="s">
        <v>710</v>
      </c>
      <c r="H1325">
        <v>9</v>
      </c>
      <c r="I1325" t="s">
        <v>25</v>
      </c>
      <c r="J1325">
        <v>7</v>
      </c>
      <c r="K1325" t="s">
        <v>25</v>
      </c>
      <c r="L1325">
        <v>8</v>
      </c>
      <c r="M1325">
        <v>66082</v>
      </c>
      <c r="N1325">
        <v>2</v>
      </c>
    </row>
    <row r="1326" spans="1:14" x14ac:dyDescent="0.2">
      <c r="A1326" s="3">
        <f t="shared" si="21"/>
        <v>72156</v>
      </c>
      <c r="B1326" t="str">
        <f>"00721560016"</f>
        <v>00721560016</v>
      </c>
      <c r="C1326" t="s">
        <v>1694</v>
      </c>
      <c r="D1326" t="s">
        <v>604</v>
      </c>
      <c r="E1326">
        <v>47</v>
      </c>
      <c r="F1326">
        <v>1797</v>
      </c>
      <c r="G1326" t="s">
        <v>710</v>
      </c>
      <c r="H1326">
        <v>9</v>
      </c>
      <c r="I1326" t="s">
        <v>25</v>
      </c>
      <c r="J1326">
        <v>7</v>
      </c>
      <c r="K1326" t="s">
        <v>25</v>
      </c>
      <c r="L1326">
        <v>8</v>
      </c>
      <c r="M1326">
        <v>66076</v>
      </c>
      <c r="N1326">
        <v>2</v>
      </c>
    </row>
    <row r="1327" spans="1:14" x14ac:dyDescent="0.2">
      <c r="A1327" s="3">
        <f t="shared" si="21"/>
        <v>72181</v>
      </c>
      <c r="B1327" t="str">
        <f>"00721810006"</f>
        <v>00721810006</v>
      </c>
      <c r="C1327" t="s">
        <v>1695</v>
      </c>
      <c r="D1327" t="s">
        <v>23</v>
      </c>
      <c r="E1327">
        <v>62</v>
      </c>
      <c r="F1327">
        <v>1429</v>
      </c>
      <c r="G1327" t="s">
        <v>873</v>
      </c>
      <c r="H1327">
        <v>150</v>
      </c>
      <c r="I1327" t="s">
        <v>34</v>
      </c>
      <c r="J1327">
        <v>118</v>
      </c>
      <c r="K1327" t="s">
        <v>34</v>
      </c>
      <c r="L1327">
        <v>8</v>
      </c>
      <c r="M1327">
        <v>71151</v>
      </c>
      <c r="N1327">
        <v>32</v>
      </c>
    </row>
    <row r="1328" spans="1:14" x14ac:dyDescent="0.2">
      <c r="A1328" s="3">
        <f t="shared" si="21"/>
        <v>72203</v>
      </c>
      <c r="B1328" t="str">
        <f>"00722030018"</f>
        <v>00722030018</v>
      </c>
      <c r="C1328" t="s">
        <v>1696</v>
      </c>
      <c r="D1328" t="s">
        <v>686</v>
      </c>
      <c r="E1328">
        <v>83</v>
      </c>
      <c r="F1328">
        <v>8023</v>
      </c>
      <c r="G1328" t="s">
        <v>1009</v>
      </c>
      <c r="H1328" t="s">
        <v>44</v>
      </c>
      <c r="I1328" t="s">
        <v>45</v>
      </c>
      <c r="J1328" t="s">
        <v>44</v>
      </c>
      <c r="K1328" t="s">
        <v>45</v>
      </c>
      <c r="L1328">
        <v>8</v>
      </c>
      <c r="M1328">
        <v>95169</v>
      </c>
      <c r="N1328" t="s">
        <v>46</v>
      </c>
    </row>
    <row r="1329" spans="1:14" x14ac:dyDescent="0.2">
      <c r="A1329" s="3">
        <f t="shared" si="21"/>
        <v>72504</v>
      </c>
      <c r="B1329" t="str">
        <f>"00725040016"</f>
        <v>00725040016</v>
      </c>
      <c r="C1329" t="s">
        <v>1697</v>
      </c>
      <c r="D1329" t="s">
        <v>67</v>
      </c>
      <c r="E1329">
        <v>70</v>
      </c>
      <c r="F1329">
        <v>198</v>
      </c>
      <c r="G1329" t="s">
        <v>564</v>
      </c>
      <c r="H1329">
        <v>8</v>
      </c>
      <c r="I1329" t="s">
        <v>25</v>
      </c>
      <c r="J1329">
        <v>6</v>
      </c>
      <c r="K1329" t="s">
        <v>25</v>
      </c>
      <c r="L1329">
        <v>8</v>
      </c>
      <c r="M1329">
        <v>95724</v>
      </c>
      <c r="N1329">
        <v>2</v>
      </c>
    </row>
    <row r="1330" spans="1:14" x14ac:dyDescent="0.2">
      <c r="A1330" s="3">
        <f t="shared" si="21"/>
        <v>72604</v>
      </c>
      <c r="B1330" t="str">
        <f>"00726040014"</f>
        <v>00726040014</v>
      </c>
      <c r="C1330" t="s">
        <v>1689</v>
      </c>
      <c r="D1330" t="s">
        <v>543</v>
      </c>
      <c r="E1330">
        <v>44</v>
      </c>
      <c r="F1330">
        <v>4365</v>
      </c>
      <c r="G1330" t="s">
        <v>1690</v>
      </c>
      <c r="H1330">
        <v>27</v>
      </c>
      <c r="I1330" t="s">
        <v>25</v>
      </c>
      <c r="J1330">
        <v>22</v>
      </c>
      <c r="K1330" t="s">
        <v>25</v>
      </c>
      <c r="L1330">
        <v>8</v>
      </c>
      <c r="M1330">
        <v>66030</v>
      </c>
      <c r="N1330">
        <v>5</v>
      </c>
    </row>
    <row r="1331" spans="1:14" x14ac:dyDescent="0.2">
      <c r="A1331" s="3">
        <f t="shared" si="21"/>
        <v>72752</v>
      </c>
      <c r="B1331" t="str">
        <f>"00727520025"</f>
        <v>00727520025</v>
      </c>
      <c r="C1331" t="s">
        <v>1698</v>
      </c>
      <c r="D1331" t="s">
        <v>1339</v>
      </c>
      <c r="E1331">
        <v>70</v>
      </c>
      <c r="F1331">
        <v>845</v>
      </c>
      <c r="G1331" t="s">
        <v>605</v>
      </c>
      <c r="H1331">
        <v>7</v>
      </c>
      <c r="I1331" t="s">
        <v>25</v>
      </c>
      <c r="J1331">
        <v>5</v>
      </c>
      <c r="K1331" t="s">
        <v>25</v>
      </c>
      <c r="L1331">
        <v>6</v>
      </c>
      <c r="M1331">
        <v>2639</v>
      </c>
      <c r="N1331">
        <v>2</v>
      </c>
    </row>
    <row r="1332" spans="1:14" x14ac:dyDescent="0.2">
      <c r="A1332" s="3">
        <f t="shared" si="21"/>
        <v>72757</v>
      </c>
      <c r="B1332" t="str">
        <f>"00727570020"</f>
        <v>00727570020</v>
      </c>
      <c r="C1332" t="s">
        <v>1699</v>
      </c>
      <c r="D1332" t="s">
        <v>1339</v>
      </c>
      <c r="E1332">
        <v>70</v>
      </c>
      <c r="F1332">
        <v>655</v>
      </c>
      <c r="G1332" t="s">
        <v>1352</v>
      </c>
      <c r="H1332">
        <v>7</v>
      </c>
      <c r="I1332" t="s">
        <v>25</v>
      </c>
      <c r="J1332">
        <v>5</v>
      </c>
      <c r="K1332" t="s">
        <v>25</v>
      </c>
      <c r="L1332">
        <v>6</v>
      </c>
      <c r="M1332">
        <v>2640</v>
      </c>
      <c r="N1332">
        <v>2</v>
      </c>
    </row>
    <row r="1333" spans="1:14" x14ac:dyDescent="0.2">
      <c r="A1333" s="3">
        <f t="shared" si="21"/>
        <v>72762</v>
      </c>
      <c r="B1333" t="str">
        <f>"00727620006"</f>
        <v>00727620006</v>
      </c>
      <c r="C1333" t="s">
        <v>1700</v>
      </c>
      <c r="D1333" t="s">
        <v>52</v>
      </c>
      <c r="E1333">
        <v>31</v>
      </c>
      <c r="F1333">
        <v>4937</v>
      </c>
      <c r="G1333" t="s">
        <v>68</v>
      </c>
      <c r="H1333">
        <v>20</v>
      </c>
      <c r="I1333" t="s">
        <v>34</v>
      </c>
      <c r="J1333">
        <v>14</v>
      </c>
      <c r="K1333" t="s">
        <v>34</v>
      </c>
      <c r="L1333">
        <v>9</v>
      </c>
      <c r="M1333">
        <v>85168</v>
      </c>
      <c r="N1333">
        <v>6</v>
      </c>
    </row>
    <row r="1334" spans="1:14" x14ac:dyDescent="0.2">
      <c r="A1334" s="3">
        <f t="shared" si="21"/>
        <v>72765</v>
      </c>
      <c r="B1334" t="str">
        <f>"00727650008"</f>
        <v>00727650008</v>
      </c>
      <c r="C1334" t="s">
        <v>1701</v>
      </c>
      <c r="D1334" t="s">
        <v>686</v>
      </c>
      <c r="E1334">
        <v>83</v>
      </c>
      <c r="F1334">
        <v>8023</v>
      </c>
      <c r="G1334" t="s">
        <v>1009</v>
      </c>
      <c r="H1334">
        <v>16</v>
      </c>
      <c r="I1334" t="s">
        <v>25</v>
      </c>
      <c r="J1334">
        <v>13</v>
      </c>
      <c r="K1334" t="s">
        <v>25</v>
      </c>
      <c r="L1334">
        <v>8</v>
      </c>
      <c r="M1334">
        <v>67239</v>
      </c>
      <c r="N1334">
        <v>3</v>
      </c>
    </row>
    <row r="1335" spans="1:14" x14ac:dyDescent="0.2">
      <c r="A1335" s="3">
        <f t="shared" si="21"/>
        <v>72794</v>
      </c>
      <c r="B1335" t="str">
        <f>"00727940012"</f>
        <v>00727940012</v>
      </c>
      <c r="C1335" t="s">
        <v>1702</v>
      </c>
      <c r="D1335" t="s">
        <v>1344</v>
      </c>
      <c r="E1335">
        <v>70</v>
      </c>
      <c r="F1335">
        <v>2036</v>
      </c>
      <c r="G1335" t="s">
        <v>600</v>
      </c>
      <c r="H1335">
        <v>119</v>
      </c>
      <c r="I1335" t="s">
        <v>34</v>
      </c>
      <c r="J1335">
        <v>88</v>
      </c>
      <c r="K1335" t="s">
        <v>34</v>
      </c>
      <c r="L1335">
        <v>6</v>
      </c>
      <c r="M1335">
        <v>52606</v>
      </c>
      <c r="N1335">
        <v>31</v>
      </c>
    </row>
    <row r="1336" spans="1:14" x14ac:dyDescent="0.2">
      <c r="A1336" s="3">
        <f t="shared" si="21"/>
        <v>72823</v>
      </c>
      <c r="B1336" t="str">
        <f>"00728230006"</f>
        <v>00728230006</v>
      </c>
      <c r="C1336" t="s">
        <v>1703</v>
      </c>
      <c r="D1336" t="s">
        <v>52</v>
      </c>
      <c r="E1336">
        <v>33</v>
      </c>
      <c r="F1336">
        <v>3105</v>
      </c>
      <c r="G1336" t="s">
        <v>1704</v>
      </c>
      <c r="H1336">
        <v>25</v>
      </c>
      <c r="I1336" t="s">
        <v>34</v>
      </c>
      <c r="J1336">
        <v>18</v>
      </c>
      <c r="K1336" t="s">
        <v>34</v>
      </c>
      <c r="L1336">
        <v>6</v>
      </c>
      <c r="M1336">
        <v>52504</v>
      </c>
      <c r="N1336">
        <v>7</v>
      </c>
    </row>
    <row r="1337" spans="1:14" x14ac:dyDescent="0.2">
      <c r="A1337" s="3">
        <f t="shared" si="21"/>
        <v>72837</v>
      </c>
      <c r="B1337" t="str">
        <f>"00728370003"</f>
        <v>00728370003</v>
      </c>
      <c r="C1337" t="s">
        <v>1705</v>
      </c>
      <c r="D1337" t="s">
        <v>32</v>
      </c>
      <c r="E1337">
        <v>31</v>
      </c>
      <c r="F1337">
        <v>4248</v>
      </c>
      <c r="G1337" t="s">
        <v>96</v>
      </c>
      <c r="H1337">
        <v>21</v>
      </c>
      <c r="I1337" t="s">
        <v>34</v>
      </c>
      <c r="J1337">
        <v>15</v>
      </c>
      <c r="K1337" t="s">
        <v>34</v>
      </c>
      <c r="L1337">
        <v>8</v>
      </c>
      <c r="M1337">
        <v>80028</v>
      </c>
      <c r="N1337">
        <v>6</v>
      </c>
    </row>
    <row r="1338" spans="1:14" x14ac:dyDescent="0.2">
      <c r="A1338" s="3">
        <f t="shared" si="21"/>
        <v>72851</v>
      </c>
      <c r="B1338" t="str">
        <f>"00728510006"</f>
        <v>00728510006</v>
      </c>
      <c r="C1338" t="s">
        <v>1706</v>
      </c>
      <c r="D1338" t="s">
        <v>32</v>
      </c>
      <c r="E1338">
        <v>31</v>
      </c>
      <c r="F1338">
        <v>723</v>
      </c>
      <c r="G1338" t="s">
        <v>1419</v>
      </c>
      <c r="H1338">
        <v>21</v>
      </c>
      <c r="I1338" t="s">
        <v>34</v>
      </c>
      <c r="J1338">
        <v>15</v>
      </c>
      <c r="K1338" t="s">
        <v>34</v>
      </c>
      <c r="L1338">
        <v>8</v>
      </c>
      <c r="M1338">
        <v>81016</v>
      </c>
      <c r="N1338">
        <v>6</v>
      </c>
    </row>
    <row r="1339" spans="1:14" x14ac:dyDescent="0.2">
      <c r="A1339" s="3">
        <f t="shared" si="21"/>
        <v>72855</v>
      </c>
      <c r="B1339" t="str">
        <f>"00728550004"</f>
        <v>00728550004</v>
      </c>
      <c r="C1339" t="s">
        <v>1707</v>
      </c>
      <c r="D1339" t="s">
        <v>32</v>
      </c>
      <c r="E1339">
        <v>31</v>
      </c>
      <c r="F1339">
        <v>723</v>
      </c>
      <c r="G1339" t="s">
        <v>1419</v>
      </c>
      <c r="H1339">
        <v>21</v>
      </c>
      <c r="I1339" t="s">
        <v>34</v>
      </c>
      <c r="J1339">
        <v>15</v>
      </c>
      <c r="K1339" t="s">
        <v>34</v>
      </c>
      <c r="L1339">
        <v>8</v>
      </c>
      <c r="M1339">
        <v>80098</v>
      </c>
      <c r="N1339">
        <v>6</v>
      </c>
    </row>
    <row r="1340" spans="1:14" x14ac:dyDescent="0.2">
      <c r="A1340" s="3">
        <f t="shared" si="21"/>
        <v>72859</v>
      </c>
      <c r="B1340" t="str">
        <f>"00728590008"</f>
        <v>00728590008</v>
      </c>
      <c r="C1340" t="s">
        <v>1708</v>
      </c>
      <c r="D1340" t="s">
        <v>1344</v>
      </c>
      <c r="E1340">
        <v>46</v>
      </c>
      <c r="F1340">
        <v>254</v>
      </c>
      <c r="G1340" t="s">
        <v>1105</v>
      </c>
      <c r="H1340">
        <v>13</v>
      </c>
      <c r="I1340" t="s">
        <v>25</v>
      </c>
      <c r="J1340">
        <v>10</v>
      </c>
      <c r="K1340" t="s">
        <v>25</v>
      </c>
      <c r="L1340">
        <v>6</v>
      </c>
      <c r="M1340">
        <v>1610</v>
      </c>
      <c r="N1340">
        <v>3</v>
      </c>
    </row>
    <row r="1341" spans="1:14" x14ac:dyDescent="0.2">
      <c r="A1341" s="3">
        <f t="shared" si="21"/>
        <v>73887</v>
      </c>
      <c r="B1341" t="str">
        <f>"00738870008"</f>
        <v>00738870008</v>
      </c>
      <c r="C1341" t="s">
        <v>1709</v>
      </c>
      <c r="D1341" t="s">
        <v>52</v>
      </c>
      <c r="E1341">
        <v>33</v>
      </c>
      <c r="F1341">
        <v>1281</v>
      </c>
      <c r="G1341" t="s">
        <v>182</v>
      </c>
      <c r="H1341">
        <v>13</v>
      </c>
      <c r="I1341" t="s">
        <v>34</v>
      </c>
      <c r="J1341">
        <v>9</v>
      </c>
      <c r="K1341" t="s">
        <v>34</v>
      </c>
      <c r="L1341">
        <v>6</v>
      </c>
      <c r="M1341">
        <v>1514</v>
      </c>
      <c r="N1341">
        <v>4</v>
      </c>
    </row>
    <row r="1342" spans="1:14" x14ac:dyDescent="0.2">
      <c r="A1342" s="3">
        <f t="shared" si="21"/>
        <v>73990</v>
      </c>
      <c r="B1342" t="str">
        <f>"00739900006"</f>
        <v>00739900006</v>
      </c>
      <c r="C1342" t="s">
        <v>1710</v>
      </c>
      <c r="D1342" t="s">
        <v>70</v>
      </c>
      <c r="E1342">
        <v>31</v>
      </c>
      <c r="F1342">
        <v>3717</v>
      </c>
      <c r="G1342" t="s">
        <v>1414</v>
      </c>
      <c r="H1342">
        <v>25</v>
      </c>
      <c r="I1342" t="s">
        <v>34</v>
      </c>
      <c r="J1342">
        <v>18</v>
      </c>
      <c r="K1342" t="s">
        <v>34</v>
      </c>
      <c r="L1342">
        <v>8</v>
      </c>
      <c r="M1342">
        <v>84201</v>
      </c>
      <c r="N1342">
        <v>7</v>
      </c>
    </row>
    <row r="1343" spans="1:14" x14ac:dyDescent="0.2">
      <c r="A1343" s="3">
        <f t="shared" si="21"/>
        <v>74255</v>
      </c>
      <c r="B1343" t="str">
        <f>"00742550001"</f>
        <v>00742550001</v>
      </c>
      <c r="C1343" t="s">
        <v>1711</v>
      </c>
      <c r="D1343" t="s">
        <v>337</v>
      </c>
      <c r="E1343">
        <v>90</v>
      </c>
      <c r="F1343">
        <v>4298</v>
      </c>
      <c r="G1343" t="s">
        <v>350</v>
      </c>
      <c r="H1343">
        <v>7</v>
      </c>
      <c r="I1343" t="s">
        <v>34</v>
      </c>
      <c r="J1343">
        <v>5</v>
      </c>
      <c r="K1343" t="s">
        <v>34</v>
      </c>
      <c r="L1343">
        <v>8</v>
      </c>
      <c r="M1343">
        <v>91011</v>
      </c>
      <c r="N1343">
        <v>2</v>
      </c>
    </row>
    <row r="1344" spans="1:14" x14ac:dyDescent="0.2">
      <c r="A1344" s="3">
        <f t="shared" si="21"/>
        <v>74321</v>
      </c>
      <c r="B1344" t="str">
        <f>"00743210025"</f>
        <v>00743210025</v>
      </c>
      <c r="C1344" t="s">
        <v>1712</v>
      </c>
      <c r="D1344" t="s">
        <v>418</v>
      </c>
      <c r="E1344">
        <v>47</v>
      </c>
      <c r="F1344">
        <v>5025</v>
      </c>
      <c r="G1344" t="s">
        <v>1713</v>
      </c>
      <c r="H1344">
        <v>18</v>
      </c>
      <c r="I1344" t="s">
        <v>25</v>
      </c>
      <c r="J1344">
        <v>14</v>
      </c>
      <c r="K1344" t="s">
        <v>25</v>
      </c>
      <c r="L1344">
        <v>8</v>
      </c>
      <c r="M1344">
        <v>72117</v>
      </c>
      <c r="N1344">
        <v>4</v>
      </c>
    </row>
    <row r="1345" spans="1:14" x14ac:dyDescent="0.2">
      <c r="A1345" s="3">
        <f t="shared" si="21"/>
        <v>74337</v>
      </c>
      <c r="B1345" t="str">
        <f>"00743370006"</f>
        <v>00743370006</v>
      </c>
      <c r="C1345" t="s">
        <v>1714</v>
      </c>
      <c r="D1345" t="s">
        <v>386</v>
      </c>
      <c r="E1345">
        <v>60</v>
      </c>
      <c r="F1345">
        <v>1341</v>
      </c>
      <c r="G1345" t="s">
        <v>904</v>
      </c>
      <c r="H1345" t="s">
        <v>44</v>
      </c>
      <c r="I1345" t="s">
        <v>45</v>
      </c>
      <c r="J1345" t="s">
        <v>44</v>
      </c>
      <c r="K1345" t="s">
        <v>45</v>
      </c>
      <c r="L1345">
        <v>8</v>
      </c>
      <c r="M1345">
        <v>61078</v>
      </c>
      <c r="N1345" t="s">
        <v>46</v>
      </c>
    </row>
    <row r="1346" spans="1:14" x14ac:dyDescent="0.2">
      <c r="A1346" s="3">
        <f t="shared" si="21"/>
        <v>74496</v>
      </c>
      <c r="B1346" t="str">
        <f>"00744960012"</f>
        <v>00744960012</v>
      </c>
      <c r="C1346" t="s">
        <v>1715</v>
      </c>
      <c r="D1346" t="s">
        <v>622</v>
      </c>
      <c r="E1346">
        <v>84</v>
      </c>
      <c r="F1346">
        <v>1224</v>
      </c>
      <c r="G1346" t="s">
        <v>1014</v>
      </c>
      <c r="H1346" t="s">
        <v>44</v>
      </c>
      <c r="I1346" t="s">
        <v>45</v>
      </c>
      <c r="J1346" t="s">
        <v>44</v>
      </c>
      <c r="K1346" t="s">
        <v>45</v>
      </c>
      <c r="L1346">
        <v>8</v>
      </c>
      <c r="M1346">
        <v>67265</v>
      </c>
      <c r="N1346" t="s">
        <v>46</v>
      </c>
    </row>
    <row r="1347" spans="1:14" x14ac:dyDescent="0.2">
      <c r="A1347" s="3">
        <f t="shared" si="21"/>
        <v>74554</v>
      </c>
      <c r="B1347" t="str">
        <f>"00745540006"</f>
        <v>00745540006</v>
      </c>
      <c r="C1347" t="s">
        <v>1716</v>
      </c>
      <c r="D1347" t="s">
        <v>23</v>
      </c>
      <c r="E1347">
        <v>41</v>
      </c>
      <c r="F1347">
        <v>851</v>
      </c>
      <c r="G1347" t="s">
        <v>210</v>
      </c>
      <c r="H1347">
        <v>70</v>
      </c>
      <c r="I1347" t="s">
        <v>34</v>
      </c>
      <c r="J1347">
        <v>56</v>
      </c>
      <c r="K1347" t="s">
        <v>34</v>
      </c>
      <c r="L1347">
        <v>8</v>
      </c>
      <c r="M1347">
        <v>95140</v>
      </c>
      <c r="N1347">
        <v>16</v>
      </c>
    </row>
    <row r="1348" spans="1:14" x14ac:dyDescent="0.2">
      <c r="A1348" s="3">
        <f t="shared" ref="A1348:A1411" si="22">(B1348-RIGHT(B1348,4))/10000</f>
        <v>74696</v>
      </c>
      <c r="B1348" t="str">
        <f>"00746960048"</f>
        <v>00746960048</v>
      </c>
      <c r="C1348" t="s">
        <v>1717</v>
      </c>
      <c r="D1348" t="s">
        <v>42</v>
      </c>
      <c r="E1348">
        <v>50</v>
      </c>
      <c r="F1348">
        <v>3647</v>
      </c>
      <c r="G1348" t="s">
        <v>467</v>
      </c>
      <c r="H1348">
        <v>36</v>
      </c>
      <c r="I1348" t="s">
        <v>25</v>
      </c>
      <c r="J1348">
        <v>30</v>
      </c>
      <c r="K1348" t="s">
        <v>25</v>
      </c>
      <c r="L1348">
        <v>8</v>
      </c>
      <c r="M1348">
        <v>65148</v>
      </c>
      <c r="N1348">
        <v>6</v>
      </c>
    </row>
    <row r="1349" spans="1:14" x14ac:dyDescent="0.2">
      <c r="A1349" s="3">
        <f t="shared" si="22"/>
        <v>74867</v>
      </c>
      <c r="B1349" t="str">
        <f>"00748670012"</f>
        <v>00748670012</v>
      </c>
      <c r="C1349" t="s">
        <v>1718</v>
      </c>
      <c r="D1349" t="s">
        <v>216</v>
      </c>
      <c r="E1349">
        <v>72</v>
      </c>
      <c r="F1349">
        <v>1128</v>
      </c>
      <c r="G1349" t="s">
        <v>1719</v>
      </c>
      <c r="H1349">
        <v>42</v>
      </c>
      <c r="I1349" t="s">
        <v>34</v>
      </c>
      <c r="J1349">
        <v>32</v>
      </c>
      <c r="K1349" t="s">
        <v>34</v>
      </c>
      <c r="L1349">
        <v>8</v>
      </c>
      <c r="M1349">
        <v>76202</v>
      </c>
      <c r="N1349">
        <v>8</v>
      </c>
    </row>
    <row r="1350" spans="1:14" x14ac:dyDescent="0.2">
      <c r="A1350" s="3">
        <f t="shared" si="22"/>
        <v>74978</v>
      </c>
      <c r="B1350" t="str">
        <f>"00749780001"</f>
        <v>00749780001</v>
      </c>
      <c r="C1350" t="s">
        <v>1720</v>
      </c>
      <c r="D1350" t="s">
        <v>23</v>
      </c>
      <c r="E1350">
        <v>62</v>
      </c>
      <c r="F1350">
        <v>3796</v>
      </c>
      <c r="G1350" t="s">
        <v>24</v>
      </c>
      <c r="H1350">
        <v>16</v>
      </c>
      <c r="I1350" t="s">
        <v>25</v>
      </c>
      <c r="J1350">
        <v>13</v>
      </c>
      <c r="K1350" t="s">
        <v>25</v>
      </c>
      <c r="L1350">
        <v>8</v>
      </c>
      <c r="M1350">
        <v>95401</v>
      </c>
      <c r="N1350">
        <v>3</v>
      </c>
    </row>
    <row r="1351" spans="1:14" x14ac:dyDescent="0.2">
      <c r="A1351" s="3">
        <f t="shared" si="22"/>
        <v>75029</v>
      </c>
      <c r="B1351" t="str">
        <f>"00750290006"</f>
        <v>00750290006</v>
      </c>
      <c r="C1351" t="s">
        <v>1721</v>
      </c>
      <c r="D1351" t="s">
        <v>36</v>
      </c>
      <c r="E1351">
        <v>70</v>
      </c>
      <c r="F1351">
        <v>3222</v>
      </c>
      <c r="G1351" t="s">
        <v>555</v>
      </c>
      <c r="H1351">
        <v>6</v>
      </c>
      <c r="I1351" t="s">
        <v>25</v>
      </c>
      <c r="J1351">
        <v>4</v>
      </c>
      <c r="K1351" t="s">
        <v>25</v>
      </c>
      <c r="L1351">
        <v>8</v>
      </c>
      <c r="M1351">
        <v>74120</v>
      </c>
      <c r="N1351">
        <v>2</v>
      </c>
    </row>
    <row r="1352" spans="1:14" x14ac:dyDescent="0.2">
      <c r="A1352" s="3">
        <f t="shared" si="22"/>
        <v>76409</v>
      </c>
      <c r="B1352" t="str">
        <f>"00764090012"</f>
        <v>00764090012</v>
      </c>
      <c r="C1352" t="s">
        <v>1722</v>
      </c>
      <c r="D1352" t="s">
        <v>604</v>
      </c>
      <c r="E1352">
        <v>82</v>
      </c>
      <c r="F1352">
        <v>907</v>
      </c>
      <c r="G1352" t="s">
        <v>1076</v>
      </c>
      <c r="H1352">
        <v>25</v>
      </c>
      <c r="I1352" t="s">
        <v>25</v>
      </c>
      <c r="J1352">
        <v>21</v>
      </c>
      <c r="K1352" t="s">
        <v>25</v>
      </c>
      <c r="L1352">
        <v>8</v>
      </c>
      <c r="M1352">
        <v>70157</v>
      </c>
      <c r="N1352">
        <v>4</v>
      </c>
    </row>
    <row r="1353" spans="1:14" x14ac:dyDescent="0.2">
      <c r="A1353" s="3">
        <f t="shared" si="22"/>
        <v>77098</v>
      </c>
      <c r="B1353" t="str">
        <f>"00770980024"</f>
        <v>00770980024</v>
      </c>
      <c r="C1353" t="s">
        <v>1723</v>
      </c>
      <c r="D1353" t="s">
        <v>289</v>
      </c>
      <c r="E1353">
        <v>20</v>
      </c>
      <c r="F1353">
        <v>8086</v>
      </c>
      <c r="G1353" t="s">
        <v>290</v>
      </c>
      <c r="H1353">
        <v>12</v>
      </c>
      <c r="I1353" t="s">
        <v>25</v>
      </c>
      <c r="J1353">
        <v>9</v>
      </c>
      <c r="K1353" t="s">
        <v>25</v>
      </c>
      <c r="L1353">
        <v>8</v>
      </c>
      <c r="M1353">
        <v>88037</v>
      </c>
      <c r="N1353">
        <v>3</v>
      </c>
    </row>
    <row r="1354" spans="1:14" x14ac:dyDescent="0.2">
      <c r="A1354" s="3">
        <f t="shared" si="22"/>
        <v>77098</v>
      </c>
      <c r="B1354" t="str">
        <f>"00770980024"</f>
        <v>00770980024</v>
      </c>
      <c r="C1354" t="s">
        <v>1723</v>
      </c>
      <c r="D1354" t="s">
        <v>289</v>
      </c>
      <c r="E1354">
        <v>20</v>
      </c>
      <c r="F1354">
        <v>850</v>
      </c>
      <c r="G1354" t="s">
        <v>335</v>
      </c>
      <c r="H1354">
        <v>12</v>
      </c>
      <c r="I1354" t="s">
        <v>25</v>
      </c>
      <c r="J1354">
        <v>9</v>
      </c>
      <c r="K1354" t="s">
        <v>25</v>
      </c>
      <c r="L1354">
        <v>8</v>
      </c>
      <c r="M1354">
        <v>88037</v>
      </c>
      <c r="N1354">
        <v>3</v>
      </c>
    </row>
    <row r="1355" spans="1:14" x14ac:dyDescent="0.2">
      <c r="A1355" s="3">
        <f t="shared" si="22"/>
        <v>77108</v>
      </c>
      <c r="B1355" t="str">
        <f>"00771080006"</f>
        <v>00771080006</v>
      </c>
      <c r="C1355" t="s">
        <v>1724</v>
      </c>
      <c r="D1355" t="s">
        <v>386</v>
      </c>
      <c r="E1355">
        <v>60</v>
      </c>
      <c r="F1355">
        <v>2007</v>
      </c>
      <c r="G1355" t="s">
        <v>387</v>
      </c>
      <c r="H1355" t="s">
        <v>44</v>
      </c>
      <c r="I1355" t="s">
        <v>45</v>
      </c>
      <c r="J1355" t="s">
        <v>44</v>
      </c>
      <c r="K1355" t="s">
        <v>45</v>
      </c>
      <c r="L1355">
        <v>8</v>
      </c>
      <c r="M1355">
        <v>61074</v>
      </c>
      <c r="N1355" t="s">
        <v>46</v>
      </c>
    </row>
    <row r="1356" spans="1:14" x14ac:dyDescent="0.2">
      <c r="A1356" s="3">
        <f t="shared" si="22"/>
        <v>77205</v>
      </c>
      <c r="B1356" t="str">
        <f>"00772050045"</f>
        <v>00772050045</v>
      </c>
      <c r="C1356" t="s">
        <v>1725</v>
      </c>
      <c r="D1356" t="s">
        <v>543</v>
      </c>
      <c r="E1356">
        <v>71</v>
      </c>
      <c r="F1356">
        <v>3493</v>
      </c>
      <c r="G1356" t="s">
        <v>1726</v>
      </c>
      <c r="H1356">
        <v>15</v>
      </c>
      <c r="I1356" t="s">
        <v>25</v>
      </c>
      <c r="J1356">
        <v>11</v>
      </c>
      <c r="K1356" t="s">
        <v>25</v>
      </c>
      <c r="L1356">
        <v>8</v>
      </c>
      <c r="M1356">
        <v>73012</v>
      </c>
      <c r="N1356">
        <v>4</v>
      </c>
    </row>
    <row r="1357" spans="1:14" x14ac:dyDescent="0.2">
      <c r="A1357" s="3">
        <f t="shared" si="22"/>
        <v>77214</v>
      </c>
      <c r="B1357" t="str">
        <f>"00772140032"</f>
        <v>00772140032</v>
      </c>
      <c r="C1357" t="s">
        <v>1727</v>
      </c>
      <c r="D1357" t="s">
        <v>543</v>
      </c>
      <c r="E1357">
        <v>71</v>
      </c>
      <c r="F1357">
        <v>3493</v>
      </c>
      <c r="G1357" t="s">
        <v>1726</v>
      </c>
      <c r="H1357">
        <v>12</v>
      </c>
      <c r="I1357" t="s">
        <v>25</v>
      </c>
      <c r="J1357">
        <v>9</v>
      </c>
      <c r="K1357" t="s">
        <v>25</v>
      </c>
      <c r="L1357">
        <v>7</v>
      </c>
      <c r="M1357">
        <v>73021</v>
      </c>
      <c r="N1357">
        <v>3</v>
      </c>
    </row>
    <row r="1358" spans="1:14" x14ac:dyDescent="0.2">
      <c r="A1358" s="3">
        <f t="shared" si="22"/>
        <v>77234</v>
      </c>
      <c r="B1358" t="str">
        <f>"00772340012"</f>
        <v>00772340012</v>
      </c>
      <c r="C1358" t="s">
        <v>1728</v>
      </c>
      <c r="D1358" t="s">
        <v>622</v>
      </c>
      <c r="E1358">
        <v>83</v>
      </c>
      <c r="F1358">
        <v>1224</v>
      </c>
      <c r="G1358" t="s">
        <v>1014</v>
      </c>
      <c r="H1358" t="s">
        <v>44</v>
      </c>
      <c r="I1358" t="s">
        <v>45</v>
      </c>
      <c r="J1358" t="s">
        <v>44</v>
      </c>
      <c r="K1358" t="s">
        <v>45</v>
      </c>
      <c r="L1358">
        <v>8</v>
      </c>
      <c r="M1358">
        <v>67270</v>
      </c>
      <c r="N1358" t="s">
        <v>46</v>
      </c>
    </row>
    <row r="1359" spans="1:14" x14ac:dyDescent="0.2">
      <c r="A1359" s="3">
        <f t="shared" si="22"/>
        <v>77338</v>
      </c>
      <c r="B1359" t="str">
        <f>"00773380016"</f>
        <v>00773380016</v>
      </c>
      <c r="C1359" t="s">
        <v>1729</v>
      </c>
      <c r="D1359" t="s">
        <v>36</v>
      </c>
      <c r="E1359">
        <v>70</v>
      </c>
      <c r="F1359">
        <v>3526</v>
      </c>
      <c r="G1359" t="s">
        <v>1608</v>
      </c>
      <c r="H1359">
        <v>120</v>
      </c>
      <c r="I1359" t="s">
        <v>34</v>
      </c>
      <c r="J1359">
        <v>88</v>
      </c>
      <c r="K1359" t="s">
        <v>34</v>
      </c>
      <c r="L1359">
        <v>8</v>
      </c>
      <c r="M1359">
        <v>66151</v>
      </c>
      <c r="N1359">
        <v>32</v>
      </c>
    </row>
    <row r="1360" spans="1:14" x14ac:dyDescent="0.2">
      <c r="A1360" s="3">
        <f t="shared" si="22"/>
        <v>77370</v>
      </c>
      <c r="B1360" t="str">
        <f>"00773700001"</f>
        <v>00773700001</v>
      </c>
      <c r="C1360" t="s">
        <v>1730</v>
      </c>
      <c r="D1360" t="s">
        <v>23</v>
      </c>
      <c r="E1360">
        <v>62</v>
      </c>
      <c r="F1360">
        <v>378</v>
      </c>
      <c r="G1360" t="s">
        <v>880</v>
      </c>
      <c r="H1360">
        <v>120</v>
      </c>
      <c r="I1360" t="s">
        <v>34</v>
      </c>
      <c r="J1360">
        <v>88</v>
      </c>
      <c r="K1360" t="s">
        <v>34</v>
      </c>
      <c r="L1360">
        <v>9</v>
      </c>
      <c r="M1360">
        <v>71259</v>
      </c>
      <c r="N1360">
        <v>32</v>
      </c>
    </row>
    <row r="1361" spans="1:14" x14ac:dyDescent="0.2">
      <c r="A1361" s="3">
        <f t="shared" si="22"/>
        <v>77384</v>
      </c>
      <c r="B1361" t="str">
        <f>"00773840012"</f>
        <v>00773840012</v>
      </c>
      <c r="C1361" t="s">
        <v>1731</v>
      </c>
      <c r="D1361" t="s">
        <v>70</v>
      </c>
      <c r="E1361">
        <v>30</v>
      </c>
      <c r="F1361">
        <v>4980</v>
      </c>
      <c r="G1361" t="s">
        <v>154</v>
      </c>
      <c r="H1361">
        <v>17</v>
      </c>
      <c r="I1361" t="s">
        <v>34</v>
      </c>
      <c r="J1361">
        <v>11</v>
      </c>
      <c r="K1361" t="s">
        <v>34</v>
      </c>
      <c r="L1361">
        <v>8</v>
      </c>
      <c r="M1361">
        <v>83050</v>
      </c>
      <c r="N1361">
        <v>6</v>
      </c>
    </row>
    <row r="1362" spans="1:14" x14ac:dyDescent="0.2">
      <c r="A1362" s="3">
        <f t="shared" si="22"/>
        <v>77667</v>
      </c>
      <c r="B1362" t="str">
        <f>"00776670024"</f>
        <v>00776670024</v>
      </c>
      <c r="C1362" t="s">
        <v>1732</v>
      </c>
      <c r="D1362" t="s">
        <v>686</v>
      </c>
      <c r="E1362">
        <v>84</v>
      </c>
      <c r="F1362">
        <v>2275</v>
      </c>
      <c r="G1362" t="s">
        <v>1618</v>
      </c>
      <c r="H1362" t="s">
        <v>44</v>
      </c>
      <c r="I1362" t="s">
        <v>45</v>
      </c>
      <c r="J1362" t="s">
        <v>44</v>
      </c>
      <c r="K1362" t="s">
        <v>45</v>
      </c>
      <c r="L1362">
        <v>8</v>
      </c>
      <c r="M1362">
        <v>69063</v>
      </c>
      <c r="N1362" t="s">
        <v>46</v>
      </c>
    </row>
    <row r="1363" spans="1:14" x14ac:dyDescent="0.2">
      <c r="A1363" s="3">
        <f t="shared" si="22"/>
        <v>77702</v>
      </c>
      <c r="B1363" t="str">
        <f>"00777020032"</f>
        <v>00777020032</v>
      </c>
      <c r="C1363" t="s">
        <v>1733</v>
      </c>
      <c r="D1363" t="s">
        <v>42</v>
      </c>
      <c r="E1363">
        <v>70</v>
      </c>
      <c r="F1363">
        <v>1647</v>
      </c>
      <c r="G1363" t="s">
        <v>557</v>
      </c>
      <c r="H1363">
        <v>150</v>
      </c>
      <c r="I1363" t="s">
        <v>34</v>
      </c>
      <c r="J1363">
        <v>118</v>
      </c>
      <c r="K1363" t="s">
        <v>34</v>
      </c>
      <c r="L1363">
        <v>8</v>
      </c>
      <c r="M1363">
        <v>74061</v>
      </c>
      <c r="N1363">
        <v>32</v>
      </c>
    </row>
    <row r="1364" spans="1:14" x14ac:dyDescent="0.2">
      <c r="A1364" s="3">
        <f t="shared" si="22"/>
        <v>77724</v>
      </c>
      <c r="B1364" t="str">
        <f>"00777240001"</f>
        <v>00777240001</v>
      </c>
      <c r="C1364" t="s">
        <v>1734</v>
      </c>
      <c r="D1364" t="s">
        <v>52</v>
      </c>
      <c r="E1364">
        <v>12</v>
      </c>
      <c r="F1364">
        <v>3694</v>
      </c>
      <c r="G1364" t="s">
        <v>1614</v>
      </c>
      <c r="H1364" t="s">
        <v>44</v>
      </c>
      <c r="I1364" t="s">
        <v>45</v>
      </c>
      <c r="J1364" t="s">
        <v>44</v>
      </c>
      <c r="K1364" t="s">
        <v>45</v>
      </c>
      <c r="L1364">
        <v>5</v>
      </c>
      <c r="M1364" t="s">
        <v>65</v>
      </c>
      <c r="N1364" t="s">
        <v>46</v>
      </c>
    </row>
    <row r="1365" spans="1:14" x14ac:dyDescent="0.2">
      <c r="A1365" s="3">
        <f t="shared" si="22"/>
        <v>77745</v>
      </c>
      <c r="B1365" t="str">
        <f>"00777450012"</f>
        <v>00777450012</v>
      </c>
      <c r="C1365" t="s">
        <v>1735</v>
      </c>
      <c r="D1365" t="s">
        <v>67</v>
      </c>
      <c r="E1365">
        <v>70</v>
      </c>
      <c r="F1365">
        <v>198</v>
      </c>
      <c r="G1365" t="s">
        <v>564</v>
      </c>
      <c r="H1365">
        <v>7</v>
      </c>
      <c r="I1365" t="s">
        <v>25</v>
      </c>
      <c r="J1365">
        <v>5</v>
      </c>
      <c r="K1365" t="s">
        <v>25</v>
      </c>
      <c r="L1365">
        <v>8</v>
      </c>
      <c r="M1365">
        <v>72050</v>
      </c>
      <c r="N1365">
        <v>2</v>
      </c>
    </row>
    <row r="1366" spans="1:14" x14ac:dyDescent="0.2">
      <c r="A1366" s="3">
        <f t="shared" si="22"/>
        <v>77746</v>
      </c>
      <c r="B1366" t="str">
        <f>"00777460012"</f>
        <v>00777460012</v>
      </c>
      <c r="C1366" t="s">
        <v>1736</v>
      </c>
      <c r="D1366" t="s">
        <v>67</v>
      </c>
      <c r="E1366">
        <v>72</v>
      </c>
      <c r="F1366">
        <v>198</v>
      </c>
      <c r="G1366" t="s">
        <v>564</v>
      </c>
      <c r="H1366">
        <v>112</v>
      </c>
      <c r="I1366" t="s">
        <v>34</v>
      </c>
      <c r="J1366">
        <v>83</v>
      </c>
      <c r="K1366" t="s">
        <v>34</v>
      </c>
      <c r="L1366">
        <v>8</v>
      </c>
      <c r="M1366">
        <v>76257</v>
      </c>
      <c r="N1366">
        <v>29</v>
      </c>
    </row>
    <row r="1367" spans="1:14" x14ac:dyDescent="0.2">
      <c r="A1367" s="3">
        <f t="shared" si="22"/>
        <v>77784</v>
      </c>
      <c r="B1367" t="str">
        <f>"00777840008"</f>
        <v>00777840008</v>
      </c>
      <c r="C1367" t="s">
        <v>1737</v>
      </c>
      <c r="D1367" t="s">
        <v>32</v>
      </c>
      <c r="E1367">
        <v>31</v>
      </c>
      <c r="F1367">
        <v>4248</v>
      </c>
      <c r="G1367" t="s">
        <v>96</v>
      </c>
      <c r="H1367">
        <v>21</v>
      </c>
      <c r="I1367" t="s">
        <v>34</v>
      </c>
      <c r="J1367">
        <v>15</v>
      </c>
      <c r="K1367" t="s">
        <v>34</v>
      </c>
      <c r="L1367">
        <v>8</v>
      </c>
      <c r="M1367">
        <v>80208</v>
      </c>
      <c r="N1367">
        <v>6</v>
      </c>
    </row>
    <row r="1368" spans="1:14" x14ac:dyDescent="0.2">
      <c r="A1368" s="3">
        <f t="shared" si="22"/>
        <v>77864</v>
      </c>
      <c r="B1368" t="str">
        <f>"00778640040"</f>
        <v>00778640040</v>
      </c>
      <c r="C1368" t="s">
        <v>1348</v>
      </c>
      <c r="D1368" t="s">
        <v>42</v>
      </c>
      <c r="E1368">
        <v>70</v>
      </c>
      <c r="F1368">
        <v>2405</v>
      </c>
      <c r="G1368" t="s">
        <v>609</v>
      </c>
      <c r="H1368">
        <v>8</v>
      </c>
      <c r="I1368" t="s">
        <v>25</v>
      </c>
      <c r="J1368">
        <v>6</v>
      </c>
      <c r="K1368" t="s">
        <v>25</v>
      </c>
      <c r="L1368">
        <v>8</v>
      </c>
      <c r="M1368">
        <v>72063</v>
      </c>
      <c r="N1368">
        <v>2</v>
      </c>
    </row>
    <row r="1369" spans="1:14" x14ac:dyDescent="0.2">
      <c r="A1369" s="3">
        <f t="shared" si="22"/>
        <v>77936</v>
      </c>
      <c r="B1369" t="str">
        <f>"00779360012"</f>
        <v>00779360012</v>
      </c>
      <c r="C1369" t="s">
        <v>1738</v>
      </c>
      <c r="D1369" t="s">
        <v>421</v>
      </c>
      <c r="E1369">
        <v>52</v>
      </c>
      <c r="F1369">
        <v>1205</v>
      </c>
      <c r="G1369" t="s">
        <v>325</v>
      </c>
      <c r="H1369">
        <v>24</v>
      </c>
      <c r="I1369" t="s">
        <v>25</v>
      </c>
      <c r="J1369">
        <v>20</v>
      </c>
      <c r="K1369" t="s">
        <v>25</v>
      </c>
      <c r="L1369">
        <v>8</v>
      </c>
      <c r="M1369">
        <v>65008</v>
      </c>
      <c r="N1369">
        <v>4</v>
      </c>
    </row>
    <row r="1370" spans="1:14" x14ac:dyDescent="0.2">
      <c r="A1370" s="3">
        <f t="shared" si="22"/>
        <v>77956</v>
      </c>
      <c r="B1370" t="str">
        <f>"00779560012"</f>
        <v>00779560012</v>
      </c>
      <c r="C1370" t="s">
        <v>1739</v>
      </c>
      <c r="D1370" t="s">
        <v>52</v>
      </c>
      <c r="E1370">
        <v>33</v>
      </c>
      <c r="F1370">
        <v>3105</v>
      </c>
      <c r="G1370" t="s">
        <v>1704</v>
      </c>
      <c r="H1370">
        <v>33</v>
      </c>
      <c r="I1370" t="s">
        <v>34</v>
      </c>
      <c r="J1370">
        <v>26</v>
      </c>
      <c r="K1370" t="s">
        <v>34</v>
      </c>
      <c r="L1370">
        <v>6</v>
      </c>
      <c r="M1370">
        <v>52503</v>
      </c>
      <c r="N1370">
        <v>7</v>
      </c>
    </row>
    <row r="1371" spans="1:14" x14ac:dyDescent="0.2">
      <c r="A1371" s="3">
        <f t="shared" si="22"/>
        <v>78019</v>
      </c>
      <c r="B1371" t="str">
        <f>"00780190001"</f>
        <v>00780190001</v>
      </c>
      <c r="C1371" t="s">
        <v>1740</v>
      </c>
      <c r="D1371" t="s">
        <v>543</v>
      </c>
      <c r="E1371">
        <v>62</v>
      </c>
      <c r="F1371">
        <v>2055</v>
      </c>
      <c r="G1371" t="s">
        <v>1741</v>
      </c>
      <c r="H1371">
        <v>7</v>
      </c>
      <c r="I1371" t="s">
        <v>25</v>
      </c>
      <c r="J1371">
        <v>5</v>
      </c>
      <c r="K1371" t="s">
        <v>25</v>
      </c>
      <c r="L1371">
        <v>8</v>
      </c>
      <c r="M1371">
        <v>71263</v>
      </c>
      <c r="N1371">
        <v>2</v>
      </c>
    </row>
    <row r="1372" spans="1:14" x14ac:dyDescent="0.2">
      <c r="A1372" s="3">
        <f t="shared" si="22"/>
        <v>79337</v>
      </c>
      <c r="B1372" t="str">
        <f>"00793370012"</f>
        <v>00793370012</v>
      </c>
      <c r="C1372" t="s">
        <v>1742</v>
      </c>
      <c r="D1372" t="s">
        <v>543</v>
      </c>
      <c r="E1372">
        <v>44</v>
      </c>
      <c r="F1372">
        <v>259</v>
      </c>
      <c r="G1372" t="s">
        <v>1504</v>
      </c>
      <c r="H1372">
        <v>11</v>
      </c>
      <c r="I1372" t="s">
        <v>25</v>
      </c>
      <c r="J1372">
        <v>8</v>
      </c>
      <c r="K1372" t="s">
        <v>25</v>
      </c>
      <c r="L1372">
        <v>8</v>
      </c>
      <c r="M1372">
        <v>65239</v>
      </c>
      <c r="N1372">
        <v>3</v>
      </c>
    </row>
    <row r="1373" spans="1:14" x14ac:dyDescent="0.2">
      <c r="A1373" s="3">
        <f t="shared" si="22"/>
        <v>79862</v>
      </c>
      <c r="B1373" t="str">
        <f>"00798620016"</f>
        <v>00798620016</v>
      </c>
      <c r="C1373" t="s">
        <v>1743</v>
      </c>
      <c r="D1373" t="s">
        <v>320</v>
      </c>
      <c r="E1373">
        <v>20</v>
      </c>
      <c r="F1373">
        <v>8086</v>
      </c>
      <c r="G1373" t="s">
        <v>290</v>
      </c>
      <c r="H1373">
        <v>9</v>
      </c>
      <c r="I1373" t="s">
        <v>25</v>
      </c>
      <c r="J1373">
        <v>7</v>
      </c>
      <c r="K1373" t="s">
        <v>25</v>
      </c>
      <c r="L1373">
        <v>8</v>
      </c>
      <c r="M1373">
        <v>88057</v>
      </c>
      <c r="N1373">
        <v>2</v>
      </c>
    </row>
    <row r="1374" spans="1:14" x14ac:dyDescent="0.2">
      <c r="A1374" s="3">
        <f t="shared" si="22"/>
        <v>79862</v>
      </c>
      <c r="B1374" t="str">
        <f>"00798620016"</f>
        <v>00798620016</v>
      </c>
      <c r="C1374" t="s">
        <v>1743</v>
      </c>
      <c r="D1374" t="s">
        <v>320</v>
      </c>
      <c r="E1374">
        <v>20</v>
      </c>
      <c r="F1374">
        <v>5930</v>
      </c>
      <c r="G1374" t="s">
        <v>747</v>
      </c>
      <c r="H1374">
        <v>9</v>
      </c>
      <c r="I1374" t="s">
        <v>25</v>
      </c>
      <c r="J1374">
        <v>7</v>
      </c>
      <c r="K1374" t="s">
        <v>25</v>
      </c>
      <c r="L1374">
        <v>8</v>
      </c>
      <c r="M1374">
        <v>88057</v>
      </c>
      <c r="N1374">
        <v>2</v>
      </c>
    </row>
    <row r="1375" spans="1:14" x14ac:dyDescent="0.2">
      <c r="A1375" s="3">
        <f t="shared" si="22"/>
        <v>79946</v>
      </c>
      <c r="B1375" t="str">
        <f>"00799460012"</f>
        <v>00799460012</v>
      </c>
      <c r="C1375" t="s">
        <v>1744</v>
      </c>
      <c r="D1375" t="s">
        <v>52</v>
      </c>
      <c r="E1375">
        <v>12</v>
      </c>
      <c r="F1375">
        <v>2237</v>
      </c>
      <c r="G1375" t="s">
        <v>1576</v>
      </c>
      <c r="H1375" t="s">
        <v>44</v>
      </c>
      <c r="I1375" t="s">
        <v>45</v>
      </c>
      <c r="J1375" t="s">
        <v>44</v>
      </c>
      <c r="K1375" t="s">
        <v>45</v>
      </c>
      <c r="L1375">
        <v>7</v>
      </c>
      <c r="M1375">
        <v>92980</v>
      </c>
      <c r="N1375" t="s">
        <v>46</v>
      </c>
    </row>
    <row r="1376" spans="1:14" x14ac:dyDescent="0.2">
      <c r="A1376" s="3">
        <f t="shared" si="22"/>
        <v>79946</v>
      </c>
      <c r="B1376" t="str">
        <f>"00799460012"</f>
        <v>00799460012</v>
      </c>
      <c r="C1376" t="s">
        <v>1744</v>
      </c>
      <c r="D1376" t="s">
        <v>52</v>
      </c>
      <c r="E1376">
        <v>12</v>
      </c>
      <c r="F1376">
        <v>3694</v>
      </c>
      <c r="G1376" t="s">
        <v>1614</v>
      </c>
      <c r="H1376" t="s">
        <v>44</v>
      </c>
      <c r="I1376" t="s">
        <v>45</v>
      </c>
      <c r="J1376" t="s">
        <v>44</v>
      </c>
      <c r="K1376" t="s">
        <v>45</v>
      </c>
      <c r="L1376">
        <v>7</v>
      </c>
      <c r="M1376">
        <v>92980</v>
      </c>
      <c r="N1376" t="s">
        <v>46</v>
      </c>
    </row>
    <row r="1377" spans="1:14" x14ac:dyDescent="0.2">
      <c r="A1377" s="3">
        <f t="shared" si="22"/>
        <v>80041</v>
      </c>
      <c r="B1377" t="str">
        <f>"00800410001"</f>
        <v>00800410001</v>
      </c>
      <c r="C1377" t="s">
        <v>1745</v>
      </c>
      <c r="D1377" t="s">
        <v>52</v>
      </c>
      <c r="E1377">
        <v>10</v>
      </c>
      <c r="F1377">
        <v>3653</v>
      </c>
      <c r="G1377" t="s">
        <v>1746</v>
      </c>
      <c r="H1377" t="s">
        <v>44</v>
      </c>
      <c r="I1377" t="s">
        <v>45</v>
      </c>
      <c r="J1377" t="s">
        <v>44</v>
      </c>
      <c r="K1377" t="s">
        <v>45</v>
      </c>
      <c r="L1377">
        <v>9</v>
      </c>
      <c r="M1377">
        <v>92041</v>
      </c>
      <c r="N1377" t="s">
        <v>46</v>
      </c>
    </row>
    <row r="1378" spans="1:14" x14ac:dyDescent="0.2">
      <c r="A1378" s="3">
        <f t="shared" si="22"/>
        <v>80041</v>
      </c>
      <c r="B1378" t="str">
        <f>"00800410001"</f>
        <v>00800410001</v>
      </c>
      <c r="C1378" t="s">
        <v>1745</v>
      </c>
      <c r="D1378" t="s">
        <v>52</v>
      </c>
      <c r="E1378">
        <v>10</v>
      </c>
      <c r="F1378">
        <v>284</v>
      </c>
      <c r="G1378" t="s">
        <v>1747</v>
      </c>
      <c r="H1378" t="s">
        <v>44</v>
      </c>
      <c r="I1378" t="s">
        <v>45</v>
      </c>
      <c r="J1378" t="s">
        <v>44</v>
      </c>
      <c r="K1378" t="s">
        <v>45</v>
      </c>
      <c r="L1378">
        <v>9</v>
      </c>
      <c r="M1378">
        <v>92041</v>
      </c>
      <c r="N1378" t="s">
        <v>46</v>
      </c>
    </row>
    <row r="1379" spans="1:14" x14ac:dyDescent="0.2">
      <c r="A1379" s="3">
        <f t="shared" si="22"/>
        <v>80056</v>
      </c>
      <c r="B1379" t="str">
        <f>"00800560001"</f>
        <v>00800560001</v>
      </c>
      <c r="C1379" t="s">
        <v>1748</v>
      </c>
      <c r="D1379" t="s">
        <v>52</v>
      </c>
      <c r="E1379">
        <v>10</v>
      </c>
      <c r="F1379">
        <v>284</v>
      </c>
      <c r="G1379" t="s">
        <v>1747</v>
      </c>
      <c r="H1379" t="s">
        <v>44</v>
      </c>
      <c r="I1379" t="s">
        <v>45</v>
      </c>
      <c r="J1379" t="s">
        <v>44</v>
      </c>
      <c r="K1379" t="s">
        <v>45</v>
      </c>
      <c r="L1379">
        <v>9</v>
      </c>
      <c r="M1379">
        <v>92035</v>
      </c>
      <c r="N1379" t="s">
        <v>46</v>
      </c>
    </row>
    <row r="1380" spans="1:14" x14ac:dyDescent="0.2">
      <c r="A1380" s="3">
        <f t="shared" si="22"/>
        <v>80064</v>
      </c>
      <c r="B1380" t="str">
        <f>"00800640001"</f>
        <v>00800640001</v>
      </c>
      <c r="C1380" t="s">
        <v>1749</v>
      </c>
      <c r="D1380" t="s">
        <v>52</v>
      </c>
      <c r="E1380">
        <v>10</v>
      </c>
      <c r="F1380">
        <v>284</v>
      </c>
      <c r="G1380" t="s">
        <v>1747</v>
      </c>
      <c r="H1380" t="s">
        <v>44</v>
      </c>
      <c r="I1380" t="s">
        <v>45</v>
      </c>
      <c r="J1380" t="s">
        <v>44</v>
      </c>
      <c r="K1380" t="s">
        <v>45</v>
      </c>
      <c r="L1380">
        <v>9</v>
      </c>
      <c r="M1380">
        <v>92046</v>
      </c>
      <c r="N1380" t="s">
        <v>46</v>
      </c>
    </row>
    <row r="1381" spans="1:14" x14ac:dyDescent="0.2">
      <c r="A1381" s="3">
        <f t="shared" si="22"/>
        <v>80088</v>
      </c>
      <c r="B1381" t="str">
        <f>"00800880001"</f>
        <v>00800880001</v>
      </c>
      <c r="C1381" t="s">
        <v>1750</v>
      </c>
      <c r="D1381" t="s">
        <v>52</v>
      </c>
      <c r="E1381">
        <v>10</v>
      </c>
      <c r="F1381">
        <v>284</v>
      </c>
      <c r="G1381" t="s">
        <v>1747</v>
      </c>
      <c r="H1381" t="s">
        <v>44</v>
      </c>
      <c r="I1381" t="s">
        <v>45</v>
      </c>
      <c r="J1381" t="s">
        <v>44</v>
      </c>
      <c r="K1381" t="s">
        <v>45</v>
      </c>
      <c r="L1381">
        <v>9</v>
      </c>
      <c r="M1381">
        <v>92011</v>
      </c>
      <c r="N1381" t="s">
        <v>46</v>
      </c>
    </row>
    <row r="1382" spans="1:14" x14ac:dyDescent="0.2">
      <c r="A1382" s="3">
        <f t="shared" si="22"/>
        <v>80092</v>
      </c>
      <c r="B1382" t="str">
        <f>"00800920001"</f>
        <v>00800920001</v>
      </c>
      <c r="C1382" t="s">
        <v>1751</v>
      </c>
      <c r="D1382" t="s">
        <v>52</v>
      </c>
      <c r="E1382">
        <v>10</v>
      </c>
      <c r="F1382">
        <v>284</v>
      </c>
      <c r="G1382" t="s">
        <v>1747</v>
      </c>
      <c r="H1382" t="s">
        <v>44</v>
      </c>
      <c r="I1382" t="s">
        <v>45</v>
      </c>
      <c r="J1382" t="s">
        <v>44</v>
      </c>
      <c r="K1382" t="s">
        <v>45</v>
      </c>
      <c r="L1382">
        <v>9</v>
      </c>
      <c r="M1382">
        <v>92001</v>
      </c>
      <c r="N1382" t="s">
        <v>46</v>
      </c>
    </row>
    <row r="1383" spans="1:14" x14ac:dyDescent="0.2">
      <c r="A1383" s="3">
        <f t="shared" si="22"/>
        <v>80092</v>
      </c>
      <c r="B1383" t="str">
        <f>"00800920001"</f>
        <v>00800920001</v>
      </c>
      <c r="C1383" t="s">
        <v>1751</v>
      </c>
      <c r="D1383" t="s">
        <v>52</v>
      </c>
      <c r="E1383">
        <v>10</v>
      </c>
      <c r="F1383">
        <v>1237</v>
      </c>
      <c r="G1383" t="s">
        <v>307</v>
      </c>
      <c r="H1383" t="s">
        <v>44</v>
      </c>
      <c r="I1383" t="s">
        <v>45</v>
      </c>
      <c r="J1383" t="s">
        <v>44</v>
      </c>
      <c r="K1383" t="s">
        <v>45</v>
      </c>
      <c r="L1383">
        <v>9</v>
      </c>
      <c r="M1383">
        <v>92001</v>
      </c>
      <c r="N1383" t="s">
        <v>46</v>
      </c>
    </row>
    <row r="1384" spans="1:14" x14ac:dyDescent="0.2">
      <c r="A1384" s="3">
        <f t="shared" si="22"/>
        <v>80096</v>
      </c>
      <c r="B1384" t="str">
        <f>"00800960001"</f>
        <v>00800960001</v>
      </c>
      <c r="C1384" t="s">
        <v>1752</v>
      </c>
      <c r="D1384" t="s">
        <v>52</v>
      </c>
      <c r="E1384">
        <v>10</v>
      </c>
      <c r="F1384">
        <v>284</v>
      </c>
      <c r="G1384" t="s">
        <v>1747</v>
      </c>
      <c r="H1384" t="s">
        <v>44</v>
      </c>
      <c r="I1384" t="s">
        <v>45</v>
      </c>
      <c r="J1384" t="s">
        <v>44</v>
      </c>
      <c r="K1384" t="s">
        <v>45</v>
      </c>
      <c r="L1384">
        <v>9</v>
      </c>
      <c r="M1384">
        <v>92031</v>
      </c>
      <c r="N1384" t="s">
        <v>46</v>
      </c>
    </row>
    <row r="1385" spans="1:14" x14ac:dyDescent="0.2">
      <c r="A1385" s="3">
        <f t="shared" si="22"/>
        <v>80154</v>
      </c>
      <c r="B1385" t="str">
        <f>"00801540001"</f>
        <v>00801540001</v>
      </c>
      <c r="C1385" t="s">
        <v>1753</v>
      </c>
      <c r="D1385" t="s">
        <v>52</v>
      </c>
      <c r="E1385">
        <v>10</v>
      </c>
      <c r="F1385">
        <v>284</v>
      </c>
      <c r="G1385" t="s">
        <v>1747</v>
      </c>
      <c r="H1385" t="s">
        <v>44</v>
      </c>
      <c r="I1385" t="s">
        <v>45</v>
      </c>
      <c r="J1385" t="s">
        <v>44</v>
      </c>
      <c r="K1385" t="s">
        <v>45</v>
      </c>
      <c r="L1385">
        <v>9</v>
      </c>
      <c r="M1385">
        <v>92033</v>
      </c>
      <c r="N1385" t="s">
        <v>46</v>
      </c>
    </row>
    <row r="1386" spans="1:14" x14ac:dyDescent="0.2">
      <c r="A1386" s="3">
        <f t="shared" si="22"/>
        <v>80157</v>
      </c>
      <c r="B1386" t="str">
        <f>"00801570001"</f>
        <v>00801570001</v>
      </c>
      <c r="C1386" t="s">
        <v>1754</v>
      </c>
      <c r="D1386" t="s">
        <v>52</v>
      </c>
      <c r="E1386">
        <v>10</v>
      </c>
      <c r="F1386">
        <v>284</v>
      </c>
      <c r="G1386" t="s">
        <v>1747</v>
      </c>
      <c r="H1386" t="s">
        <v>44</v>
      </c>
      <c r="I1386" t="s">
        <v>45</v>
      </c>
      <c r="J1386" t="s">
        <v>44</v>
      </c>
      <c r="K1386" t="s">
        <v>45</v>
      </c>
      <c r="L1386">
        <v>9</v>
      </c>
      <c r="M1386">
        <v>92034</v>
      </c>
      <c r="N1386" t="s">
        <v>46</v>
      </c>
    </row>
    <row r="1387" spans="1:14" x14ac:dyDescent="0.2">
      <c r="A1387" s="3">
        <f t="shared" si="22"/>
        <v>80170</v>
      </c>
      <c r="B1387" t="str">
        <f>"00801700001"</f>
        <v>00801700001</v>
      </c>
      <c r="C1387" t="s">
        <v>1755</v>
      </c>
      <c r="D1387" t="s">
        <v>52</v>
      </c>
      <c r="E1387">
        <v>10</v>
      </c>
      <c r="F1387">
        <v>284</v>
      </c>
      <c r="G1387" t="s">
        <v>1747</v>
      </c>
      <c r="H1387" t="s">
        <v>44</v>
      </c>
      <c r="I1387" t="s">
        <v>45</v>
      </c>
      <c r="J1387" t="s">
        <v>44</v>
      </c>
      <c r="K1387" t="s">
        <v>45</v>
      </c>
      <c r="L1387">
        <v>9</v>
      </c>
      <c r="M1387">
        <v>92037</v>
      </c>
      <c r="N1387" t="s">
        <v>46</v>
      </c>
    </row>
    <row r="1388" spans="1:14" x14ac:dyDescent="0.2">
      <c r="A1388" s="3">
        <f t="shared" si="22"/>
        <v>80172</v>
      </c>
      <c r="B1388" t="str">
        <f>"00801720001"</f>
        <v>00801720001</v>
      </c>
      <c r="C1388" t="s">
        <v>1756</v>
      </c>
      <c r="D1388" t="s">
        <v>52</v>
      </c>
      <c r="E1388">
        <v>10</v>
      </c>
      <c r="F1388">
        <v>284</v>
      </c>
      <c r="G1388" t="s">
        <v>1747</v>
      </c>
      <c r="H1388" t="s">
        <v>44</v>
      </c>
      <c r="I1388" t="s">
        <v>45</v>
      </c>
      <c r="J1388" t="s">
        <v>44</v>
      </c>
      <c r="K1388" t="s">
        <v>45</v>
      </c>
      <c r="L1388">
        <v>9</v>
      </c>
      <c r="M1388">
        <v>92060</v>
      </c>
      <c r="N1388" t="s">
        <v>46</v>
      </c>
    </row>
    <row r="1389" spans="1:14" x14ac:dyDescent="0.2">
      <c r="A1389" s="3">
        <f t="shared" si="22"/>
        <v>80185</v>
      </c>
      <c r="B1389" t="str">
        <f>"00801850001"</f>
        <v>00801850001</v>
      </c>
      <c r="C1389" t="s">
        <v>1757</v>
      </c>
      <c r="D1389" t="s">
        <v>52</v>
      </c>
      <c r="E1389">
        <v>10</v>
      </c>
      <c r="F1389">
        <v>284</v>
      </c>
      <c r="G1389" t="s">
        <v>1747</v>
      </c>
      <c r="H1389" t="s">
        <v>44</v>
      </c>
      <c r="I1389" t="s">
        <v>45</v>
      </c>
      <c r="J1389" t="s">
        <v>44</v>
      </c>
      <c r="K1389" t="s">
        <v>45</v>
      </c>
      <c r="L1389">
        <v>9</v>
      </c>
      <c r="M1389">
        <v>92051</v>
      </c>
      <c r="N1389" t="s">
        <v>46</v>
      </c>
    </row>
    <row r="1390" spans="1:14" x14ac:dyDescent="0.2">
      <c r="A1390" s="3">
        <f t="shared" si="22"/>
        <v>80192</v>
      </c>
      <c r="B1390" t="str">
        <f>"00801920001"</f>
        <v>00801920001</v>
      </c>
      <c r="C1390" t="s">
        <v>1758</v>
      </c>
      <c r="D1390" t="s">
        <v>52</v>
      </c>
      <c r="E1390">
        <v>10</v>
      </c>
      <c r="F1390">
        <v>284</v>
      </c>
      <c r="G1390" t="s">
        <v>1747</v>
      </c>
      <c r="H1390" t="s">
        <v>44</v>
      </c>
      <c r="I1390" t="s">
        <v>45</v>
      </c>
      <c r="J1390" t="s">
        <v>44</v>
      </c>
      <c r="K1390" t="s">
        <v>45</v>
      </c>
      <c r="L1390">
        <v>9</v>
      </c>
      <c r="M1390">
        <v>92052</v>
      </c>
      <c r="N1390" t="s">
        <v>46</v>
      </c>
    </row>
    <row r="1391" spans="1:14" x14ac:dyDescent="0.2">
      <c r="A1391" s="3">
        <f t="shared" si="22"/>
        <v>80195</v>
      </c>
      <c r="B1391" t="str">
        <f>"00801950001"</f>
        <v>00801950001</v>
      </c>
      <c r="C1391" t="s">
        <v>1759</v>
      </c>
      <c r="D1391" t="s">
        <v>52</v>
      </c>
      <c r="E1391">
        <v>10</v>
      </c>
      <c r="F1391">
        <v>284</v>
      </c>
      <c r="G1391" t="s">
        <v>1747</v>
      </c>
      <c r="H1391" t="s">
        <v>44</v>
      </c>
      <c r="I1391" t="s">
        <v>45</v>
      </c>
      <c r="J1391" t="s">
        <v>44</v>
      </c>
      <c r="K1391" t="s">
        <v>45</v>
      </c>
      <c r="L1391">
        <v>9</v>
      </c>
      <c r="M1391">
        <v>92043</v>
      </c>
      <c r="N1391" t="s">
        <v>46</v>
      </c>
    </row>
    <row r="1392" spans="1:14" x14ac:dyDescent="0.2">
      <c r="A1392" s="3">
        <f t="shared" si="22"/>
        <v>80195</v>
      </c>
      <c r="B1392" t="str">
        <f>"00801950001"</f>
        <v>00801950001</v>
      </c>
      <c r="C1392" t="s">
        <v>1759</v>
      </c>
      <c r="D1392" t="s">
        <v>52</v>
      </c>
      <c r="E1392">
        <v>10</v>
      </c>
      <c r="F1392">
        <v>1805</v>
      </c>
      <c r="G1392" t="s">
        <v>1760</v>
      </c>
      <c r="H1392" t="s">
        <v>44</v>
      </c>
      <c r="I1392" t="s">
        <v>45</v>
      </c>
      <c r="J1392" t="s">
        <v>44</v>
      </c>
      <c r="K1392" t="s">
        <v>45</v>
      </c>
      <c r="L1392">
        <v>9</v>
      </c>
      <c r="M1392">
        <v>92043</v>
      </c>
      <c r="N1392" t="s">
        <v>46</v>
      </c>
    </row>
    <row r="1393" spans="1:14" x14ac:dyDescent="0.2">
      <c r="A1393" s="3">
        <f t="shared" si="22"/>
        <v>80215</v>
      </c>
      <c r="B1393" t="str">
        <f>"00802150001"</f>
        <v>00802150001</v>
      </c>
      <c r="C1393" t="s">
        <v>1761</v>
      </c>
      <c r="D1393" t="s">
        <v>52</v>
      </c>
      <c r="E1393">
        <v>10</v>
      </c>
      <c r="F1393">
        <v>284</v>
      </c>
      <c r="G1393" t="s">
        <v>1747</v>
      </c>
      <c r="H1393" t="s">
        <v>44</v>
      </c>
      <c r="I1393" t="s">
        <v>45</v>
      </c>
      <c r="J1393" t="s">
        <v>44</v>
      </c>
      <c r="K1393" t="s">
        <v>45</v>
      </c>
      <c r="L1393">
        <v>9</v>
      </c>
      <c r="M1393">
        <v>92045</v>
      </c>
      <c r="N1393" t="s">
        <v>46</v>
      </c>
    </row>
    <row r="1394" spans="1:14" x14ac:dyDescent="0.2">
      <c r="A1394" s="3">
        <f t="shared" si="22"/>
        <v>80215</v>
      </c>
      <c r="B1394" t="str">
        <f>"00802150001"</f>
        <v>00802150001</v>
      </c>
      <c r="C1394" t="s">
        <v>1761</v>
      </c>
      <c r="D1394" t="s">
        <v>52</v>
      </c>
      <c r="E1394">
        <v>10</v>
      </c>
      <c r="F1394">
        <v>3705</v>
      </c>
      <c r="G1394" t="s">
        <v>1762</v>
      </c>
      <c r="H1394" t="s">
        <v>44</v>
      </c>
      <c r="I1394" t="s">
        <v>45</v>
      </c>
      <c r="J1394" t="s">
        <v>44</v>
      </c>
      <c r="K1394" t="s">
        <v>45</v>
      </c>
      <c r="L1394">
        <v>9</v>
      </c>
      <c r="M1394">
        <v>92045</v>
      </c>
      <c r="N1394" t="s">
        <v>46</v>
      </c>
    </row>
    <row r="1395" spans="1:14" x14ac:dyDescent="0.2">
      <c r="A1395" s="3">
        <f t="shared" si="22"/>
        <v>80245</v>
      </c>
      <c r="B1395" t="str">
        <f>"00802450001"</f>
        <v>00802450001</v>
      </c>
      <c r="C1395" t="s">
        <v>1763</v>
      </c>
      <c r="D1395" t="s">
        <v>52</v>
      </c>
      <c r="E1395">
        <v>10</v>
      </c>
      <c r="F1395">
        <v>284</v>
      </c>
      <c r="G1395" t="s">
        <v>1747</v>
      </c>
      <c r="H1395" t="s">
        <v>44</v>
      </c>
      <c r="I1395" t="s">
        <v>45</v>
      </c>
      <c r="J1395" t="s">
        <v>44</v>
      </c>
      <c r="K1395" t="s">
        <v>45</v>
      </c>
      <c r="L1395">
        <v>9</v>
      </c>
      <c r="M1395">
        <v>92057</v>
      </c>
      <c r="N1395" t="s">
        <v>46</v>
      </c>
    </row>
    <row r="1396" spans="1:14" x14ac:dyDescent="0.2">
      <c r="A1396" s="3">
        <f t="shared" si="22"/>
        <v>80245</v>
      </c>
      <c r="B1396" t="str">
        <f>"00802450001"</f>
        <v>00802450001</v>
      </c>
      <c r="C1396" t="s">
        <v>1763</v>
      </c>
      <c r="D1396" t="s">
        <v>52</v>
      </c>
      <c r="E1396">
        <v>10</v>
      </c>
      <c r="F1396">
        <v>1237</v>
      </c>
      <c r="G1396" t="s">
        <v>307</v>
      </c>
      <c r="H1396" t="s">
        <v>44</v>
      </c>
      <c r="I1396" t="s">
        <v>45</v>
      </c>
      <c r="J1396" t="s">
        <v>44</v>
      </c>
      <c r="K1396" t="s">
        <v>45</v>
      </c>
      <c r="L1396">
        <v>9</v>
      </c>
      <c r="M1396">
        <v>92057</v>
      </c>
      <c r="N1396" t="s">
        <v>46</v>
      </c>
    </row>
    <row r="1397" spans="1:14" x14ac:dyDescent="0.2">
      <c r="A1397" s="3">
        <f t="shared" si="22"/>
        <v>80251</v>
      </c>
      <c r="B1397" t="str">
        <f>"00802510001"</f>
        <v>00802510001</v>
      </c>
      <c r="C1397" t="s">
        <v>1764</v>
      </c>
      <c r="D1397" t="s">
        <v>52</v>
      </c>
      <c r="E1397">
        <v>10</v>
      </c>
      <c r="F1397">
        <v>284</v>
      </c>
      <c r="G1397" t="s">
        <v>1747</v>
      </c>
      <c r="H1397" t="s">
        <v>44</v>
      </c>
      <c r="I1397" t="s">
        <v>45</v>
      </c>
      <c r="J1397" t="s">
        <v>44</v>
      </c>
      <c r="K1397" t="s">
        <v>45</v>
      </c>
      <c r="L1397">
        <v>9</v>
      </c>
      <c r="M1397">
        <v>92072</v>
      </c>
      <c r="N1397" t="s">
        <v>46</v>
      </c>
    </row>
    <row r="1398" spans="1:14" x14ac:dyDescent="0.2">
      <c r="A1398" s="3">
        <f t="shared" si="22"/>
        <v>80275</v>
      </c>
      <c r="B1398" t="str">
        <f>"00802750001"</f>
        <v>00802750001</v>
      </c>
      <c r="C1398" t="s">
        <v>1765</v>
      </c>
      <c r="D1398" t="s">
        <v>52</v>
      </c>
      <c r="E1398">
        <v>10</v>
      </c>
      <c r="F1398">
        <v>5201</v>
      </c>
      <c r="G1398" t="s">
        <v>1766</v>
      </c>
      <c r="H1398" t="s">
        <v>44</v>
      </c>
      <c r="I1398" t="s">
        <v>45</v>
      </c>
      <c r="J1398" t="s">
        <v>44</v>
      </c>
      <c r="K1398" t="s">
        <v>45</v>
      </c>
      <c r="L1398">
        <v>9</v>
      </c>
      <c r="M1398">
        <v>92059</v>
      </c>
      <c r="N1398" t="s">
        <v>46</v>
      </c>
    </row>
    <row r="1399" spans="1:14" x14ac:dyDescent="0.2">
      <c r="A1399" s="3">
        <f t="shared" si="22"/>
        <v>80275</v>
      </c>
      <c r="B1399" t="str">
        <f>"00802750001"</f>
        <v>00802750001</v>
      </c>
      <c r="C1399" t="s">
        <v>1765</v>
      </c>
      <c r="D1399" t="s">
        <v>52</v>
      </c>
      <c r="E1399">
        <v>10</v>
      </c>
      <c r="F1399">
        <v>1521</v>
      </c>
      <c r="G1399" t="s">
        <v>1767</v>
      </c>
      <c r="H1399" t="s">
        <v>44</v>
      </c>
      <c r="I1399" t="s">
        <v>45</v>
      </c>
      <c r="J1399" t="s">
        <v>44</v>
      </c>
      <c r="K1399" t="s">
        <v>45</v>
      </c>
      <c r="L1399">
        <v>9</v>
      </c>
      <c r="M1399">
        <v>92059</v>
      </c>
      <c r="N1399" t="s">
        <v>46</v>
      </c>
    </row>
    <row r="1400" spans="1:14" x14ac:dyDescent="0.2">
      <c r="A1400" s="3">
        <f t="shared" si="22"/>
        <v>80275</v>
      </c>
      <c r="B1400" t="str">
        <f>"00802750001"</f>
        <v>00802750001</v>
      </c>
      <c r="C1400" t="s">
        <v>1765</v>
      </c>
      <c r="D1400" t="s">
        <v>52</v>
      </c>
      <c r="E1400">
        <v>10</v>
      </c>
      <c r="F1400">
        <v>284</v>
      </c>
      <c r="G1400" t="s">
        <v>1747</v>
      </c>
      <c r="H1400" t="s">
        <v>44</v>
      </c>
      <c r="I1400" t="s">
        <v>45</v>
      </c>
      <c r="J1400" t="s">
        <v>44</v>
      </c>
      <c r="K1400" t="s">
        <v>45</v>
      </c>
      <c r="L1400">
        <v>9</v>
      </c>
      <c r="M1400">
        <v>92059</v>
      </c>
      <c r="N1400" t="s">
        <v>46</v>
      </c>
    </row>
    <row r="1401" spans="1:14" x14ac:dyDescent="0.2">
      <c r="A1401" s="3">
        <f t="shared" si="22"/>
        <v>80275</v>
      </c>
      <c r="B1401" t="str">
        <f>"00802750001"</f>
        <v>00802750001</v>
      </c>
      <c r="C1401" t="s">
        <v>1765</v>
      </c>
      <c r="D1401" t="s">
        <v>52</v>
      </c>
      <c r="E1401">
        <v>10</v>
      </c>
      <c r="F1401">
        <v>3305</v>
      </c>
      <c r="G1401" t="s">
        <v>1768</v>
      </c>
      <c r="H1401" t="s">
        <v>44</v>
      </c>
      <c r="I1401" t="s">
        <v>45</v>
      </c>
      <c r="J1401" t="s">
        <v>44</v>
      </c>
      <c r="K1401" t="s">
        <v>45</v>
      </c>
      <c r="L1401">
        <v>9</v>
      </c>
      <c r="M1401">
        <v>92059</v>
      </c>
      <c r="N1401" t="s">
        <v>46</v>
      </c>
    </row>
    <row r="1402" spans="1:14" x14ac:dyDescent="0.2">
      <c r="A1402" s="3">
        <f t="shared" si="22"/>
        <v>80275</v>
      </c>
      <c r="B1402" t="str">
        <f>"00802750001"</f>
        <v>00802750001</v>
      </c>
      <c r="C1402" t="s">
        <v>1765</v>
      </c>
      <c r="D1402" t="s">
        <v>52</v>
      </c>
      <c r="E1402">
        <v>10</v>
      </c>
      <c r="F1402">
        <v>5944</v>
      </c>
      <c r="G1402" t="s">
        <v>1769</v>
      </c>
      <c r="H1402" t="s">
        <v>44</v>
      </c>
      <c r="I1402" t="s">
        <v>45</v>
      </c>
      <c r="J1402" t="s">
        <v>44</v>
      </c>
      <c r="K1402" t="s">
        <v>45</v>
      </c>
      <c r="L1402">
        <v>9</v>
      </c>
      <c r="M1402">
        <v>92059</v>
      </c>
      <c r="N1402" t="s">
        <v>46</v>
      </c>
    </row>
    <row r="1403" spans="1:14" x14ac:dyDescent="0.2">
      <c r="A1403" s="3">
        <f t="shared" si="22"/>
        <v>80281</v>
      </c>
      <c r="B1403" t="str">
        <f t="shared" ref="B1403:B1409" si="23">"00802810001"</f>
        <v>00802810001</v>
      </c>
      <c r="C1403" t="s">
        <v>1770</v>
      </c>
      <c r="D1403" t="s">
        <v>52</v>
      </c>
      <c r="E1403">
        <v>10</v>
      </c>
      <c r="F1403">
        <v>1521</v>
      </c>
      <c r="G1403" t="s">
        <v>1767</v>
      </c>
      <c r="H1403" t="s">
        <v>44</v>
      </c>
      <c r="I1403" t="s">
        <v>45</v>
      </c>
      <c r="J1403" t="s">
        <v>44</v>
      </c>
      <c r="K1403" t="s">
        <v>45</v>
      </c>
      <c r="L1403">
        <v>9</v>
      </c>
      <c r="M1403">
        <v>92056</v>
      </c>
      <c r="N1403" t="s">
        <v>46</v>
      </c>
    </row>
    <row r="1404" spans="1:14" x14ac:dyDescent="0.2">
      <c r="A1404" s="3">
        <f t="shared" si="22"/>
        <v>80281</v>
      </c>
      <c r="B1404" t="str">
        <f t="shared" si="23"/>
        <v>00802810001</v>
      </c>
      <c r="C1404" t="s">
        <v>1770</v>
      </c>
      <c r="D1404" t="s">
        <v>52</v>
      </c>
      <c r="E1404">
        <v>10</v>
      </c>
      <c r="F1404">
        <v>1351</v>
      </c>
      <c r="G1404" t="s">
        <v>293</v>
      </c>
      <c r="H1404" t="s">
        <v>44</v>
      </c>
      <c r="I1404" t="s">
        <v>45</v>
      </c>
      <c r="J1404" t="s">
        <v>44</v>
      </c>
      <c r="K1404" t="s">
        <v>45</v>
      </c>
      <c r="L1404">
        <v>9</v>
      </c>
      <c r="M1404">
        <v>92056</v>
      </c>
      <c r="N1404" t="s">
        <v>46</v>
      </c>
    </row>
    <row r="1405" spans="1:14" x14ac:dyDescent="0.2">
      <c r="A1405" s="3">
        <f t="shared" si="22"/>
        <v>80281</v>
      </c>
      <c r="B1405" t="str">
        <f t="shared" si="23"/>
        <v>00802810001</v>
      </c>
      <c r="C1405" t="s">
        <v>1770</v>
      </c>
      <c r="D1405" t="s">
        <v>52</v>
      </c>
      <c r="E1405">
        <v>10</v>
      </c>
      <c r="F1405">
        <v>284</v>
      </c>
      <c r="G1405" t="s">
        <v>1747</v>
      </c>
      <c r="H1405" t="s">
        <v>44</v>
      </c>
      <c r="I1405" t="s">
        <v>45</v>
      </c>
      <c r="J1405" t="s">
        <v>44</v>
      </c>
      <c r="K1405" t="s">
        <v>45</v>
      </c>
      <c r="L1405">
        <v>9</v>
      </c>
      <c r="M1405">
        <v>92056</v>
      </c>
      <c r="N1405" t="s">
        <v>46</v>
      </c>
    </row>
    <row r="1406" spans="1:14" x14ac:dyDescent="0.2">
      <c r="A1406" s="3">
        <f t="shared" si="22"/>
        <v>80281</v>
      </c>
      <c r="B1406" t="str">
        <f t="shared" si="23"/>
        <v>00802810001</v>
      </c>
      <c r="C1406" t="s">
        <v>1770</v>
      </c>
      <c r="D1406" t="s">
        <v>52</v>
      </c>
      <c r="E1406">
        <v>10</v>
      </c>
      <c r="F1406">
        <v>1237</v>
      </c>
      <c r="G1406" t="s">
        <v>307</v>
      </c>
      <c r="H1406" t="s">
        <v>44</v>
      </c>
      <c r="I1406" t="s">
        <v>45</v>
      </c>
      <c r="J1406" t="s">
        <v>44</v>
      </c>
      <c r="K1406" t="s">
        <v>45</v>
      </c>
      <c r="L1406">
        <v>9</v>
      </c>
      <c r="M1406">
        <v>92056</v>
      </c>
      <c r="N1406" t="s">
        <v>46</v>
      </c>
    </row>
    <row r="1407" spans="1:14" x14ac:dyDescent="0.2">
      <c r="A1407" s="3">
        <f t="shared" si="22"/>
        <v>80281</v>
      </c>
      <c r="B1407" t="str">
        <f t="shared" si="23"/>
        <v>00802810001</v>
      </c>
      <c r="C1407" t="s">
        <v>1770</v>
      </c>
      <c r="D1407" t="s">
        <v>52</v>
      </c>
      <c r="E1407">
        <v>10</v>
      </c>
      <c r="F1407">
        <v>1046</v>
      </c>
      <c r="G1407" t="s">
        <v>1771</v>
      </c>
      <c r="H1407" t="s">
        <v>44</v>
      </c>
      <c r="I1407" t="s">
        <v>45</v>
      </c>
      <c r="J1407" t="s">
        <v>44</v>
      </c>
      <c r="K1407" t="s">
        <v>45</v>
      </c>
      <c r="L1407">
        <v>9</v>
      </c>
      <c r="M1407">
        <v>92056</v>
      </c>
      <c r="N1407" t="s">
        <v>46</v>
      </c>
    </row>
    <row r="1408" spans="1:14" x14ac:dyDescent="0.2">
      <c r="A1408" s="3">
        <f t="shared" si="22"/>
        <v>80281</v>
      </c>
      <c r="B1408" t="str">
        <f t="shared" si="23"/>
        <v>00802810001</v>
      </c>
      <c r="C1408" t="s">
        <v>1770</v>
      </c>
      <c r="D1408" t="s">
        <v>52</v>
      </c>
      <c r="E1408">
        <v>10</v>
      </c>
      <c r="F1408">
        <v>3305</v>
      </c>
      <c r="G1408" t="s">
        <v>1768</v>
      </c>
      <c r="H1408" t="s">
        <v>44</v>
      </c>
      <c r="I1408" t="s">
        <v>45</v>
      </c>
      <c r="J1408" t="s">
        <v>44</v>
      </c>
      <c r="K1408" t="s">
        <v>45</v>
      </c>
      <c r="L1408">
        <v>9</v>
      </c>
      <c r="M1408">
        <v>92056</v>
      </c>
      <c r="N1408" t="s">
        <v>46</v>
      </c>
    </row>
    <row r="1409" spans="1:14" x14ac:dyDescent="0.2">
      <c r="A1409" s="3">
        <f t="shared" si="22"/>
        <v>80281</v>
      </c>
      <c r="B1409" t="str">
        <f t="shared" si="23"/>
        <v>00802810001</v>
      </c>
      <c r="C1409" t="s">
        <v>1770</v>
      </c>
      <c r="D1409" t="s">
        <v>52</v>
      </c>
      <c r="E1409">
        <v>10</v>
      </c>
      <c r="F1409">
        <v>2739</v>
      </c>
      <c r="G1409" t="s">
        <v>1772</v>
      </c>
      <c r="H1409" t="s">
        <v>44</v>
      </c>
      <c r="I1409" t="s">
        <v>45</v>
      </c>
      <c r="J1409" t="s">
        <v>44</v>
      </c>
      <c r="K1409" t="s">
        <v>45</v>
      </c>
      <c r="L1409">
        <v>9</v>
      </c>
      <c r="M1409">
        <v>92056</v>
      </c>
      <c r="N1409" t="s">
        <v>46</v>
      </c>
    </row>
    <row r="1410" spans="1:14" x14ac:dyDescent="0.2">
      <c r="A1410" s="3">
        <f t="shared" si="22"/>
        <v>80452</v>
      </c>
      <c r="B1410" t="str">
        <f>"00804520001"</f>
        <v>00804520001</v>
      </c>
      <c r="C1410" t="s">
        <v>1773</v>
      </c>
      <c r="D1410" t="s">
        <v>52</v>
      </c>
      <c r="E1410">
        <v>10</v>
      </c>
      <c r="F1410">
        <v>7537</v>
      </c>
      <c r="G1410" t="s">
        <v>1774</v>
      </c>
      <c r="H1410" t="s">
        <v>44</v>
      </c>
      <c r="I1410" t="s">
        <v>45</v>
      </c>
      <c r="J1410" t="s">
        <v>44</v>
      </c>
      <c r="K1410" t="s">
        <v>45</v>
      </c>
      <c r="L1410">
        <v>5</v>
      </c>
      <c r="M1410" t="s">
        <v>65</v>
      </c>
      <c r="N1410" t="s">
        <v>46</v>
      </c>
    </row>
    <row r="1411" spans="1:14" x14ac:dyDescent="0.2">
      <c r="A1411" s="3">
        <f t="shared" si="22"/>
        <v>80490</v>
      </c>
      <c r="B1411" t="str">
        <f>"00804900001"</f>
        <v>00804900001</v>
      </c>
      <c r="C1411" t="s">
        <v>1775</v>
      </c>
      <c r="D1411" t="s">
        <v>52</v>
      </c>
      <c r="E1411">
        <v>10</v>
      </c>
      <c r="F1411">
        <v>284</v>
      </c>
      <c r="G1411" t="s">
        <v>1747</v>
      </c>
      <c r="H1411" t="s">
        <v>44</v>
      </c>
      <c r="I1411" t="s">
        <v>45</v>
      </c>
      <c r="J1411" t="s">
        <v>44</v>
      </c>
      <c r="K1411" t="s">
        <v>45</v>
      </c>
      <c r="L1411">
        <v>9</v>
      </c>
      <c r="M1411">
        <v>92061</v>
      </c>
      <c r="N1411" t="s">
        <v>46</v>
      </c>
    </row>
    <row r="1412" spans="1:14" x14ac:dyDescent="0.2">
      <c r="A1412" s="3">
        <f t="shared" ref="A1412:A1475" si="24">(B1412-RIGHT(B1412,4))/10000</f>
        <v>80601</v>
      </c>
      <c r="B1412" t="str">
        <f>"00806010001"</f>
        <v>00806010001</v>
      </c>
      <c r="C1412" t="s">
        <v>1776</v>
      </c>
      <c r="D1412" t="s">
        <v>52</v>
      </c>
      <c r="E1412">
        <v>10</v>
      </c>
      <c r="F1412">
        <v>1454</v>
      </c>
      <c r="G1412" t="s">
        <v>302</v>
      </c>
      <c r="H1412" t="s">
        <v>44</v>
      </c>
      <c r="I1412" t="s">
        <v>45</v>
      </c>
      <c r="J1412" t="s">
        <v>44</v>
      </c>
      <c r="K1412" t="s">
        <v>45</v>
      </c>
      <c r="L1412">
        <v>9</v>
      </c>
      <c r="M1412" t="s">
        <v>65</v>
      </c>
      <c r="N1412" t="s">
        <v>46</v>
      </c>
    </row>
    <row r="1413" spans="1:14" x14ac:dyDescent="0.2">
      <c r="A1413" s="3">
        <f t="shared" si="24"/>
        <v>80601</v>
      </c>
      <c r="B1413" t="str">
        <f>"00806010001"</f>
        <v>00806010001</v>
      </c>
      <c r="C1413" t="s">
        <v>1776</v>
      </c>
      <c r="D1413" t="s">
        <v>52</v>
      </c>
      <c r="E1413">
        <v>10</v>
      </c>
      <c r="F1413">
        <v>284</v>
      </c>
      <c r="G1413" t="s">
        <v>1747</v>
      </c>
      <c r="H1413" t="s">
        <v>44</v>
      </c>
      <c r="I1413" t="s">
        <v>45</v>
      </c>
      <c r="J1413" t="s">
        <v>44</v>
      </c>
      <c r="K1413" t="s">
        <v>45</v>
      </c>
      <c r="L1413">
        <v>9</v>
      </c>
      <c r="M1413" t="s">
        <v>65</v>
      </c>
      <c r="N1413" t="s">
        <v>46</v>
      </c>
    </row>
    <row r="1414" spans="1:14" x14ac:dyDescent="0.2">
      <c r="A1414" s="3">
        <f t="shared" si="24"/>
        <v>80616</v>
      </c>
      <c r="B1414" t="str">
        <f>"00806160001"</f>
        <v>00806160001</v>
      </c>
      <c r="C1414" t="s">
        <v>1777</v>
      </c>
      <c r="D1414" t="s">
        <v>52</v>
      </c>
      <c r="E1414">
        <v>10</v>
      </c>
      <c r="F1414">
        <v>7529</v>
      </c>
      <c r="G1414" t="s">
        <v>1778</v>
      </c>
      <c r="H1414" t="s">
        <v>44</v>
      </c>
      <c r="I1414" t="s">
        <v>45</v>
      </c>
      <c r="J1414" t="s">
        <v>44</v>
      </c>
      <c r="K1414" t="s">
        <v>45</v>
      </c>
      <c r="L1414">
        <v>9</v>
      </c>
      <c r="M1414">
        <v>92171</v>
      </c>
      <c r="N1414" t="s">
        <v>46</v>
      </c>
    </row>
    <row r="1415" spans="1:14" x14ac:dyDescent="0.2">
      <c r="A1415" s="3">
        <f t="shared" si="24"/>
        <v>80616</v>
      </c>
      <c r="B1415" t="str">
        <f>"00806160001"</f>
        <v>00806160001</v>
      </c>
      <c r="C1415" t="s">
        <v>1777</v>
      </c>
      <c r="D1415" t="s">
        <v>52</v>
      </c>
      <c r="E1415">
        <v>10</v>
      </c>
      <c r="F1415">
        <v>284</v>
      </c>
      <c r="G1415" t="s">
        <v>1747</v>
      </c>
      <c r="H1415" t="s">
        <v>44</v>
      </c>
      <c r="I1415" t="s">
        <v>45</v>
      </c>
      <c r="J1415" t="s">
        <v>44</v>
      </c>
      <c r="K1415" t="s">
        <v>45</v>
      </c>
      <c r="L1415">
        <v>9</v>
      </c>
      <c r="M1415">
        <v>92171</v>
      </c>
      <c r="N1415" t="s">
        <v>46</v>
      </c>
    </row>
    <row r="1416" spans="1:14" x14ac:dyDescent="0.2">
      <c r="A1416" s="3">
        <f t="shared" si="24"/>
        <v>80616</v>
      </c>
      <c r="B1416" t="str">
        <f>"00806160001"</f>
        <v>00806160001</v>
      </c>
      <c r="C1416" t="s">
        <v>1777</v>
      </c>
      <c r="D1416" t="s">
        <v>52</v>
      </c>
      <c r="E1416">
        <v>10</v>
      </c>
      <c r="F1416">
        <v>1048</v>
      </c>
      <c r="G1416" t="s">
        <v>1779</v>
      </c>
      <c r="H1416" t="s">
        <v>44</v>
      </c>
      <c r="I1416" t="s">
        <v>45</v>
      </c>
      <c r="J1416" t="s">
        <v>44</v>
      </c>
      <c r="K1416" t="s">
        <v>45</v>
      </c>
      <c r="L1416">
        <v>9</v>
      </c>
      <c r="M1416">
        <v>92171</v>
      </c>
      <c r="N1416" t="s">
        <v>46</v>
      </c>
    </row>
    <row r="1417" spans="1:14" x14ac:dyDescent="0.2">
      <c r="A1417" s="3">
        <f t="shared" si="24"/>
        <v>80656</v>
      </c>
      <c r="B1417" t="str">
        <f>"00806560001"</f>
        <v>00806560001</v>
      </c>
      <c r="C1417" t="s">
        <v>1780</v>
      </c>
      <c r="D1417" t="s">
        <v>52</v>
      </c>
      <c r="E1417">
        <v>10</v>
      </c>
      <c r="F1417">
        <v>4502</v>
      </c>
      <c r="G1417" t="s">
        <v>1781</v>
      </c>
      <c r="H1417" t="s">
        <v>44</v>
      </c>
      <c r="I1417" t="s">
        <v>45</v>
      </c>
      <c r="J1417" t="s">
        <v>44</v>
      </c>
      <c r="K1417" t="s">
        <v>45</v>
      </c>
      <c r="L1417">
        <v>9</v>
      </c>
      <c r="M1417">
        <v>92066</v>
      </c>
      <c r="N1417" t="s">
        <v>46</v>
      </c>
    </row>
    <row r="1418" spans="1:14" x14ac:dyDescent="0.2">
      <c r="A1418" s="3">
        <f t="shared" si="24"/>
        <v>80656</v>
      </c>
      <c r="B1418" t="str">
        <f>"00806560001"</f>
        <v>00806560001</v>
      </c>
      <c r="C1418" t="s">
        <v>1780</v>
      </c>
      <c r="D1418" t="s">
        <v>52</v>
      </c>
      <c r="E1418">
        <v>10</v>
      </c>
      <c r="F1418">
        <v>284</v>
      </c>
      <c r="G1418" t="s">
        <v>1747</v>
      </c>
      <c r="H1418" t="s">
        <v>44</v>
      </c>
      <c r="I1418" t="s">
        <v>45</v>
      </c>
      <c r="J1418" t="s">
        <v>44</v>
      </c>
      <c r="K1418" t="s">
        <v>45</v>
      </c>
      <c r="L1418">
        <v>9</v>
      </c>
      <c r="M1418">
        <v>92066</v>
      </c>
      <c r="N1418" t="s">
        <v>46</v>
      </c>
    </row>
    <row r="1419" spans="1:14" x14ac:dyDescent="0.2">
      <c r="A1419" s="3">
        <f t="shared" si="24"/>
        <v>80656</v>
      </c>
      <c r="B1419" t="str">
        <f>"00806560001"</f>
        <v>00806560001</v>
      </c>
      <c r="C1419" t="s">
        <v>1780</v>
      </c>
      <c r="D1419" t="s">
        <v>52</v>
      </c>
      <c r="E1419">
        <v>10</v>
      </c>
      <c r="F1419">
        <v>2142</v>
      </c>
      <c r="G1419" t="s">
        <v>1782</v>
      </c>
      <c r="H1419" t="s">
        <v>44</v>
      </c>
      <c r="I1419" t="s">
        <v>45</v>
      </c>
      <c r="J1419" t="s">
        <v>44</v>
      </c>
      <c r="K1419" t="s">
        <v>45</v>
      </c>
      <c r="L1419">
        <v>9</v>
      </c>
      <c r="M1419">
        <v>92066</v>
      </c>
      <c r="N1419" t="s">
        <v>46</v>
      </c>
    </row>
    <row r="1420" spans="1:14" x14ac:dyDescent="0.2">
      <c r="A1420" s="3">
        <f t="shared" si="24"/>
        <v>80660</v>
      </c>
      <c r="B1420" t="str">
        <f>"00806600001"</f>
        <v>00806600001</v>
      </c>
      <c r="C1420" t="s">
        <v>1783</v>
      </c>
      <c r="D1420" t="s">
        <v>52</v>
      </c>
      <c r="E1420">
        <v>10</v>
      </c>
      <c r="F1420">
        <v>284</v>
      </c>
      <c r="G1420" t="s">
        <v>1747</v>
      </c>
      <c r="H1420" t="s">
        <v>44</v>
      </c>
      <c r="I1420" t="s">
        <v>45</v>
      </c>
      <c r="J1420" t="s">
        <v>44</v>
      </c>
      <c r="K1420" t="s">
        <v>45</v>
      </c>
      <c r="L1420">
        <v>9</v>
      </c>
      <c r="M1420">
        <v>92102</v>
      </c>
      <c r="N1420" t="s">
        <v>46</v>
      </c>
    </row>
    <row r="1421" spans="1:14" x14ac:dyDescent="0.2">
      <c r="A1421" s="3">
        <f t="shared" si="24"/>
        <v>80671</v>
      </c>
      <c r="B1421" t="str">
        <f>"00806710001"</f>
        <v>00806710001</v>
      </c>
      <c r="C1421" t="s">
        <v>1784</v>
      </c>
      <c r="D1421" t="s">
        <v>52</v>
      </c>
      <c r="E1421">
        <v>10</v>
      </c>
      <c r="F1421">
        <v>1205</v>
      </c>
      <c r="G1421" t="s">
        <v>325</v>
      </c>
      <c r="H1421" t="s">
        <v>44</v>
      </c>
      <c r="I1421" t="s">
        <v>45</v>
      </c>
      <c r="J1421" t="s">
        <v>44</v>
      </c>
      <c r="K1421" t="s">
        <v>45</v>
      </c>
      <c r="L1421">
        <v>5</v>
      </c>
      <c r="M1421" t="s">
        <v>65</v>
      </c>
      <c r="N1421" t="s">
        <v>46</v>
      </c>
    </row>
    <row r="1422" spans="1:14" x14ac:dyDescent="0.2">
      <c r="A1422" s="3">
        <f t="shared" si="24"/>
        <v>80676</v>
      </c>
      <c r="B1422" t="str">
        <f>"00806760001"</f>
        <v>00806760001</v>
      </c>
      <c r="C1422" t="s">
        <v>1785</v>
      </c>
      <c r="D1422" t="s">
        <v>52</v>
      </c>
      <c r="E1422">
        <v>10</v>
      </c>
      <c r="F1422">
        <v>2052</v>
      </c>
      <c r="G1422" t="s">
        <v>1786</v>
      </c>
      <c r="H1422" t="s">
        <v>44</v>
      </c>
      <c r="I1422" t="s">
        <v>45</v>
      </c>
      <c r="J1422" t="s">
        <v>44</v>
      </c>
      <c r="K1422" t="s">
        <v>45</v>
      </c>
      <c r="L1422">
        <v>9</v>
      </c>
      <c r="M1422">
        <v>92050</v>
      </c>
      <c r="N1422" t="s">
        <v>46</v>
      </c>
    </row>
    <row r="1423" spans="1:14" x14ac:dyDescent="0.2">
      <c r="A1423" s="3">
        <f t="shared" si="24"/>
        <v>80676</v>
      </c>
      <c r="B1423" t="str">
        <f>"00806760001"</f>
        <v>00806760001</v>
      </c>
      <c r="C1423" t="s">
        <v>1785</v>
      </c>
      <c r="D1423" t="s">
        <v>52</v>
      </c>
      <c r="E1423">
        <v>10</v>
      </c>
      <c r="F1423">
        <v>284</v>
      </c>
      <c r="G1423" t="s">
        <v>1747</v>
      </c>
      <c r="H1423" t="s">
        <v>44</v>
      </c>
      <c r="I1423" t="s">
        <v>45</v>
      </c>
      <c r="J1423" t="s">
        <v>44</v>
      </c>
      <c r="K1423" t="s">
        <v>45</v>
      </c>
      <c r="L1423">
        <v>9</v>
      </c>
      <c r="M1423">
        <v>92050</v>
      </c>
      <c r="N1423" t="s">
        <v>46</v>
      </c>
    </row>
    <row r="1424" spans="1:14" x14ac:dyDescent="0.2">
      <c r="A1424" s="3">
        <f t="shared" si="24"/>
        <v>80676</v>
      </c>
      <c r="B1424" t="str">
        <f>"00806760001"</f>
        <v>00806760001</v>
      </c>
      <c r="C1424" t="s">
        <v>1785</v>
      </c>
      <c r="D1424" t="s">
        <v>52</v>
      </c>
      <c r="E1424">
        <v>10</v>
      </c>
      <c r="F1424">
        <v>1028</v>
      </c>
      <c r="G1424" t="s">
        <v>311</v>
      </c>
      <c r="H1424" t="s">
        <v>44</v>
      </c>
      <c r="I1424" t="s">
        <v>45</v>
      </c>
      <c r="J1424" t="s">
        <v>44</v>
      </c>
      <c r="K1424" t="s">
        <v>45</v>
      </c>
      <c r="L1424">
        <v>9</v>
      </c>
      <c r="M1424">
        <v>92050</v>
      </c>
      <c r="N1424" t="s">
        <v>46</v>
      </c>
    </row>
    <row r="1425" spans="1:14" x14ac:dyDescent="0.2">
      <c r="A1425" s="3">
        <f t="shared" si="24"/>
        <v>80676</v>
      </c>
      <c r="B1425" t="str">
        <f>"00806760001"</f>
        <v>00806760001</v>
      </c>
      <c r="C1425" t="s">
        <v>1785</v>
      </c>
      <c r="D1425" t="s">
        <v>52</v>
      </c>
      <c r="E1425">
        <v>10</v>
      </c>
      <c r="F1425">
        <v>2739</v>
      </c>
      <c r="G1425" t="s">
        <v>1772</v>
      </c>
      <c r="H1425" t="s">
        <v>44</v>
      </c>
      <c r="I1425" t="s">
        <v>45</v>
      </c>
      <c r="J1425" t="s">
        <v>44</v>
      </c>
      <c r="K1425" t="s">
        <v>45</v>
      </c>
      <c r="L1425">
        <v>9</v>
      </c>
      <c r="M1425">
        <v>92050</v>
      </c>
      <c r="N1425" t="s">
        <v>46</v>
      </c>
    </row>
    <row r="1426" spans="1:14" x14ac:dyDescent="0.2">
      <c r="A1426" s="3">
        <f t="shared" si="24"/>
        <v>80682</v>
      </c>
      <c r="B1426" t="str">
        <f>"00806820001"</f>
        <v>00806820001</v>
      </c>
      <c r="C1426" t="s">
        <v>1787</v>
      </c>
      <c r="D1426" t="s">
        <v>52</v>
      </c>
      <c r="E1426">
        <v>10</v>
      </c>
      <c r="F1426">
        <v>284</v>
      </c>
      <c r="G1426" t="s">
        <v>1747</v>
      </c>
      <c r="H1426" t="s">
        <v>44</v>
      </c>
      <c r="I1426" t="s">
        <v>45</v>
      </c>
      <c r="J1426" t="s">
        <v>44</v>
      </c>
      <c r="K1426" t="s">
        <v>45</v>
      </c>
      <c r="L1426">
        <v>9</v>
      </c>
      <c r="M1426">
        <v>92054</v>
      </c>
      <c r="N1426" t="s">
        <v>46</v>
      </c>
    </row>
    <row r="1427" spans="1:14" x14ac:dyDescent="0.2">
      <c r="A1427" s="3">
        <f t="shared" si="24"/>
        <v>80755</v>
      </c>
      <c r="B1427" t="str">
        <f>"00807550001"</f>
        <v>00807550001</v>
      </c>
      <c r="C1427" t="s">
        <v>1788</v>
      </c>
      <c r="D1427" t="s">
        <v>52</v>
      </c>
      <c r="E1427">
        <v>10</v>
      </c>
      <c r="F1427">
        <v>4502</v>
      </c>
      <c r="G1427" t="s">
        <v>1781</v>
      </c>
      <c r="H1427" t="s">
        <v>44</v>
      </c>
      <c r="I1427" t="s">
        <v>45</v>
      </c>
      <c r="J1427" t="s">
        <v>44</v>
      </c>
      <c r="K1427" t="s">
        <v>45</v>
      </c>
      <c r="L1427">
        <v>9</v>
      </c>
      <c r="M1427">
        <v>92048</v>
      </c>
      <c r="N1427" t="s">
        <v>46</v>
      </c>
    </row>
    <row r="1428" spans="1:14" x14ac:dyDescent="0.2">
      <c r="A1428" s="3">
        <f t="shared" si="24"/>
        <v>80755</v>
      </c>
      <c r="B1428" t="str">
        <f>"00807550001"</f>
        <v>00807550001</v>
      </c>
      <c r="C1428" t="s">
        <v>1788</v>
      </c>
      <c r="D1428" t="s">
        <v>52</v>
      </c>
      <c r="E1428">
        <v>10</v>
      </c>
      <c r="F1428">
        <v>284</v>
      </c>
      <c r="G1428" t="s">
        <v>1747</v>
      </c>
      <c r="H1428" t="s">
        <v>44</v>
      </c>
      <c r="I1428" t="s">
        <v>45</v>
      </c>
      <c r="J1428" t="s">
        <v>44</v>
      </c>
      <c r="K1428" t="s">
        <v>45</v>
      </c>
      <c r="L1428">
        <v>9</v>
      </c>
      <c r="M1428">
        <v>92048</v>
      </c>
      <c r="N1428" t="s">
        <v>46</v>
      </c>
    </row>
    <row r="1429" spans="1:14" x14ac:dyDescent="0.2">
      <c r="A1429" s="3">
        <f t="shared" si="24"/>
        <v>80769</v>
      </c>
      <c r="B1429" t="str">
        <f>"00807690001"</f>
        <v>00807690001</v>
      </c>
      <c r="C1429" t="s">
        <v>1789</v>
      </c>
      <c r="D1429" t="s">
        <v>52</v>
      </c>
      <c r="E1429">
        <v>10</v>
      </c>
      <c r="F1429">
        <v>284</v>
      </c>
      <c r="G1429" t="s">
        <v>1747</v>
      </c>
      <c r="H1429" t="s">
        <v>44</v>
      </c>
      <c r="I1429" t="s">
        <v>45</v>
      </c>
      <c r="J1429" t="s">
        <v>44</v>
      </c>
      <c r="K1429" t="s">
        <v>45</v>
      </c>
      <c r="L1429">
        <v>9</v>
      </c>
      <c r="M1429" t="s">
        <v>65</v>
      </c>
      <c r="N1429" t="s">
        <v>46</v>
      </c>
    </row>
    <row r="1430" spans="1:14" x14ac:dyDescent="0.2">
      <c r="A1430" s="3">
        <f t="shared" si="24"/>
        <v>80769</v>
      </c>
      <c r="B1430" t="str">
        <f>"00807690001"</f>
        <v>00807690001</v>
      </c>
      <c r="C1430" t="s">
        <v>1789</v>
      </c>
      <c r="D1430" t="s">
        <v>52</v>
      </c>
      <c r="E1430">
        <v>10</v>
      </c>
      <c r="F1430">
        <v>1028</v>
      </c>
      <c r="G1430" t="s">
        <v>311</v>
      </c>
      <c r="H1430" t="s">
        <v>44</v>
      </c>
      <c r="I1430" t="s">
        <v>45</v>
      </c>
      <c r="J1430" t="s">
        <v>44</v>
      </c>
      <c r="K1430" t="s">
        <v>45</v>
      </c>
      <c r="L1430">
        <v>9</v>
      </c>
      <c r="M1430" t="s">
        <v>65</v>
      </c>
      <c r="N1430" t="s">
        <v>46</v>
      </c>
    </row>
    <row r="1431" spans="1:14" x14ac:dyDescent="0.2">
      <c r="A1431" s="3">
        <f t="shared" si="24"/>
        <v>80925</v>
      </c>
      <c r="B1431" t="str">
        <f>"00809250001"</f>
        <v>00809250001</v>
      </c>
      <c r="C1431" t="s">
        <v>1790</v>
      </c>
      <c r="D1431" t="s">
        <v>52</v>
      </c>
      <c r="E1431">
        <v>10</v>
      </c>
      <c r="F1431">
        <v>2227</v>
      </c>
      <c r="G1431" t="s">
        <v>1791</v>
      </c>
      <c r="H1431" t="s">
        <v>44</v>
      </c>
      <c r="I1431" t="s">
        <v>45</v>
      </c>
      <c r="J1431" t="s">
        <v>44</v>
      </c>
      <c r="K1431" t="s">
        <v>45</v>
      </c>
      <c r="L1431">
        <v>9</v>
      </c>
      <c r="M1431">
        <v>92070</v>
      </c>
      <c r="N1431" t="s">
        <v>46</v>
      </c>
    </row>
    <row r="1432" spans="1:14" x14ac:dyDescent="0.2">
      <c r="A1432" s="3">
        <f t="shared" si="24"/>
        <v>80925</v>
      </c>
      <c r="B1432" t="str">
        <f>"00809250001"</f>
        <v>00809250001</v>
      </c>
      <c r="C1432" t="s">
        <v>1790</v>
      </c>
      <c r="D1432" t="s">
        <v>52</v>
      </c>
      <c r="E1432">
        <v>10</v>
      </c>
      <c r="F1432">
        <v>284</v>
      </c>
      <c r="G1432" t="s">
        <v>1747</v>
      </c>
      <c r="H1432" t="s">
        <v>44</v>
      </c>
      <c r="I1432" t="s">
        <v>45</v>
      </c>
      <c r="J1432" t="s">
        <v>44</v>
      </c>
      <c r="K1432" t="s">
        <v>45</v>
      </c>
      <c r="L1432">
        <v>9</v>
      </c>
      <c r="M1432">
        <v>92070</v>
      </c>
      <c r="N1432" t="s">
        <v>46</v>
      </c>
    </row>
    <row r="1433" spans="1:14" x14ac:dyDescent="0.2">
      <c r="A1433" s="3">
        <f t="shared" si="24"/>
        <v>81510</v>
      </c>
      <c r="B1433" t="str">
        <f>"00815100001"</f>
        <v>00815100001</v>
      </c>
      <c r="C1433" t="s">
        <v>1792</v>
      </c>
      <c r="D1433" t="s">
        <v>52</v>
      </c>
      <c r="E1433">
        <v>10</v>
      </c>
      <c r="F1433">
        <v>1534</v>
      </c>
      <c r="G1433" t="s">
        <v>1793</v>
      </c>
      <c r="H1433" t="s">
        <v>44</v>
      </c>
      <c r="I1433" t="s">
        <v>45</v>
      </c>
      <c r="J1433" t="s">
        <v>44</v>
      </c>
      <c r="K1433" t="s">
        <v>45</v>
      </c>
      <c r="L1433">
        <v>9</v>
      </c>
      <c r="M1433">
        <v>92042</v>
      </c>
      <c r="N1433" t="s">
        <v>46</v>
      </c>
    </row>
    <row r="1434" spans="1:14" x14ac:dyDescent="0.2">
      <c r="A1434" s="3">
        <f t="shared" si="24"/>
        <v>81510</v>
      </c>
      <c r="B1434" t="str">
        <f>"00815100001"</f>
        <v>00815100001</v>
      </c>
      <c r="C1434" t="s">
        <v>1792</v>
      </c>
      <c r="D1434" t="s">
        <v>52</v>
      </c>
      <c r="E1434">
        <v>10</v>
      </c>
      <c r="F1434">
        <v>667</v>
      </c>
      <c r="G1434" t="s">
        <v>1793</v>
      </c>
      <c r="H1434" t="s">
        <v>44</v>
      </c>
      <c r="I1434" t="s">
        <v>45</v>
      </c>
      <c r="J1434" t="s">
        <v>44</v>
      </c>
      <c r="K1434" t="s">
        <v>45</v>
      </c>
      <c r="L1434">
        <v>9</v>
      </c>
      <c r="M1434">
        <v>92042</v>
      </c>
      <c r="N1434" t="s">
        <v>46</v>
      </c>
    </row>
    <row r="1435" spans="1:14" x14ac:dyDescent="0.2">
      <c r="A1435" s="3">
        <f t="shared" si="24"/>
        <v>81510</v>
      </c>
      <c r="B1435" t="str">
        <f>"00815100001"</f>
        <v>00815100001</v>
      </c>
      <c r="C1435" t="s">
        <v>1792</v>
      </c>
      <c r="D1435" t="s">
        <v>52</v>
      </c>
      <c r="E1435">
        <v>10</v>
      </c>
      <c r="F1435">
        <v>1280</v>
      </c>
      <c r="G1435" t="s">
        <v>1794</v>
      </c>
      <c r="H1435" t="s">
        <v>44</v>
      </c>
      <c r="I1435" t="s">
        <v>45</v>
      </c>
      <c r="J1435" t="s">
        <v>44</v>
      </c>
      <c r="K1435" t="s">
        <v>45</v>
      </c>
      <c r="L1435">
        <v>9</v>
      </c>
      <c r="M1435">
        <v>92042</v>
      </c>
      <c r="N1435" t="s">
        <v>46</v>
      </c>
    </row>
    <row r="1436" spans="1:14" x14ac:dyDescent="0.2">
      <c r="A1436" s="3">
        <f t="shared" si="24"/>
        <v>81510</v>
      </c>
      <c r="B1436" t="str">
        <f>"00815100001"</f>
        <v>00815100001</v>
      </c>
      <c r="C1436" t="s">
        <v>1792</v>
      </c>
      <c r="D1436" t="s">
        <v>52</v>
      </c>
      <c r="E1436">
        <v>10</v>
      </c>
      <c r="F1436">
        <v>488</v>
      </c>
      <c r="G1436" t="s">
        <v>1795</v>
      </c>
      <c r="H1436" t="s">
        <v>44</v>
      </c>
      <c r="I1436" t="s">
        <v>45</v>
      </c>
      <c r="J1436" t="s">
        <v>44</v>
      </c>
      <c r="K1436" t="s">
        <v>45</v>
      </c>
      <c r="L1436">
        <v>9</v>
      </c>
      <c r="M1436">
        <v>92042</v>
      </c>
      <c r="N1436" t="s">
        <v>46</v>
      </c>
    </row>
    <row r="1437" spans="1:14" x14ac:dyDescent="0.2">
      <c r="A1437" s="3">
        <f t="shared" si="24"/>
        <v>81523</v>
      </c>
      <c r="B1437" t="str">
        <f>"00815230001"</f>
        <v>00815230001</v>
      </c>
      <c r="C1437" t="s">
        <v>1796</v>
      </c>
      <c r="D1437" t="s">
        <v>52</v>
      </c>
      <c r="E1437">
        <v>10</v>
      </c>
      <c r="F1437">
        <v>284</v>
      </c>
      <c r="G1437" t="s">
        <v>1747</v>
      </c>
      <c r="H1437" t="s">
        <v>44</v>
      </c>
      <c r="I1437" t="s">
        <v>45</v>
      </c>
      <c r="J1437" t="s">
        <v>44</v>
      </c>
      <c r="K1437" t="s">
        <v>45</v>
      </c>
      <c r="L1437">
        <v>9</v>
      </c>
      <c r="M1437" t="s">
        <v>65</v>
      </c>
      <c r="N1437" t="s">
        <v>46</v>
      </c>
    </row>
    <row r="1438" spans="1:14" x14ac:dyDescent="0.2">
      <c r="A1438" s="3">
        <f t="shared" si="24"/>
        <v>81523</v>
      </c>
      <c r="B1438" t="str">
        <f>"00815230001"</f>
        <v>00815230001</v>
      </c>
      <c r="C1438" t="s">
        <v>1796</v>
      </c>
      <c r="D1438" t="s">
        <v>52</v>
      </c>
      <c r="E1438">
        <v>10</v>
      </c>
      <c r="F1438">
        <v>3129</v>
      </c>
      <c r="G1438" t="s">
        <v>1797</v>
      </c>
      <c r="H1438" t="s">
        <v>44</v>
      </c>
      <c r="I1438" t="s">
        <v>45</v>
      </c>
      <c r="J1438" t="s">
        <v>44</v>
      </c>
      <c r="K1438" t="s">
        <v>45</v>
      </c>
      <c r="L1438">
        <v>9</v>
      </c>
      <c r="M1438" t="s">
        <v>65</v>
      </c>
      <c r="N1438" t="s">
        <v>46</v>
      </c>
    </row>
    <row r="1439" spans="1:14" x14ac:dyDescent="0.2">
      <c r="A1439" s="3">
        <f t="shared" si="24"/>
        <v>81532</v>
      </c>
      <c r="B1439" t="str">
        <f>"00815320001"</f>
        <v>00815320001</v>
      </c>
      <c r="C1439" t="s">
        <v>1798</v>
      </c>
      <c r="D1439" t="s">
        <v>52</v>
      </c>
      <c r="E1439">
        <v>10</v>
      </c>
      <c r="F1439">
        <v>284</v>
      </c>
      <c r="G1439" t="s">
        <v>1747</v>
      </c>
      <c r="H1439" t="s">
        <v>44</v>
      </c>
      <c r="I1439" t="s">
        <v>45</v>
      </c>
      <c r="J1439" t="s">
        <v>44</v>
      </c>
      <c r="K1439" t="s">
        <v>45</v>
      </c>
      <c r="L1439">
        <v>9</v>
      </c>
      <c r="M1439">
        <v>92166</v>
      </c>
      <c r="N1439" t="s">
        <v>46</v>
      </c>
    </row>
    <row r="1440" spans="1:14" x14ac:dyDescent="0.2">
      <c r="A1440" s="3">
        <f t="shared" si="24"/>
        <v>81571</v>
      </c>
      <c r="B1440" t="str">
        <f>"00815710001"</f>
        <v>00815710001</v>
      </c>
      <c r="C1440" t="s">
        <v>1799</v>
      </c>
      <c r="D1440" t="s">
        <v>52</v>
      </c>
      <c r="E1440">
        <v>10</v>
      </c>
      <c r="F1440">
        <v>284</v>
      </c>
      <c r="G1440" t="s">
        <v>1747</v>
      </c>
      <c r="H1440" t="s">
        <v>44</v>
      </c>
      <c r="I1440" t="s">
        <v>45</v>
      </c>
      <c r="J1440" t="s">
        <v>44</v>
      </c>
      <c r="K1440" t="s">
        <v>45</v>
      </c>
      <c r="L1440">
        <v>9</v>
      </c>
      <c r="M1440">
        <v>92170</v>
      </c>
      <c r="N1440" t="s">
        <v>46</v>
      </c>
    </row>
    <row r="1441" spans="1:14" x14ac:dyDescent="0.2">
      <c r="A1441" s="3">
        <f t="shared" si="24"/>
        <v>81571</v>
      </c>
      <c r="B1441" t="str">
        <f>"00815710001"</f>
        <v>00815710001</v>
      </c>
      <c r="C1441" t="s">
        <v>1799</v>
      </c>
      <c r="D1441" t="s">
        <v>52</v>
      </c>
      <c r="E1441">
        <v>10</v>
      </c>
      <c r="F1441">
        <v>4210</v>
      </c>
      <c r="G1441" t="s">
        <v>1800</v>
      </c>
      <c r="H1441" t="s">
        <v>44</v>
      </c>
      <c r="I1441" t="s">
        <v>45</v>
      </c>
      <c r="J1441" t="s">
        <v>44</v>
      </c>
      <c r="K1441" t="s">
        <v>45</v>
      </c>
      <c r="L1441">
        <v>9</v>
      </c>
      <c r="M1441">
        <v>92170</v>
      </c>
      <c r="N1441" t="s">
        <v>46</v>
      </c>
    </row>
    <row r="1442" spans="1:14" x14ac:dyDescent="0.2">
      <c r="A1442" s="3">
        <f t="shared" si="24"/>
        <v>82001</v>
      </c>
      <c r="B1442" t="str">
        <f>"00820010001"</f>
        <v>00820010001</v>
      </c>
      <c r="C1442" t="s">
        <v>1801</v>
      </c>
      <c r="D1442" t="s">
        <v>52</v>
      </c>
      <c r="E1442">
        <v>11</v>
      </c>
      <c r="F1442">
        <v>7233</v>
      </c>
      <c r="G1442" t="s">
        <v>1802</v>
      </c>
      <c r="H1442" t="s">
        <v>44</v>
      </c>
      <c r="I1442" t="s">
        <v>45</v>
      </c>
      <c r="J1442" t="s">
        <v>44</v>
      </c>
      <c r="K1442" t="s">
        <v>45</v>
      </c>
      <c r="L1442">
        <v>9</v>
      </c>
      <c r="M1442">
        <v>92186</v>
      </c>
      <c r="N1442" t="s">
        <v>46</v>
      </c>
    </row>
    <row r="1443" spans="1:14" x14ac:dyDescent="0.2">
      <c r="A1443" s="3">
        <f t="shared" si="24"/>
        <v>82001</v>
      </c>
      <c r="B1443" t="str">
        <f>"00820010001"</f>
        <v>00820010001</v>
      </c>
      <c r="C1443" t="s">
        <v>1801</v>
      </c>
      <c r="D1443" t="s">
        <v>52</v>
      </c>
      <c r="E1443">
        <v>11</v>
      </c>
      <c r="F1443">
        <v>6911</v>
      </c>
      <c r="G1443" t="s">
        <v>1803</v>
      </c>
      <c r="H1443" t="s">
        <v>44</v>
      </c>
      <c r="I1443" t="s">
        <v>45</v>
      </c>
      <c r="J1443" t="s">
        <v>44</v>
      </c>
      <c r="K1443" t="s">
        <v>45</v>
      </c>
      <c r="L1443">
        <v>9</v>
      </c>
      <c r="M1443">
        <v>92186</v>
      </c>
      <c r="N1443" t="s">
        <v>46</v>
      </c>
    </row>
    <row r="1444" spans="1:14" x14ac:dyDescent="0.2">
      <c r="A1444" s="3">
        <f t="shared" si="24"/>
        <v>82001</v>
      </c>
      <c r="B1444" t="str">
        <f>"00820010001"</f>
        <v>00820010001</v>
      </c>
      <c r="C1444" t="s">
        <v>1801</v>
      </c>
      <c r="D1444" t="s">
        <v>52</v>
      </c>
      <c r="E1444">
        <v>11</v>
      </c>
      <c r="F1444">
        <v>667</v>
      </c>
      <c r="G1444" t="s">
        <v>1793</v>
      </c>
      <c r="H1444" t="s">
        <v>44</v>
      </c>
      <c r="I1444" t="s">
        <v>45</v>
      </c>
      <c r="J1444" t="s">
        <v>44</v>
      </c>
      <c r="K1444" t="s">
        <v>45</v>
      </c>
      <c r="L1444">
        <v>9</v>
      </c>
      <c r="M1444">
        <v>92186</v>
      </c>
      <c r="N1444" t="s">
        <v>46</v>
      </c>
    </row>
    <row r="1445" spans="1:14" x14ac:dyDescent="0.2">
      <c r="A1445" s="3">
        <f t="shared" si="24"/>
        <v>82012</v>
      </c>
      <c r="B1445" t="str">
        <f>"00820120001"</f>
        <v>00820120001</v>
      </c>
      <c r="C1445" t="s">
        <v>1804</v>
      </c>
      <c r="D1445" t="s">
        <v>52</v>
      </c>
      <c r="E1445">
        <v>11</v>
      </c>
      <c r="F1445">
        <v>284</v>
      </c>
      <c r="G1445" t="s">
        <v>1747</v>
      </c>
      <c r="H1445" t="s">
        <v>44</v>
      </c>
      <c r="I1445" t="s">
        <v>45</v>
      </c>
      <c r="J1445" t="s">
        <v>44</v>
      </c>
      <c r="K1445" t="s">
        <v>45</v>
      </c>
      <c r="L1445">
        <v>9</v>
      </c>
      <c r="M1445">
        <v>92173</v>
      </c>
      <c r="N1445" t="s">
        <v>46</v>
      </c>
    </row>
    <row r="1446" spans="1:14" x14ac:dyDescent="0.2">
      <c r="A1446" s="3">
        <f t="shared" si="24"/>
        <v>82031</v>
      </c>
      <c r="B1446" t="str">
        <f>"00820310001"</f>
        <v>00820310001</v>
      </c>
      <c r="C1446" t="s">
        <v>1805</v>
      </c>
      <c r="D1446" t="s">
        <v>52</v>
      </c>
      <c r="E1446">
        <v>11</v>
      </c>
      <c r="F1446">
        <v>284</v>
      </c>
      <c r="G1446" t="s">
        <v>1747</v>
      </c>
      <c r="H1446" t="s">
        <v>44</v>
      </c>
      <c r="I1446" t="s">
        <v>45</v>
      </c>
      <c r="J1446" t="s">
        <v>44</v>
      </c>
      <c r="K1446" t="s">
        <v>45</v>
      </c>
      <c r="L1446">
        <v>9</v>
      </c>
      <c r="M1446">
        <v>92195</v>
      </c>
      <c r="N1446" t="s">
        <v>46</v>
      </c>
    </row>
    <row r="1447" spans="1:14" x14ac:dyDescent="0.2">
      <c r="A1447" s="3">
        <f t="shared" si="24"/>
        <v>82052</v>
      </c>
      <c r="B1447" t="str">
        <f>"00820520001"</f>
        <v>00820520001</v>
      </c>
      <c r="C1447" t="s">
        <v>1806</v>
      </c>
      <c r="D1447" t="s">
        <v>52</v>
      </c>
      <c r="E1447">
        <v>11</v>
      </c>
      <c r="F1447">
        <v>2328</v>
      </c>
      <c r="G1447" t="s">
        <v>1807</v>
      </c>
      <c r="H1447" t="s">
        <v>44</v>
      </c>
      <c r="I1447" t="s">
        <v>45</v>
      </c>
      <c r="J1447" t="s">
        <v>44</v>
      </c>
      <c r="K1447" t="s">
        <v>45</v>
      </c>
      <c r="L1447">
        <v>9</v>
      </c>
      <c r="M1447">
        <v>92194</v>
      </c>
      <c r="N1447" t="s">
        <v>46</v>
      </c>
    </row>
    <row r="1448" spans="1:14" x14ac:dyDescent="0.2">
      <c r="A1448" s="3">
        <f t="shared" si="24"/>
        <v>82071</v>
      </c>
      <c r="B1448" t="str">
        <f>"00820710001"</f>
        <v>00820710001</v>
      </c>
      <c r="C1448" t="s">
        <v>1808</v>
      </c>
      <c r="D1448" t="s">
        <v>52</v>
      </c>
      <c r="E1448">
        <v>11</v>
      </c>
      <c r="F1448">
        <v>2299</v>
      </c>
      <c r="G1448" t="s">
        <v>1809</v>
      </c>
      <c r="H1448" t="s">
        <v>44</v>
      </c>
      <c r="I1448" t="s">
        <v>45</v>
      </c>
      <c r="J1448" t="s">
        <v>44</v>
      </c>
      <c r="K1448" t="s">
        <v>45</v>
      </c>
      <c r="L1448">
        <v>9</v>
      </c>
      <c r="M1448">
        <v>92187</v>
      </c>
      <c r="N1448" t="s">
        <v>46</v>
      </c>
    </row>
    <row r="1449" spans="1:14" x14ac:dyDescent="0.2">
      <c r="A1449" s="3">
        <f t="shared" si="24"/>
        <v>82071</v>
      </c>
      <c r="B1449" t="str">
        <f>"00820710001"</f>
        <v>00820710001</v>
      </c>
      <c r="C1449" t="s">
        <v>1808</v>
      </c>
      <c r="D1449" t="s">
        <v>52</v>
      </c>
      <c r="E1449">
        <v>11</v>
      </c>
      <c r="F1449">
        <v>6911</v>
      </c>
      <c r="G1449" t="s">
        <v>1803</v>
      </c>
      <c r="H1449" t="s">
        <v>44</v>
      </c>
      <c r="I1449" t="s">
        <v>45</v>
      </c>
      <c r="J1449" t="s">
        <v>44</v>
      </c>
      <c r="K1449" t="s">
        <v>45</v>
      </c>
      <c r="L1449">
        <v>9</v>
      </c>
      <c r="M1449">
        <v>92187</v>
      </c>
      <c r="N1449" t="s">
        <v>46</v>
      </c>
    </row>
    <row r="1450" spans="1:14" x14ac:dyDescent="0.2">
      <c r="A1450" s="3">
        <f t="shared" si="24"/>
        <v>82071</v>
      </c>
      <c r="B1450" t="str">
        <f>"00820710001"</f>
        <v>00820710001</v>
      </c>
      <c r="C1450" t="s">
        <v>1808</v>
      </c>
      <c r="D1450" t="s">
        <v>52</v>
      </c>
      <c r="E1450">
        <v>11</v>
      </c>
      <c r="F1450">
        <v>667</v>
      </c>
      <c r="G1450" t="s">
        <v>1793</v>
      </c>
      <c r="H1450" t="s">
        <v>44</v>
      </c>
      <c r="I1450" t="s">
        <v>45</v>
      </c>
      <c r="J1450" t="s">
        <v>44</v>
      </c>
      <c r="K1450" t="s">
        <v>45</v>
      </c>
      <c r="L1450">
        <v>9</v>
      </c>
      <c r="M1450">
        <v>92187</v>
      </c>
      <c r="N1450" t="s">
        <v>46</v>
      </c>
    </row>
    <row r="1451" spans="1:14" x14ac:dyDescent="0.2">
      <c r="A1451" s="3">
        <f t="shared" si="24"/>
        <v>82135</v>
      </c>
      <c r="B1451" t="str">
        <f>"00821350001"</f>
        <v>00821350001</v>
      </c>
      <c r="C1451" t="s">
        <v>1810</v>
      </c>
      <c r="D1451" t="s">
        <v>52</v>
      </c>
      <c r="E1451">
        <v>11</v>
      </c>
      <c r="F1451">
        <v>1526</v>
      </c>
      <c r="G1451" t="s">
        <v>301</v>
      </c>
      <c r="H1451" t="s">
        <v>44</v>
      </c>
      <c r="I1451" t="s">
        <v>45</v>
      </c>
      <c r="J1451" t="s">
        <v>44</v>
      </c>
      <c r="K1451" t="s">
        <v>45</v>
      </c>
      <c r="L1451">
        <v>9</v>
      </c>
      <c r="M1451">
        <v>92197</v>
      </c>
      <c r="N1451" t="s">
        <v>46</v>
      </c>
    </row>
    <row r="1452" spans="1:14" x14ac:dyDescent="0.2">
      <c r="A1452" s="3">
        <f t="shared" si="24"/>
        <v>82135</v>
      </c>
      <c r="B1452" t="str">
        <f>"00821350001"</f>
        <v>00821350001</v>
      </c>
      <c r="C1452" t="s">
        <v>1810</v>
      </c>
      <c r="D1452" t="s">
        <v>52</v>
      </c>
      <c r="E1452">
        <v>11</v>
      </c>
      <c r="F1452">
        <v>284</v>
      </c>
      <c r="G1452" t="s">
        <v>1747</v>
      </c>
      <c r="H1452" t="s">
        <v>44</v>
      </c>
      <c r="I1452" t="s">
        <v>45</v>
      </c>
      <c r="J1452" t="s">
        <v>44</v>
      </c>
      <c r="K1452" t="s">
        <v>45</v>
      </c>
      <c r="L1452">
        <v>9</v>
      </c>
      <c r="M1452">
        <v>92197</v>
      </c>
      <c r="N1452" t="s">
        <v>46</v>
      </c>
    </row>
    <row r="1453" spans="1:14" x14ac:dyDescent="0.2">
      <c r="A1453" s="3">
        <f t="shared" si="24"/>
        <v>82154</v>
      </c>
      <c r="B1453" t="str">
        <f>"00821540001"</f>
        <v>00821540001</v>
      </c>
      <c r="C1453" t="s">
        <v>1811</v>
      </c>
      <c r="D1453" t="s">
        <v>52</v>
      </c>
      <c r="E1453">
        <v>11</v>
      </c>
      <c r="F1453">
        <v>284</v>
      </c>
      <c r="G1453" t="s">
        <v>1747</v>
      </c>
      <c r="H1453" t="s">
        <v>44</v>
      </c>
      <c r="I1453" t="s">
        <v>45</v>
      </c>
      <c r="J1453" t="s">
        <v>44</v>
      </c>
      <c r="K1453" t="s">
        <v>45</v>
      </c>
      <c r="L1453">
        <v>9</v>
      </c>
      <c r="M1453">
        <v>92188</v>
      </c>
      <c r="N1453" t="s">
        <v>46</v>
      </c>
    </row>
    <row r="1454" spans="1:14" x14ac:dyDescent="0.2">
      <c r="A1454" s="3">
        <f t="shared" si="24"/>
        <v>82157</v>
      </c>
      <c r="B1454" t="str">
        <f>"00821570001"</f>
        <v>00821570001</v>
      </c>
      <c r="C1454" t="s">
        <v>1812</v>
      </c>
      <c r="D1454" t="s">
        <v>52</v>
      </c>
      <c r="E1454">
        <v>11</v>
      </c>
      <c r="F1454">
        <v>2299</v>
      </c>
      <c r="G1454" t="s">
        <v>1809</v>
      </c>
      <c r="H1454" t="s">
        <v>44</v>
      </c>
      <c r="I1454" t="s">
        <v>45</v>
      </c>
      <c r="J1454" t="s">
        <v>44</v>
      </c>
      <c r="K1454" t="s">
        <v>45</v>
      </c>
      <c r="L1454">
        <v>9</v>
      </c>
      <c r="M1454">
        <v>92199</v>
      </c>
      <c r="N1454" t="s">
        <v>46</v>
      </c>
    </row>
    <row r="1455" spans="1:14" x14ac:dyDescent="0.2">
      <c r="A1455" s="3">
        <f t="shared" si="24"/>
        <v>82180</v>
      </c>
      <c r="B1455" t="str">
        <f>"00821800001"</f>
        <v>00821800001</v>
      </c>
      <c r="C1455" t="s">
        <v>1813</v>
      </c>
      <c r="D1455" t="s">
        <v>52</v>
      </c>
      <c r="E1455">
        <v>11</v>
      </c>
      <c r="F1455">
        <v>284</v>
      </c>
      <c r="G1455" t="s">
        <v>1747</v>
      </c>
      <c r="H1455" t="s">
        <v>44</v>
      </c>
      <c r="I1455" t="s">
        <v>45</v>
      </c>
      <c r="J1455" t="s">
        <v>44</v>
      </c>
      <c r="K1455" t="s">
        <v>45</v>
      </c>
      <c r="L1455">
        <v>9</v>
      </c>
      <c r="M1455">
        <v>92101</v>
      </c>
      <c r="N1455" t="s">
        <v>46</v>
      </c>
    </row>
    <row r="1456" spans="1:14" x14ac:dyDescent="0.2">
      <c r="A1456" s="3">
        <f t="shared" si="24"/>
        <v>82180</v>
      </c>
      <c r="B1456" t="str">
        <f>"00821800001"</f>
        <v>00821800001</v>
      </c>
      <c r="C1456" t="s">
        <v>1813</v>
      </c>
      <c r="D1456" t="s">
        <v>52</v>
      </c>
      <c r="E1456">
        <v>11</v>
      </c>
      <c r="F1456">
        <v>1065</v>
      </c>
      <c r="G1456" t="s">
        <v>1814</v>
      </c>
      <c r="H1456" t="s">
        <v>44</v>
      </c>
      <c r="I1456" t="s">
        <v>45</v>
      </c>
      <c r="J1456" t="s">
        <v>44</v>
      </c>
      <c r="K1456" t="s">
        <v>45</v>
      </c>
      <c r="L1456">
        <v>9</v>
      </c>
      <c r="M1456">
        <v>92101</v>
      </c>
      <c r="N1456" t="s">
        <v>46</v>
      </c>
    </row>
    <row r="1457" spans="1:14" x14ac:dyDescent="0.2">
      <c r="A1457" s="3">
        <f t="shared" si="24"/>
        <v>82233</v>
      </c>
      <c r="B1457" t="str">
        <f>"00822330001"</f>
        <v>00822330001</v>
      </c>
      <c r="C1457" t="s">
        <v>1815</v>
      </c>
      <c r="D1457" t="s">
        <v>52</v>
      </c>
      <c r="E1457">
        <v>11</v>
      </c>
      <c r="F1457">
        <v>284</v>
      </c>
      <c r="G1457" t="s">
        <v>1747</v>
      </c>
      <c r="H1457" t="s">
        <v>44</v>
      </c>
      <c r="I1457" t="s">
        <v>45</v>
      </c>
      <c r="J1457" t="s">
        <v>44</v>
      </c>
      <c r="K1457" t="s">
        <v>45</v>
      </c>
      <c r="L1457">
        <v>9</v>
      </c>
      <c r="M1457">
        <v>92182</v>
      </c>
      <c r="N1457" t="s">
        <v>46</v>
      </c>
    </row>
    <row r="1458" spans="1:14" x14ac:dyDescent="0.2">
      <c r="A1458" s="3">
        <f t="shared" si="24"/>
        <v>82233</v>
      </c>
      <c r="B1458" t="str">
        <f>"00822330001"</f>
        <v>00822330001</v>
      </c>
      <c r="C1458" t="s">
        <v>1815</v>
      </c>
      <c r="D1458" t="s">
        <v>52</v>
      </c>
      <c r="E1458">
        <v>11</v>
      </c>
      <c r="F1458">
        <v>1237</v>
      </c>
      <c r="G1458" t="s">
        <v>307</v>
      </c>
      <c r="H1458" t="s">
        <v>44</v>
      </c>
      <c r="I1458" t="s">
        <v>45</v>
      </c>
      <c r="J1458" t="s">
        <v>44</v>
      </c>
      <c r="K1458" t="s">
        <v>45</v>
      </c>
      <c r="L1458">
        <v>9</v>
      </c>
      <c r="M1458">
        <v>92182</v>
      </c>
      <c r="N1458" t="s">
        <v>46</v>
      </c>
    </row>
    <row r="1459" spans="1:14" x14ac:dyDescent="0.2">
      <c r="A1459" s="3">
        <f t="shared" si="24"/>
        <v>82263</v>
      </c>
      <c r="B1459" t="str">
        <f>"00822630001"</f>
        <v>00822630001</v>
      </c>
      <c r="C1459" t="s">
        <v>1816</v>
      </c>
      <c r="D1459" t="s">
        <v>52</v>
      </c>
      <c r="E1459">
        <v>11</v>
      </c>
      <c r="F1459">
        <v>6911</v>
      </c>
      <c r="G1459" t="s">
        <v>1803</v>
      </c>
      <c r="H1459" t="s">
        <v>44</v>
      </c>
      <c r="I1459" t="s">
        <v>45</v>
      </c>
      <c r="J1459" t="s">
        <v>44</v>
      </c>
      <c r="K1459" t="s">
        <v>45</v>
      </c>
      <c r="L1459">
        <v>9</v>
      </c>
      <c r="M1459">
        <v>92119</v>
      </c>
      <c r="N1459" t="s">
        <v>46</v>
      </c>
    </row>
    <row r="1460" spans="1:14" x14ac:dyDescent="0.2">
      <c r="A1460" s="3">
        <f t="shared" si="24"/>
        <v>82263</v>
      </c>
      <c r="B1460" t="str">
        <f>"00822630001"</f>
        <v>00822630001</v>
      </c>
      <c r="C1460" t="s">
        <v>1816</v>
      </c>
      <c r="D1460" t="s">
        <v>52</v>
      </c>
      <c r="E1460">
        <v>11</v>
      </c>
      <c r="F1460">
        <v>284</v>
      </c>
      <c r="G1460" t="s">
        <v>1747</v>
      </c>
      <c r="H1460" t="s">
        <v>44</v>
      </c>
      <c r="I1460" t="s">
        <v>45</v>
      </c>
      <c r="J1460" t="s">
        <v>44</v>
      </c>
      <c r="K1460" t="s">
        <v>45</v>
      </c>
      <c r="L1460">
        <v>9</v>
      </c>
      <c r="M1460">
        <v>92119</v>
      </c>
      <c r="N1460" t="s">
        <v>46</v>
      </c>
    </row>
    <row r="1461" spans="1:14" x14ac:dyDescent="0.2">
      <c r="A1461" s="3">
        <f t="shared" si="24"/>
        <v>82263</v>
      </c>
      <c r="B1461" t="str">
        <f>"00822630001"</f>
        <v>00822630001</v>
      </c>
      <c r="C1461" t="s">
        <v>1816</v>
      </c>
      <c r="D1461" t="s">
        <v>52</v>
      </c>
      <c r="E1461">
        <v>11</v>
      </c>
      <c r="F1461">
        <v>667</v>
      </c>
      <c r="G1461" t="s">
        <v>1793</v>
      </c>
      <c r="H1461" t="s">
        <v>44</v>
      </c>
      <c r="I1461" t="s">
        <v>45</v>
      </c>
      <c r="J1461" t="s">
        <v>44</v>
      </c>
      <c r="K1461" t="s">
        <v>45</v>
      </c>
      <c r="L1461">
        <v>9</v>
      </c>
      <c r="M1461">
        <v>92119</v>
      </c>
      <c r="N1461" t="s">
        <v>46</v>
      </c>
    </row>
    <row r="1462" spans="1:14" x14ac:dyDescent="0.2">
      <c r="A1462" s="3">
        <f t="shared" si="24"/>
        <v>82276</v>
      </c>
      <c r="B1462" t="str">
        <f>"00822760001"</f>
        <v>00822760001</v>
      </c>
      <c r="C1462" t="s">
        <v>1817</v>
      </c>
      <c r="D1462" t="s">
        <v>52</v>
      </c>
      <c r="E1462">
        <v>11</v>
      </c>
      <c r="F1462">
        <v>4674</v>
      </c>
      <c r="G1462" t="s">
        <v>1818</v>
      </c>
      <c r="H1462" t="s">
        <v>44</v>
      </c>
      <c r="I1462" t="s">
        <v>45</v>
      </c>
      <c r="J1462" t="s">
        <v>44</v>
      </c>
      <c r="K1462" t="s">
        <v>45</v>
      </c>
      <c r="L1462">
        <v>9</v>
      </c>
      <c r="M1462" t="s">
        <v>65</v>
      </c>
      <c r="N1462" t="s">
        <v>46</v>
      </c>
    </row>
    <row r="1463" spans="1:14" x14ac:dyDescent="0.2">
      <c r="A1463" s="3">
        <f t="shared" si="24"/>
        <v>82317</v>
      </c>
      <c r="B1463" t="str">
        <f>"00823170001"</f>
        <v>00823170001</v>
      </c>
      <c r="C1463" t="s">
        <v>1819</v>
      </c>
      <c r="D1463" t="s">
        <v>52</v>
      </c>
      <c r="E1463">
        <v>11</v>
      </c>
      <c r="F1463">
        <v>2299</v>
      </c>
      <c r="G1463" t="s">
        <v>1809</v>
      </c>
      <c r="H1463" t="s">
        <v>44</v>
      </c>
      <c r="I1463" t="s">
        <v>45</v>
      </c>
      <c r="J1463" t="s">
        <v>44</v>
      </c>
      <c r="K1463" t="s">
        <v>45</v>
      </c>
      <c r="L1463">
        <v>9</v>
      </c>
      <c r="M1463">
        <v>92192</v>
      </c>
      <c r="N1463" t="s">
        <v>46</v>
      </c>
    </row>
    <row r="1464" spans="1:14" x14ac:dyDescent="0.2">
      <c r="A1464" s="3">
        <f t="shared" si="24"/>
        <v>82345</v>
      </c>
      <c r="B1464" t="str">
        <f>"00823450001"</f>
        <v>00823450001</v>
      </c>
      <c r="C1464" t="s">
        <v>1820</v>
      </c>
      <c r="D1464" t="s">
        <v>52</v>
      </c>
      <c r="E1464">
        <v>11</v>
      </c>
      <c r="F1464">
        <v>284</v>
      </c>
      <c r="G1464" t="s">
        <v>1747</v>
      </c>
      <c r="H1464" t="s">
        <v>44</v>
      </c>
      <c r="I1464" t="s">
        <v>45</v>
      </c>
      <c r="J1464" t="s">
        <v>44</v>
      </c>
      <c r="K1464" t="s">
        <v>45</v>
      </c>
      <c r="L1464">
        <v>9</v>
      </c>
      <c r="M1464">
        <v>92093</v>
      </c>
      <c r="N1464" t="s">
        <v>46</v>
      </c>
    </row>
    <row r="1465" spans="1:14" x14ac:dyDescent="0.2">
      <c r="A1465" s="3">
        <f t="shared" si="24"/>
        <v>82385</v>
      </c>
      <c r="B1465" t="str">
        <f>"00823850001"</f>
        <v>00823850001</v>
      </c>
      <c r="C1465" t="s">
        <v>1821</v>
      </c>
      <c r="D1465" t="s">
        <v>52</v>
      </c>
      <c r="E1465">
        <v>11</v>
      </c>
      <c r="F1465">
        <v>1536</v>
      </c>
      <c r="G1465" t="s">
        <v>1822</v>
      </c>
      <c r="H1465" t="s">
        <v>44</v>
      </c>
      <c r="I1465" t="s">
        <v>45</v>
      </c>
      <c r="J1465" t="s">
        <v>44</v>
      </c>
      <c r="K1465" t="s">
        <v>45</v>
      </c>
      <c r="L1465">
        <v>9</v>
      </c>
      <c r="M1465">
        <v>92087</v>
      </c>
      <c r="N1465" t="s">
        <v>46</v>
      </c>
    </row>
    <row r="1466" spans="1:14" x14ac:dyDescent="0.2">
      <c r="A1466" s="3">
        <f t="shared" si="24"/>
        <v>82385</v>
      </c>
      <c r="B1466" t="str">
        <f>"00823850001"</f>
        <v>00823850001</v>
      </c>
      <c r="C1466" t="s">
        <v>1821</v>
      </c>
      <c r="D1466" t="s">
        <v>52</v>
      </c>
      <c r="E1466">
        <v>11</v>
      </c>
      <c r="F1466">
        <v>4502</v>
      </c>
      <c r="G1466" t="s">
        <v>1781</v>
      </c>
      <c r="H1466" t="s">
        <v>44</v>
      </c>
      <c r="I1466" t="s">
        <v>45</v>
      </c>
      <c r="J1466" t="s">
        <v>44</v>
      </c>
      <c r="K1466" t="s">
        <v>45</v>
      </c>
      <c r="L1466">
        <v>9</v>
      </c>
      <c r="M1466">
        <v>92087</v>
      </c>
      <c r="N1466" t="s">
        <v>46</v>
      </c>
    </row>
    <row r="1467" spans="1:14" x14ac:dyDescent="0.2">
      <c r="A1467" s="3">
        <f t="shared" si="24"/>
        <v>82385</v>
      </c>
      <c r="B1467" t="str">
        <f>"00823850001"</f>
        <v>00823850001</v>
      </c>
      <c r="C1467" t="s">
        <v>1821</v>
      </c>
      <c r="D1467" t="s">
        <v>52</v>
      </c>
      <c r="E1467">
        <v>11</v>
      </c>
      <c r="F1467">
        <v>284</v>
      </c>
      <c r="G1467" t="s">
        <v>1747</v>
      </c>
      <c r="H1467" t="s">
        <v>44</v>
      </c>
      <c r="I1467" t="s">
        <v>45</v>
      </c>
      <c r="J1467" t="s">
        <v>44</v>
      </c>
      <c r="K1467" t="s">
        <v>45</v>
      </c>
      <c r="L1467">
        <v>9</v>
      </c>
      <c r="M1467">
        <v>92087</v>
      </c>
      <c r="N1467" t="s">
        <v>46</v>
      </c>
    </row>
    <row r="1468" spans="1:14" x14ac:dyDescent="0.2">
      <c r="A1468" s="3">
        <f t="shared" si="24"/>
        <v>82388</v>
      </c>
      <c r="B1468" t="str">
        <f>"00823880001"</f>
        <v>00823880001</v>
      </c>
      <c r="C1468" t="s">
        <v>1823</v>
      </c>
      <c r="D1468" t="s">
        <v>52</v>
      </c>
      <c r="E1468">
        <v>11</v>
      </c>
      <c r="F1468">
        <v>1454</v>
      </c>
      <c r="G1468" t="s">
        <v>302</v>
      </c>
      <c r="H1468" t="s">
        <v>44</v>
      </c>
      <c r="I1468" t="s">
        <v>45</v>
      </c>
      <c r="J1468" t="s">
        <v>44</v>
      </c>
      <c r="K1468" t="s">
        <v>45</v>
      </c>
      <c r="L1468">
        <v>9</v>
      </c>
      <c r="M1468">
        <v>92078</v>
      </c>
      <c r="N1468" t="s">
        <v>46</v>
      </c>
    </row>
    <row r="1469" spans="1:14" x14ac:dyDescent="0.2">
      <c r="A1469" s="3">
        <f t="shared" si="24"/>
        <v>82388</v>
      </c>
      <c r="B1469" t="str">
        <f>"00823880001"</f>
        <v>00823880001</v>
      </c>
      <c r="C1469" t="s">
        <v>1823</v>
      </c>
      <c r="D1469" t="s">
        <v>52</v>
      </c>
      <c r="E1469">
        <v>11</v>
      </c>
      <c r="F1469">
        <v>284</v>
      </c>
      <c r="G1469" t="s">
        <v>1747</v>
      </c>
      <c r="H1469" t="s">
        <v>44</v>
      </c>
      <c r="I1469" t="s">
        <v>45</v>
      </c>
      <c r="J1469" t="s">
        <v>44</v>
      </c>
      <c r="K1469" t="s">
        <v>45</v>
      </c>
      <c r="L1469">
        <v>9</v>
      </c>
      <c r="M1469">
        <v>92078</v>
      </c>
      <c r="N1469" t="s">
        <v>46</v>
      </c>
    </row>
    <row r="1470" spans="1:14" x14ac:dyDescent="0.2">
      <c r="A1470" s="3">
        <f t="shared" si="24"/>
        <v>82388</v>
      </c>
      <c r="B1470" t="str">
        <f>"00823880001"</f>
        <v>00823880001</v>
      </c>
      <c r="C1470" t="s">
        <v>1823</v>
      </c>
      <c r="D1470" t="s">
        <v>52</v>
      </c>
      <c r="E1470">
        <v>11</v>
      </c>
      <c r="F1470">
        <v>1237</v>
      </c>
      <c r="G1470" t="s">
        <v>307</v>
      </c>
      <c r="H1470" t="s">
        <v>44</v>
      </c>
      <c r="I1470" t="s">
        <v>45</v>
      </c>
      <c r="J1470" t="s">
        <v>44</v>
      </c>
      <c r="K1470" t="s">
        <v>45</v>
      </c>
      <c r="L1470">
        <v>9</v>
      </c>
      <c r="M1470">
        <v>92078</v>
      </c>
      <c r="N1470" t="s">
        <v>46</v>
      </c>
    </row>
    <row r="1471" spans="1:14" x14ac:dyDescent="0.2">
      <c r="A1471" s="3">
        <f t="shared" si="24"/>
        <v>82391</v>
      </c>
      <c r="B1471" t="str">
        <f>"00823910001"</f>
        <v>00823910001</v>
      </c>
      <c r="C1471" t="s">
        <v>1824</v>
      </c>
      <c r="D1471" t="s">
        <v>52</v>
      </c>
      <c r="E1471">
        <v>11</v>
      </c>
      <c r="F1471">
        <v>284</v>
      </c>
      <c r="G1471" t="s">
        <v>1747</v>
      </c>
      <c r="H1471" t="s">
        <v>44</v>
      </c>
      <c r="I1471" t="s">
        <v>45</v>
      </c>
      <c r="J1471" t="s">
        <v>44</v>
      </c>
      <c r="K1471" t="s">
        <v>45</v>
      </c>
      <c r="L1471">
        <v>9</v>
      </c>
      <c r="M1471">
        <v>92900</v>
      </c>
      <c r="N1471" t="s">
        <v>46</v>
      </c>
    </row>
    <row r="1472" spans="1:14" x14ac:dyDescent="0.2">
      <c r="A1472" s="3">
        <f t="shared" si="24"/>
        <v>82400</v>
      </c>
      <c r="B1472" t="str">
        <f>"00824000001"</f>
        <v>00824000001</v>
      </c>
      <c r="C1472" t="s">
        <v>1825</v>
      </c>
      <c r="D1472" t="s">
        <v>52</v>
      </c>
      <c r="E1472">
        <v>11</v>
      </c>
      <c r="F1472">
        <v>284</v>
      </c>
      <c r="G1472" t="s">
        <v>1747</v>
      </c>
      <c r="H1472" t="s">
        <v>44</v>
      </c>
      <c r="I1472" t="s">
        <v>45</v>
      </c>
      <c r="J1472" t="s">
        <v>44</v>
      </c>
      <c r="K1472" t="s">
        <v>45</v>
      </c>
      <c r="L1472">
        <v>9</v>
      </c>
      <c r="M1472">
        <v>92091</v>
      </c>
      <c r="N1472" t="s">
        <v>46</v>
      </c>
    </row>
    <row r="1473" spans="1:14" x14ac:dyDescent="0.2">
      <c r="A1473" s="3">
        <f t="shared" si="24"/>
        <v>82448</v>
      </c>
      <c r="B1473" t="str">
        <f>"00824480001"</f>
        <v>00824480001</v>
      </c>
      <c r="C1473" t="s">
        <v>1826</v>
      </c>
      <c r="D1473" t="s">
        <v>52</v>
      </c>
      <c r="E1473">
        <v>11</v>
      </c>
      <c r="F1473">
        <v>285</v>
      </c>
      <c r="G1473" t="s">
        <v>1827</v>
      </c>
      <c r="H1473" t="s">
        <v>44</v>
      </c>
      <c r="I1473" t="s">
        <v>45</v>
      </c>
      <c r="J1473" t="s">
        <v>44</v>
      </c>
      <c r="K1473" t="s">
        <v>45</v>
      </c>
      <c r="L1473">
        <v>9</v>
      </c>
      <c r="M1473">
        <v>92100</v>
      </c>
      <c r="N1473" t="s">
        <v>46</v>
      </c>
    </row>
    <row r="1474" spans="1:14" x14ac:dyDescent="0.2">
      <c r="A1474" s="3">
        <f t="shared" si="24"/>
        <v>82448</v>
      </c>
      <c r="B1474" t="str">
        <f>"00824480001"</f>
        <v>00824480001</v>
      </c>
      <c r="C1474" t="s">
        <v>1826</v>
      </c>
      <c r="D1474" t="s">
        <v>52</v>
      </c>
      <c r="E1474">
        <v>11</v>
      </c>
      <c r="F1474">
        <v>1521</v>
      </c>
      <c r="G1474" t="s">
        <v>1767</v>
      </c>
      <c r="H1474" t="s">
        <v>44</v>
      </c>
      <c r="I1474" t="s">
        <v>45</v>
      </c>
      <c r="J1474" t="s">
        <v>44</v>
      </c>
      <c r="K1474" t="s">
        <v>45</v>
      </c>
      <c r="L1474">
        <v>9</v>
      </c>
      <c r="M1474">
        <v>92100</v>
      </c>
      <c r="N1474" t="s">
        <v>46</v>
      </c>
    </row>
    <row r="1475" spans="1:14" x14ac:dyDescent="0.2">
      <c r="A1475" s="3">
        <f t="shared" si="24"/>
        <v>82448</v>
      </c>
      <c r="B1475" t="str">
        <f>"00824480001"</f>
        <v>00824480001</v>
      </c>
      <c r="C1475" t="s">
        <v>1826</v>
      </c>
      <c r="D1475" t="s">
        <v>52</v>
      </c>
      <c r="E1475">
        <v>11</v>
      </c>
      <c r="F1475">
        <v>284</v>
      </c>
      <c r="G1475" t="s">
        <v>1747</v>
      </c>
      <c r="H1475" t="s">
        <v>44</v>
      </c>
      <c r="I1475" t="s">
        <v>45</v>
      </c>
      <c r="J1475" t="s">
        <v>44</v>
      </c>
      <c r="K1475" t="s">
        <v>45</v>
      </c>
      <c r="L1475">
        <v>9</v>
      </c>
      <c r="M1475">
        <v>92100</v>
      </c>
      <c r="N1475" t="s">
        <v>46</v>
      </c>
    </row>
    <row r="1476" spans="1:14" x14ac:dyDescent="0.2">
      <c r="A1476" s="3">
        <f t="shared" ref="A1476:A1539" si="25">(B1476-RIGHT(B1476,4))/10000</f>
        <v>82466</v>
      </c>
      <c r="B1476" t="str">
        <f>"00824660001"</f>
        <v>00824660001</v>
      </c>
      <c r="C1476" t="s">
        <v>1828</v>
      </c>
      <c r="D1476" t="s">
        <v>52</v>
      </c>
      <c r="E1476">
        <v>11</v>
      </c>
      <c r="F1476">
        <v>1526</v>
      </c>
      <c r="G1476" t="s">
        <v>301</v>
      </c>
      <c r="H1476" t="s">
        <v>44</v>
      </c>
      <c r="I1476" t="s">
        <v>45</v>
      </c>
      <c r="J1476" t="s">
        <v>44</v>
      </c>
      <c r="K1476" t="s">
        <v>45</v>
      </c>
      <c r="L1476">
        <v>9</v>
      </c>
      <c r="M1476">
        <v>92020</v>
      </c>
      <c r="N1476" t="s">
        <v>46</v>
      </c>
    </row>
    <row r="1477" spans="1:14" x14ac:dyDescent="0.2">
      <c r="A1477" s="3">
        <f t="shared" si="25"/>
        <v>82466</v>
      </c>
      <c r="B1477" t="str">
        <f>"00824660001"</f>
        <v>00824660001</v>
      </c>
      <c r="C1477" t="s">
        <v>1828</v>
      </c>
      <c r="D1477" t="s">
        <v>52</v>
      </c>
      <c r="E1477">
        <v>11</v>
      </c>
      <c r="F1477">
        <v>284</v>
      </c>
      <c r="G1477" t="s">
        <v>1747</v>
      </c>
      <c r="H1477" t="s">
        <v>44</v>
      </c>
      <c r="I1477" t="s">
        <v>45</v>
      </c>
      <c r="J1477" t="s">
        <v>44</v>
      </c>
      <c r="K1477" t="s">
        <v>45</v>
      </c>
      <c r="L1477">
        <v>9</v>
      </c>
      <c r="M1477">
        <v>92020</v>
      </c>
      <c r="N1477" t="s">
        <v>46</v>
      </c>
    </row>
    <row r="1478" spans="1:14" x14ac:dyDescent="0.2">
      <c r="A1478" s="3">
        <f t="shared" si="25"/>
        <v>82586</v>
      </c>
      <c r="B1478" t="str">
        <f>"00825860001"</f>
        <v>00825860001</v>
      </c>
      <c r="C1478" t="s">
        <v>1829</v>
      </c>
      <c r="D1478" t="s">
        <v>52</v>
      </c>
      <c r="E1478">
        <v>11</v>
      </c>
      <c r="F1478">
        <v>284</v>
      </c>
      <c r="G1478" t="s">
        <v>1747</v>
      </c>
      <c r="H1478" t="s">
        <v>44</v>
      </c>
      <c r="I1478" t="s">
        <v>45</v>
      </c>
      <c r="J1478" t="s">
        <v>44</v>
      </c>
      <c r="K1478" t="s">
        <v>45</v>
      </c>
      <c r="L1478">
        <v>9</v>
      </c>
      <c r="M1478">
        <v>92099</v>
      </c>
      <c r="N1478" t="s">
        <v>46</v>
      </c>
    </row>
    <row r="1479" spans="1:14" x14ac:dyDescent="0.2">
      <c r="A1479" s="3">
        <f t="shared" si="25"/>
        <v>82615</v>
      </c>
      <c r="B1479" t="str">
        <f>"00826150001"</f>
        <v>00826150001</v>
      </c>
      <c r="C1479" t="s">
        <v>1830</v>
      </c>
      <c r="D1479" t="s">
        <v>52</v>
      </c>
      <c r="E1479">
        <v>11</v>
      </c>
      <c r="F1479">
        <v>284</v>
      </c>
      <c r="G1479" t="s">
        <v>1747</v>
      </c>
      <c r="H1479" t="s">
        <v>44</v>
      </c>
      <c r="I1479" t="s">
        <v>45</v>
      </c>
      <c r="J1479" t="s">
        <v>44</v>
      </c>
      <c r="K1479" t="s">
        <v>45</v>
      </c>
      <c r="L1479">
        <v>9</v>
      </c>
      <c r="M1479">
        <v>92094</v>
      </c>
      <c r="N1479" t="s">
        <v>46</v>
      </c>
    </row>
    <row r="1480" spans="1:14" x14ac:dyDescent="0.2">
      <c r="A1480" s="3">
        <f t="shared" si="25"/>
        <v>82690</v>
      </c>
      <c r="B1480" t="str">
        <f>"00826900001"</f>
        <v>00826900001</v>
      </c>
      <c r="C1480" t="s">
        <v>1831</v>
      </c>
      <c r="D1480" t="s">
        <v>52</v>
      </c>
      <c r="E1480">
        <v>11</v>
      </c>
      <c r="F1480">
        <v>284</v>
      </c>
      <c r="G1480" t="s">
        <v>1747</v>
      </c>
      <c r="H1480" t="s">
        <v>44</v>
      </c>
      <c r="I1480" t="s">
        <v>45</v>
      </c>
      <c r="J1480" t="s">
        <v>44</v>
      </c>
      <c r="K1480" t="s">
        <v>45</v>
      </c>
      <c r="L1480">
        <v>9</v>
      </c>
      <c r="M1480">
        <v>92183</v>
      </c>
      <c r="N1480" t="s">
        <v>46</v>
      </c>
    </row>
    <row r="1481" spans="1:14" x14ac:dyDescent="0.2">
      <c r="A1481" s="3">
        <f t="shared" si="25"/>
        <v>82712</v>
      </c>
      <c r="B1481" t="str">
        <f>"00827120001"</f>
        <v>00827120001</v>
      </c>
      <c r="C1481" t="s">
        <v>1832</v>
      </c>
      <c r="D1481" t="s">
        <v>52</v>
      </c>
      <c r="E1481">
        <v>11</v>
      </c>
      <c r="F1481">
        <v>773</v>
      </c>
      <c r="G1481" t="s">
        <v>1833</v>
      </c>
      <c r="H1481" t="s">
        <v>44</v>
      </c>
      <c r="I1481" t="s">
        <v>45</v>
      </c>
      <c r="J1481" t="s">
        <v>44</v>
      </c>
      <c r="K1481" t="s">
        <v>45</v>
      </c>
      <c r="L1481">
        <v>9</v>
      </c>
      <c r="M1481">
        <v>92081</v>
      </c>
      <c r="N1481" t="s">
        <v>46</v>
      </c>
    </row>
    <row r="1482" spans="1:14" x14ac:dyDescent="0.2">
      <c r="A1482" s="3">
        <f t="shared" si="25"/>
        <v>82721</v>
      </c>
      <c r="B1482" t="str">
        <f>"00827210001"</f>
        <v>00827210001</v>
      </c>
      <c r="C1482" t="s">
        <v>1834</v>
      </c>
      <c r="D1482" t="s">
        <v>52</v>
      </c>
      <c r="E1482">
        <v>11</v>
      </c>
      <c r="F1482">
        <v>7233</v>
      </c>
      <c r="G1482" t="s">
        <v>1802</v>
      </c>
      <c r="H1482" t="s">
        <v>44</v>
      </c>
      <c r="I1482" t="s">
        <v>45</v>
      </c>
      <c r="J1482" t="s">
        <v>44</v>
      </c>
      <c r="K1482" t="s">
        <v>45</v>
      </c>
      <c r="L1482">
        <v>9</v>
      </c>
      <c r="M1482">
        <v>92133</v>
      </c>
      <c r="N1482" t="s">
        <v>46</v>
      </c>
    </row>
    <row r="1483" spans="1:14" x14ac:dyDescent="0.2">
      <c r="A1483" s="3">
        <f t="shared" si="25"/>
        <v>82721</v>
      </c>
      <c r="B1483" t="str">
        <f>"00827210001"</f>
        <v>00827210001</v>
      </c>
      <c r="C1483" t="s">
        <v>1834</v>
      </c>
      <c r="D1483" t="s">
        <v>52</v>
      </c>
      <c r="E1483">
        <v>11</v>
      </c>
      <c r="F1483">
        <v>284</v>
      </c>
      <c r="G1483" t="s">
        <v>1747</v>
      </c>
      <c r="H1483" t="s">
        <v>44</v>
      </c>
      <c r="I1483" t="s">
        <v>45</v>
      </c>
      <c r="J1483" t="s">
        <v>44</v>
      </c>
      <c r="K1483" t="s">
        <v>45</v>
      </c>
      <c r="L1483">
        <v>9</v>
      </c>
      <c r="M1483">
        <v>92133</v>
      </c>
      <c r="N1483" t="s">
        <v>46</v>
      </c>
    </row>
    <row r="1484" spans="1:14" x14ac:dyDescent="0.2">
      <c r="A1484" s="3">
        <f t="shared" si="25"/>
        <v>82726</v>
      </c>
      <c r="B1484" t="str">
        <f>"00827260001"</f>
        <v>00827260001</v>
      </c>
      <c r="C1484" t="s">
        <v>1835</v>
      </c>
      <c r="D1484" t="s">
        <v>52</v>
      </c>
      <c r="E1484">
        <v>11</v>
      </c>
      <c r="F1484">
        <v>284</v>
      </c>
      <c r="G1484" t="s">
        <v>1747</v>
      </c>
      <c r="H1484" t="s">
        <v>44</v>
      </c>
      <c r="I1484" t="s">
        <v>45</v>
      </c>
      <c r="J1484" t="s">
        <v>44</v>
      </c>
      <c r="K1484" t="s">
        <v>45</v>
      </c>
      <c r="L1484">
        <v>9</v>
      </c>
      <c r="M1484">
        <v>92904</v>
      </c>
      <c r="N1484" t="s">
        <v>46</v>
      </c>
    </row>
    <row r="1485" spans="1:14" x14ac:dyDescent="0.2">
      <c r="A1485" s="3">
        <f t="shared" si="25"/>
        <v>82731</v>
      </c>
      <c r="B1485" t="str">
        <f>"00827310001"</f>
        <v>00827310001</v>
      </c>
      <c r="C1485" t="s">
        <v>1836</v>
      </c>
      <c r="D1485" t="s">
        <v>52</v>
      </c>
      <c r="E1485">
        <v>11</v>
      </c>
      <c r="F1485">
        <v>3305</v>
      </c>
      <c r="G1485" t="s">
        <v>1768</v>
      </c>
      <c r="H1485" t="s">
        <v>44</v>
      </c>
      <c r="I1485" t="s">
        <v>45</v>
      </c>
      <c r="J1485" t="s">
        <v>44</v>
      </c>
      <c r="K1485" t="s">
        <v>45</v>
      </c>
      <c r="L1485">
        <v>9</v>
      </c>
      <c r="M1485">
        <v>92140</v>
      </c>
      <c r="N1485" t="s">
        <v>46</v>
      </c>
    </row>
    <row r="1486" spans="1:14" x14ac:dyDescent="0.2">
      <c r="A1486" s="3">
        <f t="shared" si="25"/>
        <v>82731</v>
      </c>
      <c r="B1486" t="str">
        <f>"00827310001"</f>
        <v>00827310001</v>
      </c>
      <c r="C1486" t="s">
        <v>1836</v>
      </c>
      <c r="D1486" t="s">
        <v>52</v>
      </c>
      <c r="E1486">
        <v>11</v>
      </c>
      <c r="F1486">
        <v>5938</v>
      </c>
      <c r="G1486" t="s">
        <v>1837</v>
      </c>
      <c r="H1486" t="s">
        <v>44</v>
      </c>
      <c r="I1486" t="s">
        <v>45</v>
      </c>
      <c r="J1486" t="s">
        <v>44</v>
      </c>
      <c r="K1486" t="s">
        <v>45</v>
      </c>
      <c r="L1486">
        <v>9</v>
      </c>
      <c r="M1486">
        <v>92140</v>
      </c>
      <c r="N1486" t="s">
        <v>46</v>
      </c>
    </row>
    <row r="1487" spans="1:14" x14ac:dyDescent="0.2">
      <c r="A1487" s="3">
        <f t="shared" si="25"/>
        <v>82746</v>
      </c>
      <c r="B1487" t="str">
        <f>"00827460001"</f>
        <v>00827460001</v>
      </c>
      <c r="C1487" t="s">
        <v>1838</v>
      </c>
      <c r="D1487" t="s">
        <v>52</v>
      </c>
      <c r="E1487">
        <v>11</v>
      </c>
      <c r="F1487">
        <v>4674</v>
      </c>
      <c r="G1487" t="s">
        <v>1818</v>
      </c>
      <c r="H1487" t="s">
        <v>44</v>
      </c>
      <c r="I1487" t="s">
        <v>45</v>
      </c>
      <c r="J1487" t="s">
        <v>44</v>
      </c>
      <c r="K1487" t="s">
        <v>45</v>
      </c>
      <c r="L1487">
        <v>9</v>
      </c>
      <c r="M1487">
        <v>92330</v>
      </c>
      <c r="N1487" t="s">
        <v>46</v>
      </c>
    </row>
    <row r="1488" spans="1:14" x14ac:dyDescent="0.2">
      <c r="A1488" s="3">
        <f t="shared" si="25"/>
        <v>82746</v>
      </c>
      <c r="B1488" t="str">
        <f>"00827460001"</f>
        <v>00827460001</v>
      </c>
      <c r="C1488" t="s">
        <v>1838</v>
      </c>
      <c r="D1488" t="s">
        <v>52</v>
      </c>
      <c r="E1488">
        <v>11</v>
      </c>
      <c r="F1488">
        <v>1013</v>
      </c>
      <c r="G1488" t="s">
        <v>1839</v>
      </c>
      <c r="H1488" t="s">
        <v>44</v>
      </c>
      <c r="I1488" t="s">
        <v>45</v>
      </c>
      <c r="J1488" t="s">
        <v>44</v>
      </c>
      <c r="K1488" t="s">
        <v>45</v>
      </c>
      <c r="L1488">
        <v>9</v>
      </c>
      <c r="M1488">
        <v>92330</v>
      </c>
      <c r="N1488" t="s">
        <v>46</v>
      </c>
    </row>
    <row r="1489" spans="1:14" x14ac:dyDescent="0.2">
      <c r="A1489" s="3">
        <f t="shared" si="25"/>
        <v>82760</v>
      </c>
      <c r="B1489" t="str">
        <f>"00827600001"</f>
        <v>00827600001</v>
      </c>
      <c r="C1489" t="s">
        <v>1840</v>
      </c>
      <c r="D1489" t="s">
        <v>52</v>
      </c>
      <c r="E1489">
        <v>11</v>
      </c>
      <c r="F1489">
        <v>4674</v>
      </c>
      <c r="G1489" t="s">
        <v>1818</v>
      </c>
      <c r="H1489" t="s">
        <v>44</v>
      </c>
      <c r="I1489" t="s">
        <v>45</v>
      </c>
      <c r="J1489" t="s">
        <v>44</v>
      </c>
      <c r="K1489" t="s">
        <v>45</v>
      </c>
      <c r="L1489">
        <v>9</v>
      </c>
      <c r="M1489">
        <v>92125</v>
      </c>
      <c r="N1489" t="s">
        <v>46</v>
      </c>
    </row>
    <row r="1490" spans="1:14" x14ac:dyDescent="0.2">
      <c r="A1490" s="3">
        <f t="shared" si="25"/>
        <v>82760</v>
      </c>
      <c r="B1490" t="str">
        <f>"00827600001"</f>
        <v>00827600001</v>
      </c>
      <c r="C1490" t="s">
        <v>1840</v>
      </c>
      <c r="D1490" t="s">
        <v>52</v>
      </c>
      <c r="E1490">
        <v>11</v>
      </c>
      <c r="F1490">
        <v>284</v>
      </c>
      <c r="G1490" t="s">
        <v>1747</v>
      </c>
      <c r="H1490" t="s">
        <v>44</v>
      </c>
      <c r="I1490" t="s">
        <v>45</v>
      </c>
      <c r="J1490" t="s">
        <v>44</v>
      </c>
      <c r="K1490" t="s">
        <v>45</v>
      </c>
      <c r="L1490">
        <v>9</v>
      </c>
      <c r="M1490">
        <v>92125</v>
      </c>
      <c r="N1490" t="s">
        <v>46</v>
      </c>
    </row>
    <row r="1491" spans="1:14" x14ac:dyDescent="0.2">
      <c r="A1491" s="3">
        <f t="shared" si="25"/>
        <v>82763</v>
      </c>
      <c r="B1491" t="str">
        <f>"00827630001"</f>
        <v>00827630001</v>
      </c>
      <c r="C1491" t="s">
        <v>1841</v>
      </c>
      <c r="D1491" t="s">
        <v>52</v>
      </c>
      <c r="E1491">
        <v>11</v>
      </c>
      <c r="F1491">
        <v>284</v>
      </c>
      <c r="G1491" t="s">
        <v>1747</v>
      </c>
      <c r="H1491" t="s">
        <v>44</v>
      </c>
      <c r="I1491" t="s">
        <v>45</v>
      </c>
      <c r="J1491" t="s">
        <v>44</v>
      </c>
      <c r="K1491" t="s">
        <v>45</v>
      </c>
      <c r="L1491">
        <v>9</v>
      </c>
      <c r="M1491">
        <v>92113</v>
      </c>
      <c r="N1491" t="s">
        <v>46</v>
      </c>
    </row>
    <row r="1492" spans="1:14" x14ac:dyDescent="0.2">
      <c r="A1492" s="3">
        <f t="shared" si="25"/>
        <v>82792</v>
      </c>
      <c r="B1492" t="str">
        <f>"00827920001"</f>
        <v>00827920001</v>
      </c>
      <c r="C1492" t="s">
        <v>1842</v>
      </c>
      <c r="D1492" t="s">
        <v>52</v>
      </c>
      <c r="E1492">
        <v>11</v>
      </c>
      <c r="F1492">
        <v>284</v>
      </c>
      <c r="G1492" t="s">
        <v>1747</v>
      </c>
      <c r="H1492" t="s">
        <v>44</v>
      </c>
      <c r="I1492" t="s">
        <v>45</v>
      </c>
      <c r="J1492" t="s">
        <v>44</v>
      </c>
      <c r="K1492" t="s">
        <v>45</v>
      </c>
      <c r="L1492">
        <v>9</v>
      </c>
      <c r="M1492">
        <v>92123</v>
      </c>
      <c r="N1492" t="s">
        <v>46</v>
      </c>
    </row>
    <row r="1493" spans="1:14" x14ac:dyDescent="0.2">
      <c r="A1493" s="3">
        <f t="shared" si="25"/>
        <v>82792</v>
      </c>
      <c r="B1493" t="str">
        <f>"00827920001"</f>
        <v>00827920001</v>
      </c>
      <c r="C1493" t="s">
        <v>1842</v>
      </c>
      <c r="D1493" t="s">
        <v>52</v>
      </c>
      <c r="E1493">
        <v>11</v>
      </c>
      <c r="F1493">
        <v>1028</v>
      </c>
      <c r="G1493" t="s">
        <v>311</v>
      </c>
      <c r="H1493" t="s">
        <v>44</v>
      </c>
      <c r="I1493" t="s">
        <v>45</v>
      </c>
      <c r="J1493" t="s">
        <v>44</v>
      </c>
      <c r="K1493" t="s">
        <v>45</v>
      </c>
      <c r="L1493">
        <v>9</v>
      </c>
      <c r="M1493">
        <v>92123</v>
      </c>
      <c r="N1493" t="s">
        <v>46</v>
      </c>
    </row>
    <row r="1494" spans="1:14" x14ac:dyDescent="0.2">
      <c r="A1494" s="3">
        <f t="shared" si="25"/>
        <v>82831</v>
      </c>
      <c r="B1494" t="str">
        <f>"00828310001"</f>
        <v>00828310001</v>
      </c>
      <c r="C1494" t="s">
        <v>1843</v>
      </c>
      <c r="D1494" t="s">
        <v>52</v>
      </c>
      <c r="E1494">
        <v>11</v>
      </c>
      <c r="F1494">
        <v>284</v>
      </c>
      <c r="G1494" t="s">
        <v>1747</v>
      </c>
      <c r="H1494" t="s">
        <v>44</v>
      </c>
      <c r="I1494" t="s">
        <v>45</v>
      </c>
      <c r="J1494" t="s">
        <v>44</v>
      </c>
      <c r="K1494" t="s">
        <v>45</v>
      </c>
      <c r="L1494">
        <v>9</v>
      </c>
      <c r="M1494">
        <v>92082</v>
      </c>
      <c r="N1494" t="s">
        <v>46</v>
      </c>
    </row>
    <row r="1495" spans="1:14" x14ac:dyDescent="0.2">
      <c r="A1495" s="3">
        <f t="shared" si="25"/>
        <v>82831</v>
      </c>
      <c r="B1495" t="str">
        <f>"00828310001"</f>
        <v>00828310001</v>
      </c>
      <c r="C1495" t="s">
        <v>1843</v>
      </c>
      <c r="D1495" t="s">
        <v>52</v>
      </c>
      <c r="E1495">
        <v>11</v>
      </c>
      <c r="F1495">
        <v>3207</v>
      </c>
      <c r="G1495" t="s">
        <v>1844</v>
      </c>
      <c r="H1495" t="s">
        <v>44</v>
      </c>
      <c r="I1495" t="s">
        <v>45</v>
      </c>
      <c r="J1495" t="s">
        <v>44</v>
      </c>
      <c r="K1495" t="s">
        <v>45</v>
      </c>
      <c r="L1495">
        <v>9</v>
      </c>
      <c r="M1495">
        <v>92082</v>
      </c>
      <c r="N1495" t="s">
        <v>46</v>
      </c>
    </row>
    <row r="1496" spans="1:14" x14ac:dyDescent="0.2">
      <c r="A1496" s="3">
        <f t="shared" si="25"/>
        <v>82836</v>
      </c>
      <c r="B1496" t="str">
        <f>"00828360001"</f>
        <v>00828360001</v>
      </c>
      <c r="C1496" t="s">
        <v>1845</v>
      </c>
      <c r="D1496" t="s">
        <v>52</v>
      </c>
      <c r="E1496">
        <v>11</v>
      </c>
      <c r="F1496">
        <v>284</v>
      </c>
      <c r="G1496" t="s">
        <v>1747</v>
      </c>
      <c r="H1496" t="s">
        <v>44</v>
      </c>
      <c r="I1496" t="s">
        <v>45</v>
      </c>
      <c r="J1496" t="s">
        <v>44</v>
      </c>
      <c r="K1496" t="s">
        <v>45</v>
      </c>
      <c r="L1496">
        <v>9</v>
      </c>
      <c r="M1496">
        <v>92327</v>
      </c>
      <c r="N1496" t="s">
        <v>46</v>
      </c>
    </row>
    <row r="1497" spans="1:14" x14ac:dyDescent="0.2">
      <c r="A1497" s="3">
        <f t="shared" si="25"/>
        <v>82841</v>
      </c>
      <c r="B1497" t="str">
        <f>"00828410001"</f>
        <v>00828410001</v>
      </c>
      <c r="C1497" t="s">
        <v>1846</v>
      </c>
      <c r="D1497" t="s">
        <v>52</v>
      </c>
      <c r="E1497">
        <v>11</v>
      </c>
      <c r="F1497">
        <v>284</v>
      </c>
      <c r="G1497" t="s">
        <v>1747</v>
      </c>
      <c r="H1497" t="s">
        <v>44</v>
      </c>
      <c r="I1497" t="s">
        <v>45</v>
      </c>
      <c r="J1497" t="s">
        <v>44</v>
      </c>
      <c r="K1497" t="s">
        <v>45</v>
      </c>
      <c r="L1497">
        <v>9</v>
      </c>
      <c r="M1497">
        <v>92131</v>
      </c>
      <c r="N1497" t="s">
        <v>46</v>
      </c>
    </row>
    <row r="1498" spans="1:14" x14ac:dyDescent="0.2">
      <c r="A1498" s="3">
        <f t="shared" si="25"/>
        <v>82876</v>
      </c>
      <c r="B1498" t="str">
        <f>"00828760001"</f>
        <v>00828760001</v>
      </c>
      <c r="C1498" t="s">
        <v>1847</v>
      </c>
      <c r="D1498" t="s">
        <v>52</v>
      </c>
      <c r="E1498">
        <v>11</v>
      </c>
      <c r="F1498">
        <v>4674</v>
      </c>
      <c r="G1498" t="s">
        <v>1818</v>
      </c>
      <c r="H1498" t="s">
        <v>44</v>
      </c>
      <c r="I1498" t="s">
        <v>45</v>
      </c>
      <c r="J1498" t="s">
        <v>44</v>
      </c>
      <c r="K1498" t="s">
        <v>45</v>
      </c>
      <c r="L1498">
        <v>9</v>
      </c>
      <c r="M1498">
        <v>92109</v>
      </c>
      <c r="N1498" t="s">
        <v>46</v>
      </c>
    </row>
    <row r="1499" spans="1:14" x14ac:dyDescent="0.2">
      <c r="A1499" s="3">
        <f t="shared" si="25"/>
        <v>82876</v>
      </c>
      <c r="B1499" t="str">
        <f>"00828760001"</f>
        <v>00828760001</v>
      </c>
      <c r="C1499" t="s">
        <v>1847</v>
      </c>
      <c r="D1499" t="s">
        <v>52</v>
      </c>
      <c r="E1499">
        <v>11</v>
      </c>
      <c r="F1499">
        <v>284</v>
      </c>
      <c r="G1499" t="s">
        <v>1747</v>
      </c>
      <c r="H1499" t="s">
        <v>44</v>
      </c>
      <c r="I1499" t="s">
        <v>45</v>
      </c>
      <c r="J1499" t="s">
        <v>44</v>
      </c>
      <c r="K1499" t="s">
        <v>45</v>
      </c>
      <c r="L1499">
        <v>9</v>
      </c>
      <c r="M1499">
        <v>92109</v>
      </c>
      <c r="N1499" t="s">
        <v>46</v>
      </c>
    </row>
    <row r="1500" spans="1:14" x14ac:dyDescent="0.2">
      <c r="A1500" s="3">
        <f t="shared" si="25"/>
        <v>82886</v>
      </c>
      <c r="B1500" t="str">
        <f>"00828860001"</f>
        <v>00828860001</v>
      </c>
      <c r="C1500" t="s">
        <v>1848</v>
      </c>
      <c r="D1500" t="s">
        <v>52</v>
      </c>
      <c r="E1500">
        <v>11</v>
      </c>
      <c r="F1500">
        <v>7235</v>
      </c>
      <c r="G1500" t="s">
        <v>1849</v>
      </c>
      <c r="H1500" t="s">
        <v>44</v>
      </c>
      <c r="I1500" t="s">
        <v>45</v>
      </c>
      <c r="J1500" t="s">
        <v>44</v>
      </c>
      <c r="K1500" t="s">
        <v>45</v>
      </c>
      <c r="L1500">
        <v>5</v>
      </c>
      <c r="M1500" t="s">
        <v>65</v>
      </c>
      <c r="N1500" t="s">
        <v>46</v>
      </c>
    </row>
    <row r="1501" spans="1:14" x14ac:dyDescent="0.2">
      <c r="A1501" s="3">
        <f t="shared" si="25"/>
        <v>82904</v>
      </c>
      <c r="B1501" t="str">
        <f>"00829040001"</f>
        <v>00829040001</v>
      </c>
      <c r="C1501" t="s">
        <v>1850</v>
      </c>
      <c r="D1501" t="s">
        <v>52</v>
      </c>
      <c r="E1501">
        <v>11</v>
      </c>
      <c r="F1501">
        <v>284</v>
      </c>
      <c r="G1501" t="s">
        <v>1747</v>
      </c>
      <c r="H1501" t="s">
        <v>44</v>
      </c>
      <c r="I1501" t="s">
        <v>45</v>
      </c>
      <c r="J1501" t="s">
        <v>44</v>
      </c>
      <c r="K1501" t="s">
        <v>45</v>
      </c>
      <c r="L1501">
        <v>9</v>
      </c>
      <c r="M1501">
        <v>92135</v>
      </c>
      <c r="N1501" t="s">
        <v>46</v>
      </c>
    </row>
    <row r="1502" spans="1:14" x14ac:dyDescent="0.2">
      <c r="A1502" s="3">
        <f t="shared" si="25"/>
        <v>82904</v>
      </c>
      <c r="B1502" t="str">
        <f>"00829040001"</f>
        <v>00829040001</v>
      </c>
      <c r="C1502" t="s">
        <v>1850</v>
      </c>
      <c r="D1502" t="s">
        <v>52</v>
      </c>
      <c r="E1502">
        <v>11</v>
      </c>
      <c r="F1502">
        <v>1237</v>
      </c>
      <c r="G1502" t="s">
        <v>307</v>
      </c>
      <c r="H1502" t="s">
        <v>44</v>
      </c>
      <c r="I1502" t="s">
        <v>45</v>
      </c>
      <c r="J1502" t="s">
        <v>44</v>
      </c>
      <c r="K1502" t="s">
        <v>45</v>
      </c>
      <c r="L1502">
        <v>9</v>
      </c>
      <c r="M1502">
        <v>92135</v>
      </c>
      <c r="N1502" t="s">
        <v>46</v>
      </c>
    </row>
    <row r="1503" spans="1:14" x14ac:dyDescent="0.2">
      <c r="A1503" s="3">
        <f t="shared" si="25"/>
        <v>82904</v>
      </c>
      <c r="B1503" t="str">
        <f>"00829040001"</f>
        <v>00829040001</v>
      </c>
      <c r="C1503" t="s">
        <v>1850</v>
      </c>
      <c r="D1503" t="s">
        <v>52</v>
      </c>
      <c r="E1503">
        <v>11</v>
      </c>
      <c r="F1503">
        <v>1028</v>
      </c>
      <c r="G1503" t="s">
        <v>311</v>
      </c>
      <c r="H1503" t="s">
        <v>44</v>
      </c>
      <c r="I1503" t="s">
        <v>45</v>
      </c>
      <c r="J1503" t="s">
        <v>44</v>
      </c>
      <c r="K1503" t="s">
        <v>45</v>
      </c>
      <c r="L1503">
        <v>9</v>
      </c>
      <c r="M1503">
        <v>92135</v>
      </c>
      <c r="N1503" t="s">
        <v>46</v>
      </c>
    </row>
    <row r="1504" spans="1:14" x14ac:dyDescent="0.2">
      <c r="A1504" s="3">
        <f t="shared" si="25"/>
        <v>82931</v>
      </c>
      <c r="B1504" t="str">
        <f>"00829310001"</f>
        <v>00829310001</v>
      </c>
      <c r="C1504" t="s">
        <v>1851</v>
      </c>
      <c r="D1504" t="s">
        <v>52</v>
      </c>
      <c r="E1504">
        <v>11</v>
      </c>
      <c r="F1504">
        <v>284</v>
      </c>
      <c r="G1504" t="s">
        <v>1747</v>
      </c>
      <c r="H1504" t="s">
        <v>44</v>
      </c>
      <c r="I1504" t="s">
        <v>45</v>
      </c>
      <c r="J1504" t="s">
        <v>44</v>
      </c>
      <c r="K1504" t="s">
        <v>45</v>
      </c>
      <c r="L1504">
        <v>9</v>
      </c>
      <c r="M1504">
        <v>92167</v>
      </c>
      <c r="N1504" t="s">
        <v>46</v>
      </c>
    </row>
    <row r="1505" spans="1:14" x14ac:dyDescent="0.2">
      <c r="A1505" s="3">
        <f t="shared" si="25"/>
        <v>82957</v>
      </c>
      <c r="B1505" t="str">
        <f>"00829570001"</f>
        <v>00829570001</v>
      </c>
      <c r="C1505" t="s">
        <v>1852</v>
      </c>
      <c r="D1505" t="s">
        <v>52</v>
      </c>
      <c r="E1505">
        <v>11</v>
      </c>
      <c r="F1505">
        <v>284</v>
      </c>
      <c r="G1505" t="s">
        <v>1747</v>
      </c>
      <c r="H1505" t="s">
        <v>44</v>
      </c>
      <c r="I1505" t="s">
        <v>45</v>
      </c>
      <c r="J1505" t="s">
        <v>44</v>
      </c>
      <c r="K1505" t="s">
        <v>45</v>
      </c>
      <c r="L1505">
        <v>9</v>
      </c>
      <c r="M1505">
        <v>92114</v>
      </c>
      <c r="N1505" t="s">
        <v>46</v>
      </c>
    </row>
    <row r="1506" spans="1:14" x14ac:dyDescent="0.2">
      <c r="A1506" s="3">
        <f t="shared" si="25"/>
        <v>83015</v>
      </c>
      <c r="B1506" t="str">
        <f>"00830150001"</f>
        <v>00830150001</v>
      </c>
      <c r="C1506" t="s">
        <v>1853</v>
      </c>
      <c r="D1506" t="s">
        <v>52</v>
      </c>
      <c r="E1506">
        <v>11</v>
      </c>
      <c r="F1506">
        <v>4813</v>
      </c>
      <c r="G1506" t="s">
        <v>1854</v>
      </c>
      <c r="H1506" t="s">
        <v>44</v>
      </c>
      <c r="I1506" t="s">
        <v>45</v>
      </c>
      <c r="J1506" t="s">
        <v>44</v>
      </c>
      <c r="K1506" t="s">
        <v>45</v>
      </c>
      <c r="L1506">
        <v>9</v>
      </c>
      <c r="M1506">
        <v>92181</v>
      </c>
      <c r="N1506" t="s">
        <v>46</v>
      </c>
    </row>
    <row r="1507" spans="1:14" x14ac:dyDescent="0.2">
      <c r="A1507" s="3">
        <f t="shared" si="25"/>
        <v>83018</v>
      </c>
      <c r="B1507" t="str">
        <f>"00830180001"</f>
        <v>00830180001</v>
      </c>
      <c r="C1507" t="s">
        <v>1855</v>
      </c>
      <c r="D1507" t="s">
        <v>52</v>
      </c>
      <c r="E1507">
        <v>11</v>
      </c>
      <c r="F1507">
        <v>3514</v>
      </c>
      <c r="G1507" t="s">
        <v>1856</v>
      </c>
      <c r="H1507" t="s">
        <v>44</v>
      </c>
      <c r="I1507" t="s">
        <v>45</v>
      </c>
      <c r="J1507" t="s">
        <v>44</v>
      </c>
      <c r="K1507" t="s">
        <v>45</v>
      </c>
      <c r="L1507">
        <v>9</v>
      </c>
      <c r="M1507">
        <v>92180</v>
      </c>
      <c r="N1507" t="s">
        <v>46</v>
      </c>
    </row>
    <row r="1508" spans="1:14" x14ac:dyDescent="0.2">
      <c r="A1508" s="3">
        <f t="shared" si="25"/>
        <v>83033</v>
      </c>
      <c r="B1508" t="str">
        <f>"00830330001"</f>
        <v>00830330001</v>
      </c>
      <c r="C1508" t="s">
        <v>1857</v>
      </c>
      <c r="D1508" t="s">
        <v>52</v>
      </c>
      <c r="E1508">
        <v>11</v>
      </c>
      <c r="F1508">
        <v>3514</v>
      </c>
      <c r="G1508" t="s">
        <v>1856</v>
      </c>
      <c r="H1508" t="s">
        <v>44</v>
      </c>
      <c r="I1508" t="s">
        <v>45</v>
      </c>
      <c r="J1508" t="s">
        <v>44</v>
      </c>
      <c r="K1508" t="s">
        <v>45</v>
      </c>
      <c r="L1508">
        <v>9</v>
      </c>
      <c r="M1508">
        <v>92185</v>
      </c>
      <c r="N1508" t="s">
        <v>46</v>
      </c>
    </row>
    <row r="1509" spans="1:14" x14ac:dyDescent="0.2">
      <c r="A1509" s="3">
        <f t="shared" si="25"/>
        <v>83096</v>
      </c>
      <c r="B1509" t="str">
        <f>"00830960001"</f>
        <v>00830960001</v>
      </c>
      <c r="C1509" t="s">
        <v>1858</v>
      </c>
      <c r="D1509" t="s">
        <v>52</v>
      </c>
      <c r="E1509">
        <v>11</v>
      </c>
      <c r="F1509">
        <v>284</v>
      </c>
      <c r="G1509" t="s">
        <v>1747</v>
      </c>
      <c r="H1509" t="s">
        <v>44</v>
      </c>
      <c r="I1509" t="s">
        <v>45</v>
      </c>
      <c r="J1509" t="s">
        <v>44</v>
      </c>
      <c r="K1509" t="s">
        <v>45</v>
      </c>
      <c r="L1509">
        <v>9</v>
      </c>
      <c r="M1509" t="s">
        <v>65</v>
      </c>
      <c r="N1509" t="s">
        <v>46</v>
      </c>
    </row>
    <row r="1510" spans="1:14" x14ac:dyDescent="0.2">
      <c r="A1510" s="3">
        <f t="shared" si="25"/>
        <v>83096</v>
      </c>
      <c r="B1510" t="str">
        <f>"00830960001"</f>
        <v>00830960001</v>
      </c>
      <c r="C1510" t="s">
        <v>1858</v>
      </c>
      <c r="D1510" t="s">
        <v>52</v>
      </c>
      <c r="E1510">
        <v>11</v>
      </c>
      <c r="F1510">
        <v>1237</v>
      </c>
      <c r="G1510" t="s">
        <v>307</v>
      </c>
      <c r="H1510" t="s">
        <v>44</v>
      </c>
      <c r="I1510" t="s">
        <v>45</v>
      </c>
      <c r="J1510" t="s">
        <v>44</v>
      </c>
      <c r="K1510" t="s">
        <v>45</v>
      </c>
      <c r="L1510">
        <v>9</v>
      </c>
      <c r="M1510" t="s">
        <v>65</v>
      </c>
      <c r="N1510" t="s">
        <v>46</v>
      </c>
    </row>
    <row r="1511" spans="1:14" x14ac:dyDescent="0.2">
      <c r="A1511" s="3">
        <f t="shared" si="25"/>
        <v>83130</v>
      </c>
      <c r="B1511" t="str">
        <f>"00831300001"</f>
        <v>00831300001</v>
      </c>
      <c r="C1511" t="s">
        <v>1859</v>
      </c>
      <c r="D1511" t="s">
        <v>52</v>
      </c>
      <c r="E1511">
        <v>11</v>
      </c>
      <c r="F1511">
        <v>5009</v>
      </c>
      <c r="G1511" t="s">
        <v>1860</v>
      </c>
      <c r="H1511" t="s">
        <v>44</v>
      </c>
      <c r="I1511" t="s">
        <v>45</v>
      </c>
      <c r="J1511" t="s">
        <v>44</v>
      </c>
      <c r="K1511" t="s">
        <v>45</v>
      </c>
      <c r="L1511">
        <v>9</v>
      </c>
      <c r="M1511">
        <v>92080</v>
      </c>
      <c r="N1511" t="s">
        <v>46</v>
      </c>
    </row>
    <row r="1512" spans="1:14" x14ac:dyDescent="0.2">
      <c r="A1512" s="3">
        <f t="shared" si="25"/>
        <v>83130</v>
      </c>
      <c r="B1512" t="str">
        <f>"00831300001"</f>
        <v>00831300001</v>
      </c>
      <c r="C1512" t="s">
        <v>1859</v>
      </c>
      <c r="D1512" t="s">
        <v>52</v>
      </c>
      <c r="E1512">
        <v>11</v>
      </c>
      <c r="F1512">
        <v>258</v>
      </c>
      <c r="G1512" t="s">
        <v>1861</v>
      </c>
      <c r="H1512" t="s">
        <v>44</v>
      </c>
      <c r="I1512" t="s">
        <v>45</v>
      </c>
      <c r="J1512" t="s">
        <v>44</v>
      </c>
      <c r="K1512" t="s">
        <v>45</v>
      </c>
      <c r="L1512">
        <v>9</v>
      </c>
      <c r="M1512">
        <v>92080</v>
      </c>
      <c r="N1512" t="s">
        <v>46</v>
      </c>
    </row>
    <row r="1513" spans="1:14" x14ac:dyDescent="0.2">
      <c r="A1513" s="3">
        <f t="shared" si="25"/>
        <v>83130</v>
      </c>
      <c r="B1513" t="str">
        <f>"00831300001"</f>
        <v>00831300001</v>
      </c>
      <c r="C1513" t="s">
        <v>1859</v>
      </c>
      <c r="D1513" t="s">
        <v>52</v>
      </c>
      <c r="E1513">
        <v>11</v>
      </c>
      <c r="F1513">
        <v>284</v>
      </c>
      <c r="G1513" t="s">
        <v>1747</v>
      </c>
      <c r="H1513" t="s">
        <v>44</v>
      </c>
      <c r="I1513" t="s">
        <v>45</v>
      </c>
      <c r="J1513" t="s">
        <v>44</v>
      </c>
      <c r="K1513" t="s">
        <v>45</v>
      </c>
      <c r="L1513">
        <v>9</v>
      </c>
      <c r="M1513">
        <v>92080</v>
      </c>
      <c r="N1513" t="s">
        <v>46</v>
      </c>
    </row>
    <row r="1514" spans="1:14" x14ac:dyDescent="0.2">
      <c r="A1514" s="3">
        <f t="shared" si="25"/>
        <v>83223</v>
      </c>
      <c r="B1514" t="str">
        <f>"00832230001"</f>
        <v>00832230001</v>
      </c>
      <c r="C1514" t="s">
        <v>1862</v>
      </c>
      <c r="D1514" t="s">
        <v>52</v>
      </c>
      <c r="E1514">
        <v>11</v>
      </c>
      <c r="F1514">
        <v>284</v>
      </c>
      <c r="G1514" t="s">
        <v>1747</v>
      </c>
      <c r="H1514" t="s">
        <v>44</v>
      </c>
      <c r="I1514" t="s">
        <v>45</v>
      </c>
      <c r="J1514" t="s">
        <v>44</v>
      </c>
      <c r="K1514" t="s">
        <v>45</v>
      </c>
      <c r="L1514">
        <v>9</v>
      </c>
      <c r="M1514">
        <v>92068</v>
      </c>
      <c r="N1514" t="s">
        <v>46</v>
      </c>
    </row>
    <row r="1515" spans="1:14" x14ac:dyDescent="0.2">
      <c r="A1515" s="3">
        <f t="shared" si="25"/>
        <v>83225</v>
      </c>
      <c r="B1515" t="str">
        <f>"00832250001"</f>
        <v>00832250001</v>
      </c>
      <c r="C1515" t="s">
        <v>1863</v>
      </c>
      <c r="D1515" t="s">
        <v>52</v>
      </c>
      <c r="E1515">
        <v>11</v>
      </c>
      <c r="F1515">
        <v>1521</v>
      </c>
      <c r="G1515" t="s">
        <v>1767</v>
      </c>
      <c r="H1515" t="s">
        <v>44</v>
      </c>
      <c r="I1515" t="s">
        <v>45</v>
      </c>
      <c r="J1515" t="s">
        <v>44</v>
      </c>
      <c r="K1515" t="s">
        <v>45</v>
      </c>
      <c r="L1515">
        <v>9</v>
      </c>
      <c r="M1515">
        <v>92019</v>
      </c>
      <c r="N1515" t="s">
        <v>46</v>
      </c>
    </row>
    <row r="1516" spans="1:14" x14ac:dyDescent="0.2">
      <c r="A1516" s="3">
        <f t="shared" si="25"/>
        <v>83225</v>
      </c>
      <c r="B1516" t="str">
        <f>"00832250001"</f>
        <v>00832250001</v>
      </c>
      <c r="C1516" t="s">
        <v>1863</v>
      </c>
      <c r="D1516" t="s">
        <v>52</v>
      </c>
      <c r="E1516">
        <v>11</v>
      </c>
      <c r="F1516">
        <v>284</v>
      </c>
      <c r="G1516" t="s">
        <v>1747</v>
      </c>
      <c r="H1516" t="s">
        <v>44</v>
      </c>
      <c r="I1516" t="s">
        <v>45</v>
      </c>
      <c r="J1516" t="s">
        <v>44</v>
      </c>
      <c r="K1516" t="s">
        <v>45</v>
      </c>
      <c r="L1516">
        <v>9</v>
      </c>
      <c r="M1516">
        <v>92019</v>
      </c>
      <c r="N1516" t="s">
        <v>46</v>
      </c>
    </row>
    <row r="1517" spans="1:14" x14ac:dyDescent="0.2">
      <c r="A1517" s="3">
        <f t="shared" si="25"/>
        <v>83245</v>
      </c>
      <c r="B1517" t="str">
        <f>"00832450001"</f>
        <v>00832450001</v>
      </c>
      <c r="C1517" t="s">
        <v>1864</v>
      </c>
      <c r="D1517" t="s">
        <v>52</v>
      </c>
      <c r="E1517">
        <v>11</v>
      </c>
      <c r="F1517">
        <v>284</v>
      </c>
      <c r="G1517" t="s">
        <v>1747</v>
      </c>
      <c r="H1517" t="s">
        <v>44</v>
      </c>
      <c r="I1517" t="s">
        <v>45</v>
      </c>
      <c r="J1517" t="s">
        <v>44</v>
      </c>
      <c r="K1517" t="s">
        <v>45</v>
      </c>
      <c r="L1517">
        <v>9</v>
      </c>
      <c r="M1517" t="s">
        <v>65</v>
      </c>
      <c r="N1517" t="s">
        <v>46</v>
      </c>
    </row>
    <row r="1518" spans="1:14" x14ac:dyDescent="0.2">
      <c r="A1518" s="3">
        <f t="shared" si="25"/>
        <v>83277</v>
      </c>
      <c r="B1518" t="str">
        <f>"00832770001"</f>
        <v>00832770001</v>
      </c>
      <c r="C1518" t="s">
        <v>1865</v>
      </c>
      <c r="D1518" t="s">
        <v>52</v>
      </c>
      <c r="E1518">
        <v>11</v>
      </c>
      <c r="F1518">
        <v>432</v>
      </c>
      <c r="G1518" t="s">
        <v>1866</v>
      </c>
      <c r="H1518" t="s">
        <v>44</v>
      </c>
      <c r="I1518" t="s">
        <v>45</v>
      </c>
      <c r="J1518" t="s">
        <v>44</v>
      </c>
      <c r="K1518" t="s">
        <v>45</v>
      </c>
      <c r="L1518">
        <v>9</v>
      </c>
      <c r="M1518">
        <v>92005</v>
      </c>
      <c r="N1518" t="s">
        <v>46</v>
      </c>
    </row>
    <row r="1519" spans="1:14" x14ac:dyDescent="0.2">
      <c r="A1519" s="3">
        <f t="shared" si="25"/>
        <v>83295</v>
      </c>
      <c r="B1519" t="str">
        <f>"00832950001"</f>
        <v>00832950001</v>
      </c>
      <c r="C1519" t="s">
        <v>1867</v>
      </c>
      <c r="D1519" t="s">
        <v>52</v>
      </c>
      <c r="E1519">
        <v>11</v>
      </c>
      <c r="F1519">
        <v>284</v>
      </c>
      <c r="G1519" t="s">
        <v>1747</v>
      </c>
      <c r="H1519" t="s">
        <v>44</v>
      </c>
      <c r="I1519" t="s">
        <v>45</v>
      </c>
      <c r="J1519" t="s">
        <v>44</v>
      </c>
      <c r="K1519" t="s">
        <v>45</v>
      </c>
      <c r="L1519">
        <v>9</v>
      </c>
      <c r="M1519">
        <v>92076</v>
      </c>
      <c r="N1519" t="s">
        <v>46</v>
      </c>
    </row>
    <row r="1520" spans="1:14" x14ac:dyDescent="0.2">
      <c r="A1520" s="3">
        <f t="shared" si="25"/>
        <v>83321</v>
      </c>
      <c r="B1520" t="str">
        <f>"00833210001"</f>
        <v>00833210001</v>
      </c>
      <c r="C1520" t="s">
        <v>1868</v>
      </c>
      <c r="D1520" t="s">
        <v>52</v>
      </c>
      <c r="E1520">
        <v>11</v>
      </c>
      <c r="F1520">
        <v>284</v>
      </c>
      <c r="G1520" t="s">
        <v>1747</v>
      </c>
      <c r="H1520" t="s">
        <v>44</v>
      </c>
      <c r="I1520" t="s">
        <v>45</v>
      </c>
      <c r="J1520" t="s">
        <v>44</v>
      </c>
      <c r="K1520" t="s">
        <v>45</v>
      </c>
      <c r="L1520">
        <v>9</v>
      </c>
      <c r="M1520">
        <v>92069</v>
      </c>
      <c r="N1520" t="s">
        <v>46</v>
      </c>
    </row>
    <row r="1521" spans="1:14" x14ac:dyDescent="0.2">
      <c r="A1521" s="3">
        <f t="shared" si="25"/>
        <v>83331</v>
      </c>
      <c r="B1521" t="str">
        <f>"00833310001"</f>
        <v>00833310001</v>
      </c>
      <c r="C1521" t="s">
        <v>1869</v>
      </c>
      <c r="D1521" t="s">
        <v>52</v>
      </c>
      <c r="E1521">
        <v>11</v>
      </c>
      <c r="F1521">
        <v>284</v>
      </c>
      <c r="G1521" t="s">
        <v>1747</v>
      </c>
      <c r="H1521" t="s">
        <v>44</v>
      </c>
      <c r="I1521" t="s">
        <v>45</v>
      </c>
      <c r="J1521" t="s">
        <v>44</v>
      </c>
      <c r="K1521" t="s">
        <v>45</v>
      </c>
      <c r="L1521">
        <v>9</v>
      </c>
      <c r="M1521">
        <v>92075</v>
      </c>
      <c r="N1521" t="s">
        <v>46</v>
      </c>
    </row>
    <row r="1522" spans="1:14" x14ac:dyDescent="0.2">
      <c r="A1522" s="3">
        <f t="shared" si="25"/>
        <v>84537</v>
      </c>
      <c r="B1522" t="str">
        <f>"00845370001"</f>
        <v>00845370001</v>
      </c>
      <c r="C1522" t="s">
        <v>1870</v>
      </c>
      <c r="D1522" t="s">
        <v>52</v>
      </c>
      <c r="E1522">
        <v>11</v>
      </c>
      <c r="F1522">
        <v>7202</v>
      </c>
      <c r="G1522" t="s">
        <v>1871</v>
      </c>
      <c r="H1522" t="s">
        <v>44</v>
      </c>
      <c r="I1522" t="s">
        <v>45</v>
      </c>
      <c r="J1522" t="s">
        <v>44</v>
      </c>
      <c r="K1522" t="s">
        <v>45</v>
      </c>
      <c r="L1522">
        <v>5</v>
      </c>
      <c r="M1522" t="s">
        <v>65</v>
      </c>
      <c r="N1522" t="s">
        <v>46</v>
      </c>
    </row>
    <row r="1523" spans="1:14" x14ac:dyDescent="0.2">
      <c r="A1523" s="3">
        <f t="shared" si="25"/>
        <v>84570</v>
      </c>
      <c r="B1523" t="str">
        <f>"00845700001"</f>
        <v>00845700001</v>
      </c>
      <c r="C1523" t="s">
        <v>1872</v>
      </c>
      <c r="D1523" t="s">
        <v>52</v>
      </c>
      <c r="E1523">
        <v>11</v>
      </c>
      <c r="F1523">
        <v>356</v>
      </c>
      <c r="G1523" t="s">
        <v>1873</v>
      </c>
      <c r="H1523" t="s">
        <v>44</v>
      </c>
      <c r="I1523" t="s">
        <v>45</v>
      </c>
      <c r="J1523" t="s">
        <v>44</v>
      </c>
      <c r="K1523" t="s">
        <v>45</v>
      </c>
      <c r="L1523">
        <v>9</v>
      </c>
      <c r="M1523">
        <v>92147</v>
      </c>
      <c r="N1523" t="s">
        <v>46</v>
      </c>
    </row>
    <row r="1524" spans="1:14" x14ac:dyDescent="0.2">
      <c r="A1524" s="3">
        <f t="shared" si="25"/>
        <v>84570</v>
      </c>
      <c r="B1524" t="str">
        <f>"00845700001"</f>
        <v>00845700001</v>
      </c>
      <c r="C1524" t="s">
        <v>1872</v>
      </c>
      <c r="D1524" t="s">
        <v>52</v>
      </c>
      <c r="E1524">
        <v>11</v>
      </c>
      <c r="F1524">
        <v>284</v>
      </c>
      <c r="G1524" t="s">
        <v>1747</v>
      </c>
      <c r="H1524" t="s">
        <v>44</v>
      </c>
      <c r="I1524" t="s">
        <v>45</v>
      </c>
      <c r="J1524" t="s">
        <v>44</v>
      </c>
      <c r="K1524" t="s">
        <v>45</v>
      </c>
      <c r="L1524">
        <v>9</v>
      </c>
      <c r="M1524">
        <v>92147</v>
      </c>
      <c r="N1524" t="s">
        <v>46</v>
      </c>
    </row>
    <row r="1525" spans="1:14" x14ac:dyDescent="0.2">
      <c r="A1525" s="3">
        <f t="shared" si="25"/>
        <v>84570</v>
      </c>
      <c r="B1525" t="str">
        <f>"00845700001"</f>
        <v>00845700001</v>
      </c>
      <c r="C1525" t="s">
        <v>1872</v>
      </c>
      <c r="D1525" t="s">
        <v>52</v>
      </c>
      <c r="E1525">
        <v>11</v>
      </c>
      <c r="F1525">
        <v>1013</v>
      </c>
      <c r="G1525" t="s">
        <v>1839</v>
      </c>
      <c r="H1525" t="s">
        <v>44</v>
      </c>
      <c r="I1525" t="s">
        <v>45</v>
      </c>
      <c r="J1525" t="s">
        <v>44</v>
      </c>
      <c r="K1525" t="s">
        <v>45</v>
      </c>
      <c r="L1525">
        <v>9</v>
      </c>
      <c r="M1525">
        <v>92147</v>
      </c>
      <c r="N1525" t="s">
        <v>46</v>
      </c>
    </row>
    <row r="1526" spans="1:14" x14ac:dyDescent="0.2">
      <c r="A1526" s="3">
        <f t="shared" si="25"/>
        <v>84611</v>
      </c>
      <c r="B1526" t="str">
        <f>"00846110001"</f>
        <v>00846110001</v>
      </c>
      <c r="C1526" t="s">
        <v>1874</v>
      </c>
      <c r="D1526" t="s">
        <v>52</v>
      </c>
      <c r="E1526">
        <v>11</v>
      </c>
      <c r="F1526">
        <v>284</v>
      </c>
      <c r="G1526" t="s">
        <v>1747</v>
      </c>
      <c r="H1526" t="s">
        <v>44</v>
      </c>
      <c r="I1526" t="s">
        <v>45</v>
      </c>
      <c r="J1526" t="s">
        <v>44</v>
      </c>
      <c r="K1526" t="s">
        <v>45</v>
      </c>
      <c r="L1526">
        <v>9</v>
      </c>
      <c r="M1526">
        <v>92161</v>
      </c>
      <c r="N1526" t="s">
        <v>46</v>
      </c>
    </row>
    <row r="1527" spans="1:14" x14ac:dyDescent="0.2">
      <c r="A1527" s="3">
        <f t="shared" si="25"/>
        <v>84617</v>
      </c>
      <c r="B1527" t="str">
        <f>"00846170001"</f>
        <v>00846170001</v>
      </c>
      <c r="C1527" t="s">
        <v>1875</v>
      </c>
      <c r="D1527" t="s">
        <v>52</v>
      </c>
      <c r="E1527">
        <v>11</v>
      </c>
      <c r="F1527">
        <v>5009</v>
      </c>
      <c r="G1527" t="s">
        <v>1860</v>
      </c>
      <c r="H1527" t="s">
        <v>44</v>
      </c>
      <c r="I1527" t="s">
        <v>45</v>
      </c>
      <c r="J1527" t="s">
        <v>44</v>
      </c>
      <c r="K1527" t="s">
        <v>45</v>
      </c>
      <c r="L1527">
        <v>9</v>
      </c>
      <c r="M1527">
        <v>92152</v>
      </c>
      <c r="N1527" t="s">
        <v>46</v>
      </c>
    </row>
    <row r="1528" spans="1:14" x14ac:dyDescent="0.2">
      <c r="A1528" s="3">
        <f t="shared" si="25"/>
        <v>84617</v>
      </c>
      <c r="B1528" t="str">
        <f>"00846170001"</f>
        <v>00846170001</v>
      </c>
      <c r="C1528" t="s">
        <v>1875</v>
      </c>
      <c r="D1528" t="s">
        <v>52</v>
      </c>
      <c r="E1528">
        <v>11</v>
      </c>
      <c r="F1528">
        <v>284</v>
      </c>
      <c r="G1528" t="s">
        <v>1747</v>
      </c>
      <c r="H1528" t="s">
        <v>44</v>
      </c>
      <c r="I1528" t="s">
        <v>45</v>
      </c>
      <c r="J1528" t="s">
        <v>44</v>
      </c>
      <c r="K1528" t="s">
        <v>45</v>
      </c>
      <c r="L1528">
        <v>9</v>
      </c>
      <c r="M1528">
        <v>92152</v>
      </c>
      <c r="N1528" t="s">
        <v>46</v>
      </c>
    </row>
    <row r="1529" spans="1:14" x14ac:dyDescent="0.2">
      <c r="A1529" s="3">
        <f t="shared" si="25"/>
        <v>84636</v>
      </c>
      <c r="B1529" t="str">
        <f>"00846360001"</f>
        <v>00846360001</v>
      </c>
      <c r="C1529" t="s">
        <v>1876</v>
      </c>
      <c r="D1529" t="s">
        <v>52</v>
      </c>
      <c r="E1529">
        <v>11</v>
      </c>
      <c r="F1529">
        <v>284</v>
      </c>
      <c r="G1529" t="s">
        <v>1747</v>
      </c>
      <c r="H1529" t="s">
        <v>44</v>
      </c>
      <c r="I1529" t="s">
        <v>45</v>
      </c>
      <c r="J1529" t="s">
        <v>44</v>
      </c>
      <c r="K1529" t="s">
        <v>45</v>
      </c>
      <c r="L1529">
        <v>9</v>
      </c>
      <c r="M1529">
        <v>92153</v>
      </c>
      <c r="N1529" t="s">
        <v>46</v>
      </c>
    </row>
    <row r="1530" spans="1:14" x14ac:dyDescent="0.2">
      <c r="A1530" s="3">
        <f t="shared" si="25"/>
        <v>84636</v>
      </c>
      <c r="B1530" t="str">
        <f>"00846360001"</f>
        <v>00846360001</v>
      </c>
      <c r="C1530" t="s">
        <v>1876</v>
      </c>
      <c r="D1530" t="s">
        <v>52</v>
      </c>
      <c r="E1530">
        <v>11</v>
      </c>
      <c r="F1530">
        <v>8226</v>
      </c>
      <c r="G1530" t="s">
        <v>1877</v>
      </c>
      <c r="H1530" t="s">
        <v>44</v>
      </c>
      <c r="I1530" t="s">
        <v>45</v>
      </c>
      <c r="J1530" t="s">
        <v>44</v>
      </c>
      <c r="K1530" t="s">
        <v>45</v>
      </c>
      <c r="L1530">
        <v>9</v>
      </c>
      <c r="M1530">
        <v>92153</v>
      </c>
      <c r="N1530" t="s">
        <v>46</v>
      </c>
    </row>
    <row r="1531" spans="1:14" x14ac:dyDescent="0.2">
      <c r="A1531" s="3">
        <f t="shared" si="25"/>
        <v>84636</v>
      </c>
      <c r="B1531" t="str">
        <f>"00846360001"</f>
        <v>00846360001</v>
      </c>
      <c r="C1531" t="s">
        <v>1876</v>
      </c>
      <c r="D1531" t="s">
        <v>52</v>
      </c>
      <c r="E1531">
        <v>11</v>
      </c>
      <c r="F1531">
        <v>200</v>
      </c>
      <c r="G1531" t="s">
        <v>1878</v>
      </c>
      <c r="H1531" t="s">
        <v>44</v>
      </c>
      <c r="I1531" t="s">
        <v>45</v>
      </c>
      <c r="J1531" t="s">
        <v>44</v>
      </c>
      <c r="K1531" t="s">
        <v>45</v>
      </c>
      <c r="L1531">
        <v>9</v>
      </c>
      <c r="M1531">
        <v>92153</v>
      </c>
      <c r="N1531" t="s">
        <v>46</v>
      </c>
    </row>
    <row r="1532" spans="1:14" x14ac:dyDescent="0.2">
      <c r="A1532" s="3">
        <f t="shared" si="25"/>
        <v>84661</v>
      </c>
      <c r="B1532" t="str">
        <f>"00846610001"</f>
        <v>00846610001</v>
      </c>
      <c r="C1532" t="s">
        <v>1879</v>
      </c>
      <c r="D1532" t="s">
        <v>52</v>
      </c>
      <c r="E1532">
        <v>11</v>
      </c>
      <c r="F1532">
        <v>284</v>
      </c>
      <c r="G1532" t="s">
        <v>1747</v>
      </c>
      <c r="H1532" t="s">
        <v>44</v>
      </c>
      <c r="I1532" t="s">
        <v>45</v>
      </c>
      <c r="J1532" t="s">
        <v>44</v>
      </c>
      <c r="K1532" t="s">
        <v>45</v>
      </c>
      <c r="L1532">
        <v>9</v>
      </c>
      <c r="M1532">
        <v>92162</v>
      </c>
      <c r="N1532" t="s">
        <v>46</v>
      </c>
    </row>
    <row r="1533" spans="1:14" x14ac:dyDescent="0.2">
      <c r="A1533" s="3">
        <f t="shared" si="25"/>
        <v>84665</v>
      </c>
      <c r="B1533" t="str">
        <f>"00846650001"</f>
        <v>00846650001</v>
      </c>
      <c r="C1533" t="s">
        <v>1880</v>
      </c>
      <c r="D1533" t="s">
        <v>52</v>
      </c>
      <c r="E1533">
        <v>11</v>
      </c>
      <c r="F1533">
        <v>284</v>
      </c>
      <c r="G1533" t="s">
        <v>1747</v>
      </c>
      <c r="H1533" t="s">
        <v>44</v>
      </c>
      <c r="I1533" t="s">
        <v>45</v>
      </c>
      <c r="J1533" t="s">
        <v>44</v>
      </c>
      <c r="K1533" t="s">
        <v>45</v>
      </c>
      <c r="L1533">
        <v>9</v>
      </c>
      <c r="M1533">
        <v>92164</v>
      </c>
      <c r="N1533" t="s">
        <v>46</v>
      </c>
    </row>
    <row r="1534" spans="1:14" x14ac:dyDescent="0.2">
      <c r="A1534" s="3">
        <f t="shared" si="25"/>
        <v>85154</v>
      </c>
      <c r="B1534" t="str">
        <f>"00851540012"</f>
        <v>00851540012</v>
      </c>
      <c r="C1534" t="s">
        <v>1881</v>
      </c>
      <c r="D1534" t="s">
        <v>604</v>
      </c>
      <c r="E1534">
        <v>52</v>
      </c>
      <c r="F1534">
        <v>388</v>
      </c>
      <c r="G1534" t="s">
        <v>1454</v>
      </c>
      <c r="H1534">
        <v>24</v>
      </c>
      <c r="I1534" t="s">
        <v>25</v>
      </c>
      <c r="J1534">
        <v>20</v>
      </c>
      <c r="K1534" t="s">
        <v>25</v>
      </c>
      <c r="L1534">
        <v>8</v>
      </c>
      <c r="M1534">
        <v>65039</v>
      </c>
      <c r="N1534">
        <v>4</v>
      </c>
    </row>
    <row r="1535" spans="1:14" x14ac:dyDescent="0.2">
      <c r="A1535" s="3">
        <f t="shared" si="25"/>
        <v>85173</v>
      </c>
      <c r="B1535" t="str">
        <f>"00851730016"</f>
        <v>00851730016</v>
      </c>
      <c r="C1535" t="s">
        <v>1882</v>
      </c>
      <c r="D1535" t="s">
        <v>543</v>
      </c>
      <c r="E1535">
        <v>84</v>
      </c>
      <c r="F1535">
        <v>1606</v>
      </c>
      <c r="G1535" t="s">
        <v>1042</v>
      </c>
      <c r="H1535" t="s">
        <v>44</v>
      </c>
      <c r="I1535" t="s">
        <v>45</v>
      </c>
      <c r="J1535" t="s">
        <v>44</v>
      </c>
      <c r="K1535" t="s">
        <v>45</v>
      </c>
      <c r="L1535">
        <v>9</v>
      </c>
      <c r="M1535">
        <v>69078</v>
      </c>
      <c r="N1535" t="s">
        <v>46</v>
      </c>
    </row>
    <row r="1536" spans="1:14" x14ac:dyDescent="0.2">
      <c r="A1536" s="3">
        <f t="shared" si="25"/>
        <v>85223</v>
      </c>
      <c r="B1536" t="str">
        <f>"00852230004"</f>
        <v>00852230004</v>
      </c>
      <c r="C1536" t="s">
        <v>1883</v>
      </c>
      <c r="D1536" t="s">
        <v>52</v>
      </c>
      <c r="E1536">
        <v>12</v>
      </c>
      <c r="F1536">
        <v>3694</v>
      </c>
      <c r="G1536" t="s">
        <v>1614</v>
      </c>
      <c r="H1536" t="s">
        <v>44</v>
      </c>
      <c r="I1536" t="s">
        <v>45</v>
      </c>
      <c r="J1536" t="s">
        <v>44</v>
      </c>
      <c r="K1536" t="s">
        <v>45</v>
      </c>
      <c r="L1536">
        <v>6</v>
      </c>
      <c r="M1536">
        <v>93069</v>
      </c>
      <c r="N1536" t="s">
        <v>46</v>
      </c>
    </row>
    <row r="1537" spans="1:14" x14ac:dyDescent="0.2">
      <c r="A1537" s="3">
        <f t="shared" si="25"/>
        <v>85228</v>
      </c>
      <c r="B1537" t="str">
        <f>"00852280036"</f>
        <v>00852280036</v>
      </c>
      <c r="C1537" t="s">
        <v>1884</v>
      </c>
      <c r="D1537" t="s">
        <v>622</v>
      </c>
      <c r="E1537">
        <v>71</v>
      </c>
      <c r="F1537">
        <v>1095</v>
      </c>
      <c r="G1537" t="s">
        <v>633</v>
      </c>
      <c r="H1537">
        <v>12</v>
      </c>
      <c r="I1537" t="s">
        <v>25</v>
      </c>
      <c r="J1537">
        <v>9</v>
      </c>
      <c r="K1537" t="s">
        <v>25</v>
      </c>
      <c r="L1537">
        <v>8</v>
      </c>
      <c r="M1537">
        <v>74234</v>
      </c>
      <c r="N1537">
        <v>3</v>
      </c>
    </row>
    <row r="1538" spans="1:14" x14ac:dyDescent="0.2">
      <c r="A1538" s="3">
        <f t="shared" si="25"/>
        <v>85237</v>
      </c>
      <c r="B1538" t="str">
        <f>"00852370010"</f>
        <v>00852370010</v>
      </c>
      <c r="C1538" t="s">
        <v>1885</v>
      </c>
      <c r="D1538" t="s">
        <v>70</v>
      </c>
      <c r="E1538">
        <v>33</v>
      </c>
      <c r="F1538">
        <v>1655</v>
      </c>
      <c r="G1538" t="s">
        <v>1886</v>
      </c>
      <c r="H1538">
        <v>28</v>
      </c>
      <c r="I1538" t="s">
        <v>34</v>
      </c>
      <c r="J1538">
        <v>20</v>
      </c>
      <c r="K1538" t="s">
        <v>34</v>
      </c>
      <c r="L1538">
        <v>8</v>
      </c>
      <c r="M1538">
        <v>84089</v>
      </c>
      <c r="N1538">
        <v>8</v>
      </c>
    </row>
    <row r="1539" spans="1:14" x14ac:dyDescent="0.2">
      <c r="A1539" s="3">
        <f t="shared" si="25"/>
        <v>85266</v>
      </c>
      <c r="B1539" t="str">
        <f>"00852660052"</f>
        <v>00852660052</v>
      </c>
      <c r="C1539" t="s">
        <v>1887</v>
      </c>
      <c r="D1539" t="s">
        <v>289</v>
      </c>
      <c r="E1539">
        <v>74</v>
      </c>
      <c r="F1539">
        <v>8086</v>
      </c>
      <c r="G1539" t="s">
        <v>290</v>
      </c>
      <c r="H1539">
        <v>6</v>
      </c>
      <c r="I1539" t="s">
        <v>25</v>
      </c>
      <c r="J1539">
        <v>4</v>
      </c>
      <c r="K1539" t="s">
        <v>25</v>
      </c>
      <c r="L1539">
        <v>8</v>
      </c>
      <c r="M1539">
        <v>86048</v>
      </c>
      <c r="N1539">
        <v>1</v>
      </c>
    </row>
    <row r="1540" spans="1:14" x14ac:dyDescent="0.2">
      <c r="A1540" s="3">
        <f t="shared" ref="A1540:A1603" si="26">(B1540-RIGHT(B1540,4))/10000</f>
        <v>85266</v>
      </c>
      <c r="B1540" t="str">
        <f>"00852660052"</f>
        <v>00852660052</v>
      </c>
      <c r="C1540" t="s">
        <v>1887</v>
      </c>
      <c r="D1540" t="s">
        <v>289</v>
      </c>
      <c r="E1540">
        <v>74</v>
      </c>
      <c r="F1540">
        <v>2477</v>
      </c>
      <c r="G1540" t="s">
        <v>1426</v>
      </c>
      <c r="H1540">
        <v>6</v>
      </c>
      <c r="I1540" t="s">
        <v>25</v>
      </c>
      <c r="J1540">
        <v>4</v>
      </c>
      <c r="K1540" t="s">
        <v>25</v>
      </c>
      <c r="L1540">
        <v>8</v>
      </c>
      <c r="M1540">
        <v>86048</v>
      </c>
      <c r="N1540">
        <v>1</v>
      </c>
    </row>
    <row r="1541" spans="1:14" x14ac:dyDescent="0.2">
      <c r="A1541" s="3">
        <f t="shared" si="26"/>
        <v>85267</v>
      </c>
      <c r="B1541" t="str">
        <f>"00852670090"</f>
        <v>00852670090</v>
      </c>
      <c r="C1541" t="s">
        <v>1888</v>
      </c>
      <c r="D1541" t="s">
        <v>289</v>
      </c>
      <c r="E1541">
        <v>74</v>
      </c>
      <c r="F1541">
        <v>8086</v>
      </c>
      <c r="G1541" t="s">
        <v>290</v>
      </c>
      <c r="H1541">
        <v>120</v>
      </c>
      <c r="I1541" t="s">
        <v>34</v>
      </c>
      <c r="J1541">
        <v>88</v>
      </c>
      <c r="K1541" t="s">
        <v>34</v>
      </c>
      <c r="L1541">
        <v>8</v>
      </c>
      <c r="M1541">
        <v>86045</v>
      </c>
      <c r="N1541">
        <v>1</v>
      </c>
    </row>
    <row r="1542" spans="1:14" x14ac:dyDescent="0.2">
      <c r="A1542" s="3">
        <f t="shared" si="26"/>
        <v>85267</v>
      </c>
      <c r="B1542" t="str">
        <f>"00852670090"</f>
        <v>00852670090</v>
      </c>
      <c r="C1542" t="s">
        <v>1888</v>
      </c>
      <c r="D1542" t="s">
        <v>289</v>
      </c>
      <c r="E1542">
        <v>74</v>
      </c>
      <c r="F1542">
        <v>2477</v>
      </c>
      <c r="G1542" t="s">
        <v>1426</v>
      </c>
      <c r="H1542">
        <v>120</v>
      </c>
      <c r="I1542" t="s">
        <v>34</v>
      </c>
      <c r="J1542">
        <v>88</v>
      </c>
      <c r="K1542" t="s">
        <v>34</v>
      </c>
      <c r="L1542">
        <v>8</v>
      </c>
      <c r="M1542">
        <v>86045</v>
      </c>
      <c r="N1542">
        <v>1</v>
      </c>
    </row>
    <row r="1543" spans="1:14" x14ac:dyDescent="0.2">
      <c r="A1543" s="3">
        <f t="shared" si="26"/>
        <v>85268</v>
      </c>
      <c r="B1543" t="str">
        <f>"00852680007"</f>
        <v>00852680007</v>
      </c>
      <c r="C1543" t="s">
        <v>1889</v>
      </c>
      <c r="D1543" t="s">
        <v>289</v>
      </c>
      <c r="E1543">
        <v>74</v>
      </c>
      <c r="F1543">
        <v>8086</v>
      </c>
      <c r="G1543" t="s">
        <v>290</v>
      </c>
      <c r="H1543">
        <v>9</v>
      </c>
      <c r="I1543" t="s">
        <v>25</v>
      </c>
      <c r="J1543">
        <v>7</v>
      </c>
      <c r="K1543" t="s">
        <v>25</v>
      </c>
      <c r="L1543">
        <v>8</v>
      </c>
      <c r="M1543">
        <v>86041</v>
      </c>
      <c r="N1543">
        <v>1</v>
      </c>
    </row>
    <row r="1544" spans="1:14" x14ac:dyDescent="0.2">
      <c r="A1544" s="3">
        <f t="shared" si="26"/>
        <v>85268</v>
      </c>
      <c r="B1544" t="str">
        <f>"00852680007"</f>
        <v>00852680007</v>
      </c>
      <c r="C1544" t="s">
        <v>1889</v>
      </c>
      <c r="D1544" t="s">
        <v>289</v>
      </c>
      <c r="E1544">
        <v>74</v>
      </c>
      <c r="F1544">
        <v>2477</v>
      </c>
      <c r="G1544" t="s">
        <v>1426</v>
      </c>
      <c r="H1544">
        <v>9</v>
      </c>
      <c r="I1544" t="s">
        <v>25</v>
      </c>
      <c r="J1544">
        <v>7</v>
      </c>
      <c r="K1544" t="s">
        <v>25</v>
      </c>
      <c r="L1544">
        <v>8</v>
      </c>
      <c r="M1544">
        <v>86041</v>
      </c>
      <c r="N1544">
        <v>1</v>
      </c>
    </row>
    <row r="1545" spans="1:14" x14ac:dyDescent="0.2">
      <c r="A1545" s="3">
        <f t="shared" si="26"/>
        <v>85302</v>
      </c>
      <c r="B1545" t="str">
        <f>"00853020042"</f>
        <v>00853020042</v>
      </c>
      <c r="C1545" t="s">
        <v>1890</v>
      </c>
      <c r="D1545" t="s">
        <v>543</v>
      </c>
      <c r="E1545">
        <v>84</v>
      </c>
      <c r="F1545">
        <v>2065</v>
      </c>
      <c r="G1545" t="s">
        <v>1891</v>
      </c>
      <c r="H1545" t="s">
        <v>44</v>
      </c>
      <c r="I1545" t="s">
        <v>45</v>
      </c>
      <c r="J1545" t="s">
        <v>44</v>
      </c>
      <c r="K1545" t="s">
        <v>45</v>
      </c>
      <c r="L1545">
        <v>8</v>
      </c>
      <c r="M1545">
        <v>69082</v>
      </c>
      <c r="N1545" t="s">
        <v>46</v>
      </c>
    </row>
    <row r="1546" spans="1:14" x14ac:dyDescent="0.2">
      <c r="A1546" s="3">
        <f t="shared" si="26"/>
        <v>85544</v>
      </c>
      <c r="B1546" t="str">
        <f>"00855440010"</f>
        <v>00855440010</v>
      </c>
      <c r="C1546" t="s">
        <v>1892</v>
      </c>
      <c r="D1546" t="s">
        <v>289</v>
      </c>
      <c r="E1546">
        <v>20</v>
      </c>
      <c r="F1546">
        <v>8086</v>
      </c>
      <c r="G1546" t="s">
        <v>290</v>
      </c>
      <c r="H1546">
        <v>12</v>
      </c>
      <c r="I1546" t="s">
        <v>25</v>
      </c>
      <c r="J1546">
        <v>9</v>
      </c>
      <c r="K1546" t="s">
        <v>25</v>
      </c>
      <c r="L1546">
        <v>8</v>
      </c>
      <c r="M1546">
        <v>89025</v>
      </c>
      <c r="N1546">
        <v>3</v>
      </c>
    </row>
    <row r="1547" spans="1:14" x14ac:dyDescent="0.2">
      <c r="A1547" s="3">
        <f t="shared" si="26"/>
        <v>85544</v>
      </c>
      <c r="B1547" t="str">
        <f>"00855440010"</f>
        <v>00855440010</v>
      </c>
      <c r="C1547" t="s">
        <v>1892</v>
      </c>
      <c r="D1547" t="s">
        <v>289</v>
      </c>
      <c r="E1547">
        <v>20</v>
      </c>
      <c r="F1547">
        <v>188</v>
      </c>
      <c r="G1547" t="s">
        <v>1893</v>
      </c>
      <c r="H1547">
        <v>12</v>
      </c>
      <c r="I1547" t="s">
        <v>25</v>
      </c>
      <c r="J1547">
        <v>9</v>
      </c>
      <c r="K1547" t="s">
        <v>25</v>
      </c>
      <c r="L1547">
        <v>8</v>
      </c>
      <c r="M1547">
        <v>89025</v>
      </c>
      <c r="N1547">
        <v>3</v>
      </c>
    </row>
    <row r="1548" spans="1:14" x14ac:dyDescent="0.2">
      <c r="A1548" s="3">
        <f t="shared" si="26"/>
        <v>86922</v>
      </c>
      <c r="B1548" t="str">
        <f>"00869220012"</f>
        <v>00869220012</v>
      </c>
      <c r="C1548" t="s">
        <v>1894</v>
      </c>
      <c r="D1548" t="s">
        <v>216</v>
      </c>
      <c r="E1548">
        <v>72</v>
      </c>
      <c r="F1548">
        <v>424</v>
      </c>
      <c r="G1548" t="s">
        <v>1895</v>
      </c>
      <c r="H1548">
        <v>150</v>
      </c>
      <c r="I1548" t="s">
        <v>34</v>
      </c>
      <c r="J1548">
        <v>118</v>
      </c>
      <c r="K1548" t="s">
        <v>34</v>
      </c>
      <c r="L1548">
        <v>9</v>
      </c>
      <c r="M1548">
        <v>75085</v>
      </c>
      <c r="N1548">
        <v>32</v>
      </c>
    </row>
    <row r="1549" spans="1:14" x14ac:dyDescent="0.2">
      <c r="A1549" s="3">
        <f t="shared" si="26"/>
        <v>87096</v>
      </c>
      <c r="B1549" t="str">
        <f>"00870960006"</f>
        <v>00870960006</v>
      </c>
      <c r="C1549" t="s">
        <v>1896</v>
      </c>
      <c r="D1549" t="s">
        <v>23</v>
      </c>
      <c r="E1549">
        <v>62</v>
      </c>
      <c r="F1549">
        <v>3796</v>
      </c>
      <c r="G1549" t="s">
        <v>24</v>
      </c>
      <c r="H1549">
        <v>8</v>
      </c>
      <c r="I1549" t="s">
        <v>25</v>
      </c>
      <c r="J1549">
        <v>6</v>
      </c>
      <c r="K1549" t="s">
        <v>25</v>
      </c>
      <c r="L1549">
        <v>8</v>
      </c>
      <c r="M1549">
        <v>71182</v>
      </c>
      <c r="N1549">
        <v>32</v>
      </c>
    </row>
    <row r="1550" spans="1:14" x14ac:dyDescent="0.2">
      <c r="A1550" s="3">
        <f t="shared" si="26"/>
        <v>87123</v>
      </c>
      <c r="B1550" t="str">
        <f>"00871230012"</f>
        <v>00871230012</v>
      </c>
      <c r="C1550" t="s">
        <v>1897</v>
      </c>
      <c r="D1550" t="s">
        <v>1344</v>
      </c>
      <c r="E1550">
        <v>52</v>
      </c>
      <c r="F1550">
        <v>248</v>
      </c>
      <c r="G1550" t="s">
        <v>1898</v>
      </c>
      <c r="H1550">
        <v>24</v>
      </c>
      <c r="I1550" t="s">
        <v>25</v>
      </c>
      <c r="J1550">
        <v>20</v>
      </c>
      <c r="K1550" t="s">
        <v>25</v>
      </c>
      <c r="L1550">
        <v>9</v>
      </c>
      <c r="M1550">
        <v>75071</v>
      </c>
      <c r="N1550">
        <v>4</v>
      </c>
    </row>
    <row r="1551" spans="1:14" x14ac:dyDescent="0.2">
      <c r="A1551" s="3">
        <f t="shared" si="26"/>
        <v>87125</v>
      </c>
      <c r="B1551" t="str">
        <f>"00871250006"</f>
        <v>00871250006</v>
      </c>
      <c r="C1551" t="s">
        <v>1899</v>
      </c>
      <c r="D1551" t="s">
        <v>216</v>
      </c>
      <c r="E1551">
        <v>61</v>
      </c>
      <c r="F1551">
        <v>565</v>
      </c>
      <c r="G1551" t="s">
        <v>984</v>
      </c>
      <c r="H1551" t="s">
        <v>44</v>
      </c>
      <c r="I1551" t="s">
        <v>45</v>
      </c>
      <c r="J1551" t="s">
        <v>44</v>
      </c>
      <c r="K1551" t="s">
        <v>45</v>
      </c>
      <c r="L1551">
        <v>8</v>
      </c>
      <c r="M1551">
        <v>62012</v>
      </c>
      <c r="N1551" t="s">
        <v>46</v>
      </c>
    </row>
    <row r="1552" spans="1:14" x14ac:dyDescent="0.2">
      <c r="A1552" s="3">
        <f t="shared" si="26"/>
        <v>87191</v>
      </c>
      <c r="B1552" t="str">
        <f>"00871910020"</f>
        <v>00871910020</v>
      </c>
      <c r="C1552" t="s">
        <v>1900</v>
      </c>
      <c r="D1552" t="s">
        <v>216</v>
      </c>
      <c r="E1552">
        <v>70</v>
      </c>
      <c r="F1552">
        <v>2426</v>
      </c>
      <c r="G1552" t="s">
        <v>1901</v>
      </c>
      <c r="H1552">
        <v>113</v>
      </c>
      <c r="I1552" t="s">
        <v>34</v>
      </c>
      <c r="J1552">
        <v>84</v>
      </c>
      <c r="K1552" t="s">
        <v>34</v>
      </c>
      <c r="L1552">
        <v>8</v>
      </c>
      <c r="M1552">
        <v>66270</v>
      </c>
      <c r="N1552">
        <v>29</v>
      </c>
    </row>
    <row r="1553" spans="1:14" x14ac:dyDescent="0.2">
      <c r="A1553" s="3">
        <f t="shared" si="26"/>
        <v>87234</v>
      </c>
      <c r="B1553" t="str">
        <f>"00872340009"</f>
        <v>00872340009</v>
      </c>
      <c r="C1553" t="s">
        <v>1902</v>
      </c>
      <c r="D1553" t="s">
        <v>52</v>
      </c>
      <c r="E1553">
        <v>70</v>
      </c>
      <c r="F1553">
        <v>7511</v>
      </c>
      <c r="G1553" t="s">
        <v>1165</v>
      </c>
      <c r="H1553">
        <v>150</v>
      </c>
      <c r="I1553" t="s">
        <v>34</v>
      </c>
      <c r="J1553">
        <v>118</v>
      </c>
      <c r="K1553" t="s">
        <v>34</v>
      </c>
      <c r="L1553">
        <v>9</v>
      </c>
      <c r="M1553">
        <v>75194</v>
      </c>
      <c r="N1553">
        <v>32</v>
      </c>
    </row>
    <row r="1554" spans="1:14" x14ac:dyDescent="0.2">
      <c r="A1554" s="3">
        <f t="shared" si="26"/>
        <v>87347</v>
      </c>
      <c r="B1554" t="str">
        <f>"00873470010"</f>
        <v>00873470010</v>
      </c>
      <c r="C1554" t="s">
        <v>1903</v>
      </c>
      <c r="D1554" t="s">
        <v>70</v>
      </c>
      <c r="E1554">
        <v>33</v>
      </c>
      <c r="F1554">
        <v>2067</v>
      </c>
      <c r="G1554" t="s">
        <v>1904</v>
      </c>
      <c r="H1554">
        <v>26</v>
      </c>
      <c r="I1554" t="s">
        <v>34</v>
      </c>
      <c r="J1554">
        <v>19</v>
      </c>
      <c r="K1554" t="s">
        <v>34</v>
      </c>
      <c r="L1554">
        <v>9</v>
      </c>
      <c r="M1554">
        <v>85208</v>
      </c>
      <c r="N1554">
        <v>7</v>
      </c>
    </row>
    <row r="1555" spans="1:14" x14ac:dyDescent="0.2">
      <c r="A1555" s="3">
        <f t="shared" si="26"/>
        <v>87612</v>
      </c>
      <c r="B1555" t="str">
        <f>"00876120012"</f>
        <v>00876120012</v>
      </c>
      <c r="C1555" t="s">
        <v>1905</v>
      </c>
      <c r="D1555" t="s">
        <v>418</v>
      </c>
      <c r="E1555">
        <v>44</v>
      </c>
      <c r="F1555">
        <v>1775</v>
      </c>
      <c r="G1555" t="s">
        <v>435</v>
      </c>
      <c r="H1555">
        <v>24</v>
      </c>
      <c r="I1555" t="s">
        <v>25</v>
      </c>
      <c r="J1555">
        <v>20</v>
      </c>
      <c r="K1555" t="s">
        <v>25</v>
      </c>
      <c r="L1555">
        <v>8</v>
      </c>
      <c r="M1555">
        <v>72105</v>
      </c>
      <c r="N1555">
        <v>4</v>
      </c>
    </row>
    <row r="1556" spans="1:14" x14ac:dyDescent="0.2">
      <c r="A1556" s="3">
        <f t="shared" si="26"/>
        <v>87916</v>
      </c>
      <c r="B1556" t="str">
        <f>"00879160042"</f>
        <v>00879160042</v>
      </c>
      <c r="C1556" t="s">
        <v>1906</v>
      </c>
      <c r="D1556" t="s">
        <v>543</v>
      </c>
      <c r="E1556">
        <v>84</v>
      </c>
      <c r="F1556">
        <v>8160</v>
      </c>
      <c r="G1556" t="s">
        <v>1907</v>
      </c>
      <c r="H1556" t="s">
        <v>44</v>
      </c>
      <c r="I1556" t="s">
        <v>45</v>
      </c>
      <c r="J1556" t="s">
        <v>44</v>
      </c>
      <c r="K1556" t="s">
        <v>45</v>
      </c>
      <c r="L1556">
        <v>8</v>
      </c>
      <c r="M1556">
        <v>69056</v>
      </c>
      <c r="N1556" t="s">
        <v>46</v>
      </c>
    </row>
    <row r="1557" spans="1:14" x14ac:dyDescent="0.2">
      <c r="A1557" s="3">
        <f t="shared" si="26"/>
        <v>87992</v>
      </c>
      <c r="B1557" t="str">
        <f>"00879920008"</f>
        <v>00879920008</v>
      </c>
      <c r="C1557" t="s">
        <v>1908</v>
      </c>
      <c r="D1557" t="s">
        <v>52</v>
      </c>
      <c r="E1557">
        <v>32</v>
      </c>
      <c r="F1557">
        <v>1015</v>
      </c>
      <c r="G1557" t="s">
        <v>103</v>
      </c>
      <c r="H1557">
        <v>35</v>
      </c>
      <c r="I1557" t="s">
        <v>34</v>
      </c>
      <c r="J1557">
        <v>27</v>
      </c>
      <c r="K1557" t="s">
        <v>34</v>
      </c>
      <c r="L1557">
        <v>6</v>
      </c>
      <c r="M1557">
        <v>3512</v>
      </c>
      <c r="N1557">
        <v>8</v>
      </c>
    </row>
    <row r="1558" spans="1:14" x14ac:dyDescent="0.2">
      <c r="A1558" s="3">
        <f t="shared" si="26"/>
        <v>88095</v>
      </c>
      <c r="B1558" t="str">
        <f>"00880950012"</f>
        <v>00880950012</v>
      </c>
      <c r="C1558" t="s">
        <v>1909</v>
      </c>
      <c r="D1558" t="s">
        <v>289</v>
      </c>
      <c r="E1558">
        <v>20</v>
      </c>
      <c r="F1558">
        <v>8086</v>
      </c>
      <c r="G1558" t="s">
        <v>290</v>
      </c>
      <c r="H1558">
        <v>12</v>
      </c>
      <c r="I1558" t="s">
        <v>25</v>
      </c>
      <c r="J1558">
        <v>9</v>
      </c>
      <c r="K1558" t="s">
        <v>25</v>
      </c>
      <c r="L1558">
        <v>8</v>
      </c>
      <c r="M1558">
        <v>86066</v>
      </c>
      <c r="N1558">
        <v>3</v>
      </c>
    </row>
    <row r="1559" spans="1:14" x14ac:dyDescent="0.2">
      <c r="A1559" s="3">
        <f t="shared" si="26"/>
        <v>88095</v>
      </c>
      <c r="B1559" t="str">
        <f>"00880950012"</f>
        <v>00880950012</v>
      </c>
      <c r="C1559" t="s">
        <v>1909</v>
      </c>
      <c r="D1559" t="s">
        <v>289</v>
      </c>
      <c r="E1559">
        <v>20</v>
      </c>
      <c r="F1559">
        <v>8130</v>
      </c>
      <c r="G1559" t="s">
        <v>318</v>
      </c>
      <c r="H1559">
        <v>12</v>
      </c>
      <c r="I1559" t="s">
        <v>25</v>
      </c>
      <c r="J1559">
        <v>9</v>
      </c>
      <c r="K1559" t="s">
        <v>25</v>
      </c>
      <c r="L1559">
        <v>8</v>
      </c>
      <c r="M1559">
        <v>86066</v>
      </c>
      <c r="N1559">
        <v>3</v>
      </c>
    </row>
    <row r="1560" spans="1:14" x14ac:dyDescent="0.2">
      <c r="A1560" s="3">
        <f t="shared" si="26"/>
        <v>88225</v>
      </c>
      <c r="B1560" t="str">
        <f>"00882250007"</f>
        <v>00882250007</v>
      </c>
      <c r="C1560" t="s">
        <v>1910</v>
      </c>
      <c r="D1560" t="s">
        <v>70</v>
      </c>
      <c r="E1560">
        <v>33</v>
      </c>
      <c r="F1560">
        <v>836</v>
      </c>
      <c r="G1560" t="s">
        <v>1911</v>
      </c>
      <c r="H1560">
        <v>13</v>
      </c>
      <c r="I1560" t="s">
        <v>34</v>
      </c>
      <c r="J1560">
        <v>9</v>
      </c>
      <c r="K1560" t="s">
        <v>34</v>
      </c>
      <c r="L1560">
        <v>8</v>
      </c>
      <c r="M1560">
        <v>91115</v>
      </c>
      <c r="N1560">
        <v>4</v>
      </c>
    </row>
    <row r="1561" spans="1:14" x14ac:dyDescent="0.2">
      <c r="A1561" s="3">
        <f t="shared" si="26"/>
        <v>88252</v>
      </c>
      <c r="B1561" t="str">
        <f>"00882520006"</f>
        <v>00882520006</v>
      </c>
      <c r="C1561" t="s">
        <v>1912</v>
      </c>
      <c r="D1561" t="s">
        <v>70</v>
      </c>
      <c r="E1561">
        <v>31</v>
      </c>
      <c r="F1561">
        <v>8093</v>
      </c>
      <c r="G1561" t="s">
        <v>1639</v>
      </c>
      <c r="H1561">
        <v>30</v>
      </c>
      <c r="I1561" t="s">
        <v>34</v>
      </c>
      <c r="J1561">
        <v>20</v>
      </c>
      <c r="K1561" t="s">
        <v>34</v>
      </c>
      <c r="L1561">
        <v>9</v>
      </c>
      <c r="M1561">
        <v>85204</v>
      </c>
      <c r="N1561">
        <v>10</v>
      </c>
    </row>
    <row r="1562" spans="1:14" x14ac:dyDescent="0.2">
      <c r="A1562" s="3">
        <f t="shared" si="26"/>
        <v>88282</v>
      </c>
      <c r="B1562" t="str">
        <f>"00882820056"</f>
        <v>00882820056</v>
      </c>
      <c r="C1562" t="s">
        <v>1913</v>
      </c>
      <c r="D1562" t="s">
        <v>622</v>
      </c>
      <c r="E1562">
        <v>71</v>
      </c>
      <c r="F1562">
        <v>919</v>
      </c>
      <c r="G1562" t="s">
        <v>623</v>
      </c>
      <c r="H1562">
        <v>6</v>
      </c>
      <c r="I1562" t="s">
        <v>25</v>
      </c>
      <c r="J1562">
        <v>4</v>
      </c>
      <c r="K1562" t="s">
        <v>25</v>
      </c>
      <c r="L1562">
        <v>8</v>
      </c>
      <c r="M1562">
        <v>74262</v>
      </c>
      <c r="N1562">
        <v>2</v>
      </c>
    </row>
    <row r="1563" spans="1:14" x14ac:dyDescent="0.2">
      <c r="A1563" s="3">
        <f t="shared" si="26"/>
        <v>88436</v>
      </c>
      <c r="B1563" t="str">
        <f>"00884360016"</f>
        <v>00884360016</v>
      </c>
      <c r="C1563" t="s">
        <v>1914</v>
      </c>
      <c r="D1563" t="s">
        <v>622</v>
      </c>
      <c r="E1563">
        <v>82</v>
      </c>
      <c r="F1563">
        <v>1224</v>
      </c>
      <c r="G1563" t="s">
        <v>1014</v>
      </c>
      <c r="H1563" t="s">
        <v>44</v>
      </c>
      <c r="I1563" t="s">
        <v>45</v>
      </c>
      <c r="J1563" t="s">
        <v>44</v>
      </c>
      <c r="K1563" t="s">
        <v>45</v>
      </c>
      <c r="L1563">
        <v>8</v>
      </c>
      <c r="M1563">
        <v>70107</v>
      </c>
      <c r="N1563" t="s">
        <v>46</v>
      </c>
    </row>
    <row r="1564" spans="1:14" x14ac:dyDescent="0.2">
      <c r="A1564" s="3">
        <f t="shared" si="26"/>
        <v>88451</v>
      </c>
      <c r="B1564" t="str">
        <f>"00884510008"</f>
        <v>00884510008</v>
      </c>
      <c r="C1564" t="s">
        <v>1915</v>
      </c>
      <c r="D1564" t="s">
        <v>101</v>
      </c>
      <c r="E1564">
        <v>32</v>
      </c>
      <c r="F1564">
        <v>1015</v>
      </c>
      <c r="G1564" t="s">
        <v>103</v>
      </c>
      <c r="H1564">
        <v>35</v>
      </c>
      <c r="I1564" t="s">
        <v>34</v>
      </c>
      <c r="J1564">
        <v>27</v>
      </c>
      <c r="K1564" t="s">
        <v>34</v>
      </c>
      <c r="L1564">
        <v>8</v>
      </c>
      <c r="M1564">
        <v>82076</v>
      </c>
      <c r="N1564">
        <v>8</v>
      </c>
    </row>
    <row r="1565" spans="1:14" x14ac:dyDescent="0.2">
      <c r="A1565" s="3">
        <f t="shared" si="26"/>
        <v>89686</v>
      </c>
      <c r="B1565" t="str">
        <f>"00896860006"</f>
        <v>00896860006</v>
      </c>
      <c r="C1565" t="s">
        <v>1916</v>
      </c>
      <c r="D1565" t="s">
        <v>115</v>
      </c>
      <c r="E1565">
        <v>52</v>
      </c>
      <c r="F1565">
        <v>195</v>
      </c>
      <c r="G1565" t="s">
        <v>545</v>
      </c>
      <c r="H1565">
        <v>120</v>
      </c>
      <c r="I1565" t="s">
        <v>34</v>
      </c>
      <c r="J1565">
        <v>88</v>
      </c>
      <c r="K1565" t="s">
        <v>34</v>
      </c>
      <c r="L1565">
        <v>8</v>
      </c>
      <c r="M1565">
        <v>65076</v>
      </c>
      <c r="N1565">
        <v>32</v>
      </c>
    </row>
    <row r="1566" spans="1:14" x14ac:dyDescent="0.2">
      <c r="A1566" s="3">
        <f t="shared" si="26"/>
        <v>89901</v>
      </c>
      <c r="B1566" t="str">
        <f>"00899010033"</f>
        <v>00899010033</v>
      </c>
      <c r="C1566" t="s">
        <v>1917</v>
      </c>
      <c r="D1566" t="s">
        <v>622</v>
      </c>
      <c r="E1566">
        <v>71</v>
      </c>
      <c r="F1566">
        <v>1095</v>
      </c>
      <c r="G1566" t="s">
        <v>633</v>
      </c>
      <c r="H1566">
        <v>10</v>
      </c>
      <c r="I1566" t="s">
        <v>25</v>
      </c>
      <c r="J1566">
        <v>7</v>
      </c>
      <c r="K1566" t="s">
        <v>25</v>
      </c>
      <c r="L1566">
        <v>8</v>
      </c>
      <c r="M1566">
        <v>74237</v>
      </c>
      <c r="N1566">
        <v>3</v>
      </c>
    </row>
    <row r="1567" spans="1:14" x14ac:dyDescent="0.2">
      <c r="A1567" s="3">
        <f t="shared" si="26"/>
        <v>89960</v>
      </c>
      <c r="B1567" t="str">
        <f>"00899600010"</f>
        <v>00899600010</v>
      </c>
      <c r="C1567" t="s">
        <v>1918</v>
      </c>
      <c r="D1567" t="s">
        <v>320</v>
      </c>
      <c r="E1567">
        <v>20</v>
      </c>
      <c r="F1567">
        <v>8086</v>
      </c>
      <c r="G1567" t="s">
        <v>290</v>
      </c>
      <c r="H1567">
        <v>12</v>
      </c>
      <c r="I1567" t="s">
        <v>25</v>
      </c>
      <c r="J1567">
        <v>9</v>
      </c>
      <c r="K1567" t="s">
        <v>25</v>
      </c>
      <c r="L1567">
        <v>9</v>
      </c>
      <c r="M1567">
        <v>88034</v>
      </c>
      <c r="N1567">
        <v>3</v>
      </c>
    </row>
    <row r="1568" spans="1:14" x14ac:dyDescent="0.2">
      <c r="A1568" s="3">
        <f t="shared" si="26"/>
        <v>89960</v>
      </c>
      <c r="B1568" t="str">
        <f>"00899600010"</f>
        <v>00899600010</v>
      </c>
      <c r="C1568" t="s">
        <v>1918</v>
      </c>
      <c r="D1568" t="s">
        <v>320</v>
      </c>
      <c r="E1568">
        <v>20</v>
      </c>
      <c r="F1568">
        <v>1281</v>
      </c>
      <c r="G1568" t="s">
        <v>182</v>
      </c>
      <c r="H1568">
        <v>12</v>
      </c>
      <c r="I1568" t="s">
        <v>25</v>
      </c>
      <c r="J1568">
        <v>9</v>
      </c>
      <c r="K1568" t="s">
        <v>25</v>
      </c>
      <c r="L1568">
        <v>9</v>
      </c>
      <c r="M1568">
        <v>88034</v>
      </c>
      <c r="N1568">
        <v>3</v>
      </c>
    </row>
    <row r="1569" spans="1:14" x14ac:dyDescent="0.2">
      <c r="A1569" s="3">
        <f t="shared" si="26"/>
        <v>90018</v>
      </c>
      <c r="B1569" t="str">
        <f>"00900180011"</f>
        <v>00900180011</v>
      </c>
      <c r="C1569" t="s">
        <v>1919</v>
      </c>
      <c r="D1569" t="s">
        <v>23</v>
      </c>
      <c r="E1569">
        <v>47</v>
      </c>
      <c r="F1569">
        <v>4616</v>
      </c>
      <c r="G1569" t="s">
        <v>449</v>
      </c>
      <c r="H1569">
        <v>20</v>
      </c>
      <c r="I1569" t="s">
        <v>25</v>
      </c>
      <c r="J1569">
        <v>16</v>
      </c>
      <c r="K1569" t="s">
        <v>25</v>
      </c>
      <c r="L1569">
        <v>8</v>
      </c>
      <c r="M1569">
        <v>67058</v>
      </c>
      <c r="N1569">
        <v>4</v>
      </c>
    </row>
    <row r="1570" spans="1:14" x14ac:dyDescent="0.2">
      <c r="A1570" s="3">
        <f t="shared" si="26"/>
        <v>90166</v>
      </c>
      <c r="B1570" t="str">
        <f>"00901660012"</f>
        <v>00901660012</v>
      </c>
      <c r="C1570" t="s">
        <v>1920</v>
      </c>
      <c r="D1570" t="s">
        <v>543</v>
      </c>
      <c r="E1570">
        <v>85</v>
      </c>
      <c r="F1570">
        <v>852</v>
      </c>
      <c r="G1570" t="s">
        <v>1921</v>
      </c>
      <c r="H1570" t="s">
        <v>44</v>
      </c>
      <c r="I1570" t="s">
        <v>45</v>
      </c>
      <c r="J1570" t="s">
        <v>44</v>
      </c>
      <c r="K1570" t="s">
        <v>45</v>
      </c>
      <c r="L1570">
        <v>8</v>
      </c>
      <c r="M1570">
        <v>73023</v>
      </c>
      <c r="N1570" t="s">
        <v>46</v>
      </c>
    </row>
    <row r="1571" spans="1:14" x14ac:dyDescent="0.2">
      <c r="A1571" s="3">
        <f t="shared" si="26"/>
        <v>90291</v>
      </c>
      <c r="B1571" t="str">
        <f>"00902910006"</f>
        <v>00902910006</v>
      </c>
      <c r="C1571" t="s">
        <v>1922</v>
      </c>
      <c r="D1571" t="s">
        <v>386</v>
      </c>
      <c r="E1571">
        <v>60</v>
      </c>
      <c r="F1571">
        <v>346</v>
      </c>
      <c r="G1571" t="s">
        <v>1923</v>
      </c>
      <c r="H1571" t="s">
        <v>44</v>
      </c>
      <c r="I1571" t="s">
        <v>45</v>
      </c>
      <c r="J1571" t="s">
        <v>44</v>
      </c>
      <c r="K1571" t="s">
        <v>45</v>
      </c>
      <c r="L1571">
        <v>8</v>
      </c>
      <c r="M1571">
        <v>61100</v>
      </c>
      <c r="N1571" t="s">
        <v>46</v>
      </c>
    </row>
    <row r="1572" spans="1:14" x14ac:dyDescent="0.2">
      <c r="A1572" s="3">
        <f t="shared" si="26"/>
        <v>90481</v>
      </c>
      <c r="B1572" t="str">
        <f>"00904810006"</f>
        <v>00904810006</v>
      </c>
      <c r="C1572" t="s">
        <v>1924</v>
      </c>
      <c r="D1572" t="s">
        <v>421</v>
      </c>
      <c r="E1572">
        <v>52</v>
      </c>
      <c r="F1572">
        <v>1205</v>
      </c>
      <c r="G1572" t="s">
        <v>325</v>
      </c>
      <c r="H1572">
        <v>6</v>
      </c>
      <c r="I1572" t="s">
        <v>25</v>
      </c>
      <c r="J1572">
        <v>4</v>
      </c>
      <c r="K1572" t="s">
        <v>25</v>
      </c>
      <c r="L1572">
        <v>7</v>
      </c>
      <c r="M1572">
        <v>62237</v>
      </c>
      <c r="N1572">
        <v>2</v>
      </c>
    </row>
    <row r="1573" spans="1:14" x14ac:dyDescent="0.2">
      <c r="A1573" s="3">
        <f t="shared" si="26"/>
        <v>90560</v>
      </c>
      <c r="B1573" t="str">
        <f>"00905600024"</f>
        <v>00905600024</v>
      </c>
      <c r="C1573" t="s">
        <v>1925</v>
      </c>
      <c r="D1573" t="s">
        <v>543</v>
      </c>
      <c r="E1573">
        <v>83</v>
      </c>
      <c r="F1573">
        <v>3558</v>
      </c>
      <c r="G1573" t="s">
        <v>1926</v>
      </c>
      <c r="H1573">
        <v>20</v>
      </c>
      <c r="I1573" t="s">
        <v>25</v>
      </c>
      <c r="J1573">
        <v>16</v>
      </c>
      <c r="K1573" t="s">
        <v>25</v>
      </c>
      <c r="L1573">
        <v>8</v>
      </c>
      <c r="M1573">
        <v>69019</v>
      </c>
      <c r="N1573">
        <v>4</v>
      </c>
    </row>
    <row r="1574" spans="1:14" x14ac:dyDescent="0.2">
      <c r="A1574" s="3">
        <f t="shared" si="26"/>
        <v>90903</v>
      </c>
      <c r="B1574" t="str">
        <f>"00909030020"</f>
        <v>00909030020</v>
      </c>
      <c r="C1574" t="s">
        <v>1927</v>
      </c>
      <c r="D1574" t="s">
        <v>42</v>
      </c>
      <c r="E1574">
        <v>84</v>
      </c>
      <c r="F1574">
        <v>334</v>
      </c>
      <c r="G1574" t="s">
        <v>1928</v>
      </c>
      <c r="H1574" t="s">
        <v>44</v>
      </c>
      <c r="I1574" t="s">
        <v>45</v>
      </c>
      <c r="J1574" t="s">
        <v>44</v>
      </c>
      <c r="K1574" t="s">
        <v>45</v>
      </c>
      <c r="L1574">
        <v>9</v>
      </c>
      <c r="M1574">
        <v>70047</v>
      </c>
      <c r="N1574" t="s">
        <v>46</v>
      </c>
    </row>
    <row r="1575" spans="1:14" x14ac:dyDescent="0.2">
      <c r="A1575" s="3">
        <f t="shared" si="26"/>
        <v>91138</v>
      </c>
      <c r="B1575" t="str">
        <f>"00911380012"</f>
        <v>00911380012</v>
      </c>
      <c r="C1575" t="s">
        <v>1929</v>
      </c>
      <c r="D1575" t="s">
        <v>52</v>
      </c>
      <c r="E1575">
        <v>83</v>
      </c>
      <c r="F1575">
        <v>1224</v>
      </c>
      <c r="G1575" t="s">
        <v>1014</v>
      </c>
      <c r="H1575" t="s">
        <v>44</v>
      </c>
      <c r="I1575" t="s">
        <v>45</v>
      </c>
      <c r="J1575" t="s">
        <v>44</v>
      </c>
      <c r="K1575" t="s">
        <v>45</v>
      </c>
      <c r="L1575">
        <v>5</v>
      </c>
      <c r="M1575" t="s">
        <v>65</v>
      </c>
      <c r="N1575" t="s">
        <v>46</v>
      </c>
    </row>
    <row r="1576" spans="1:14" x14ac:dyDescent="0.2">
      <c r="A1576" s="3">
        <f t="shared" si="26"/>
        <v>91232</v>
      </c>
      <c r="B1576" t="str">
        <f>"00912320032"</f>
        <v>00912320032</v>
      </c>
      <c r="C1576" t="s">
        <v>1930</v>
      </c>
      <c r="D1576" t="s">
        <v>622</v>
      </c>
      <c r="E1576">
        <v>71</v>
      </c>
      <c r="F1576">
        <v>1095</v>
      </c>
      <c r="G1576" t="s">
        <v>633</v>
      </c>
      <c r="H1576">
        <v>9</v>
      </c>
      <c r="I1576" t="s">
        <v>25</v>
      </c>
      <c r="J1576">
        <v>7</v>
      </c>
      <c r="K1576" t="s">
        <v>25</v>
      </c>
      <c r="L1576">
        <v>8</v>
      </c>
      <c r="M1576">
        <v>74232</v>
      </c>
      <c r="N1576">
        <v>2</v>
      </c>
    </row>
    <row r="1577" spans="1:14" x14ac:dyDescent="0.2">
      <c r="A1577" s="3">
        <f t="shared" si="26"/>
        <v>91448</v>
      </c>
      <c r="B1577" t="str">
        <f>"00914480012"</f>
        <v>00914480012</v>
      </c>
      <c r="C1577" t="s">
        <v>1931</v>
      </c>
      <c r="D1577" t="s">
        <v>543</v>
      </c>
      <c r="E1577">
        <v>44</v>
      </c>
      <c r="F1577">
        <v>259</v>
      </c>
      <c r="G1577" t="s">
        <v>1504</v>
      </c>
      <c r="H1577">
        <v>11</v>
      </c>
      <c r="I1577" t="s">
        <v>25</v>
      </c>
      <c r="J1577">
        <v>8</v>
      </c>
      <c r="K1577" t="s">
        <v>25</v>
      </c>
      <c r="L1577">
        <v>8</v>
      </c>
      <c r="M1577">
        <v>65237</v>
      </c>
      <c r="N1577">
        <v>3</v>
      </c>
    </row>
    <row r="1578" spans="1:14" x14ac:dyDescent="0.2">
      <c r="A1578" s="3">
        <f t="shared" si="26"/>
        <v>91919</v>
      </c>
      <c r="B1578" t="str">
        <f>"00919190019"</f>
        <v>00919190019</v>
      </c>
      <c r="C1578" t="s">
        <v>1932</v>
      </c>
      <c r="D1578" t="s">
        <v>604</v>
      </c>
      <c r="E1578">
        <v>84</v>
      </c>
      <c r="F1578">
        <v>3640</v>
      </c>
      <c r="G1578" t="s">
        <v>1035</v>
      </c>
      <c r="H1578" t="s">
        <v>44</v>
      </c>
      <c r="I1578" t="s">
        <v>45</v>
      </c>
      <c r="J1578" t="s">
        <v>44</v>
      </c>
      <c r="K1578" t="s">
        <v>45</v>
      </c>
      <c r="L1578">
        <v>8</v>
      </c>
      <c r="M1578">
        <v>70036</v>
      </c>
      <c r="N1578" t="s">
        <v>46</v>
      </c>
    </row>
    <row r="1579" spans="1:14" x14ac:dyDescent="0.2">
      <c r="A1579" s="3">
        <f t="shared" si="26"/>
        <v>91976</v>
      </c>
      <c r="B1579" t="str">
        <f>"00919760016"</f>
        <v>00919760016</v>
      </c>
      <c r="C1579" t="s">
        <v>1933</v>
      </c>
      <c r="D1579" t="s">
        <v>622</v>
      </c>
      <c r="E1579">
        <v>82</v>
      </c>
      <c r="F1579">
        <v>1224</v>
      </c>
      <c r="G1579" t="s">
        <v>1014</v>
      </c>
      <c r="H1579" t="s">
        <v>44</v>
      </c>
      <c r="I1579" t="s">
        <v>45</v>
      </c>
      <c r="J1579" t="s">
        <v>44</v>
      </c>
      <c r="K1579" t="s">
        <v>45</v>
      </c>
      <c r="L1579">
        <v>8</v>
      </c>
      <c r="M1579">
        <v>70215</v>
      </c>
      <c r="N1579" t="s">
        <v>46</v>
      </c>
    </row>
    <row r="1580" spans="1:14" x14ac:dyDescent="0.2">
      <c r="A1580" s="3">
        <f t="shared" si="26"/>
        <v>92387</v>
      </c>
      <c r="B1580" t="str">
        <f>"00923870003"</f>
        <v>00923870003</v>
      </c>
      <c r="C1580" t="s">
        <v>1934</v>
      </c>
      <c r="D1580" t="s">
        <v>67</v>
      </c>
      <c r="E1580">
        <v>31</v>
      </c>
      <c r="F1580">
        <v>4937</v>
      </c>
      <c r="G1580" t="s">
        <v>68</v>
      </c>
      <c r="H1580">
        <v>21</v>
      </c>
      <c r="I1580" t="s">
        <v>34</v>
      </c>
      <c r="J1580">
        <v>15</v>
      </c>
      <c r="K1580" t="s">
        <v>34</v>
      </c>
      <c r="L1580">
        <v>8</v>
      </c>
      <c r="M1580">
        <v>80069</v>
      </c>
      <c r="N1580">
        <v>6</v>
      </c>
    </row>
    <row r="1581" spans="1:14" x14ac:dyDescent="0.2">
      <c r="A1581" s="3">
        <f t="shared" si="26"/>
        <v>92393</v>
      </c>
      <c r="B1581" t="str">
        <f>"00923930004"</f>
        <v>00923930004</v>
      </c>
      <c r="C1581" t="s">
        <v>1935</v>
      </c>
      <c r="D1581" t="s">
        <v>67</v>
      </c>
      <c r="E1581">
        <v>31</v>
      </c>
      <c r="F1581">
        <v>4937</v>
      </c>
      <c r="G1581" t="s">
        <v>68</v>
      </c>
      <c r="H1581">
        <v>20</v>
      </c>
      <c r="I1581" t="s">
        <v>34</v>
      </c>
      <c r="J1581">
        <v>14</v>
      </c>
      <c r="K1581" t="s">
        <v>34</v>
      </c>
      <c r="L1581">
        <v>8</v>
      </c>
      <c r="M1581">
        <v>80083</v>
      </c>
      <c r="N1581">
        <v>6</v>
      </c>
    </row>
    <row r="1582" spans="1:14" x14ac:dyDescent="0.2">
      <c r="A1582" s="3">
        <f t="shared" si="26"/>
        <v>92394</v>
      </c>
      <c r="B1582" t="str">
        <f>"00923940004"</f>
        <v>00923940004</v>
      </c>
      <c r="C1582" t="s">
        <v>1936</v>
      </c>
      <c r="D1582" t="s">
        <v>32</v>
      </c>
      <c r="E1582">
        <v>31</v>
      </c>
      <c r="F1582">
        <v>4248</v>
      </c>
      <c r="G1582" t="s">
        <v>96</v>
      </c>
      <c r="H1582">
        <v>20</v>
      </c>
      <c r="I1582" t="s">
        <v>34</v>
      </c>
      <c r="J1582">
        <v>14</v>
      </c>
      <c r="K1582" t="s">
        <v>34</v>
      </c>
      <c r="L1582">
        <v>8</v>
      </c>
      <c r="M1582">
        <v>80039</v>
      </c>
      <c r="N1582">
        <v>6</v>
      </c>
    </row>
    <row r="1583" spans="1:14" x14ac:dyDescent="0.2">
      <c r="A1583" s="3">
        <f t="shared" si="26"/>
        <v>92483</v>
      </c>
      <c r="B1583" t="str">
        <f>"00924830004"</f>
        <v>00924830004</v>
      </c>
      <c r="C1583" t="s">
        <v>1937</v>
      </c>
      <c r="D1583" t="s">
        <v>32</v>
      </c>
      <c r="E1583">
        <v>31</v>
      </c>
      <c r="F1583">
        <v>4248</v>
      </c>
      <c r="G1583" t="s">
        <v>96</v>
      </c>
      <c r="H1583">
        <v>22</v>
      </c>
      <c r="I1583" t="s">
        <v>34</v>
      </c>
      <c r="J1583">
        <v>16</v>
      </c>
      <c r="K1583" t="s">
        <v>34</v>
      </c>
      <c r="L1583">
        <v>8</v>
      </c>
      <c r="M1583">
        <v>80065</v>
      </c>
      <c r="N1583">
        <v>6</v>
      </c>
    </row>
    <row r="1584" spans="1:14" x14ac:dyDescent="0.2">
      <c r="A1584" s="3">
        <f t="shared" si="26"/>
        <v>92543</v>
      </c>
      <c r="B1584" t="str">
        <f>"00925430004"</f>
        <v>00925430004</v>
      </c>
      <c r="C1584" t="s">
        <v>1938</v>
      </c>
      <c r="D1584" t="s">
        <v>70</v>
      </c>
      <c r="E1584">
        <v>31</v>
      </c>
      <c r="F1584">
        <v>2070</v>
      </c>
      <c r="G1584" t="s">
        <v>88</v>
      </c>
      <c r="H1584">
        <v>22</v>
      </c>
      <c r="I1584" t="s">
        <v>34</v>
      </c>
      <c r="J1584">
        <v>16</v>
      </c>
      <c r="K1584" t="s">
        <v>34</v>
      </c>
      <c r="L1584">
        <v>8</v>
      </c>
      <c r="M1584">
        <v>80128</v>
      </c>
      <c r="N1584">
        <v>6</v>
      </c>
    </row>
    <row r="1585" spans="1:14" x14ac:dyDescent="0.2">
      <c r="A1585" s="3">
        <f t="shared" si="26"/>
        <v>92566</v>
      </c>
      <c r="B1585" t="str">
        <f>"00925660004"</f>
        <v>00925660004</v>
      </c>
      <c r="C1585" t="s">
        <v>1939</v>
      </c>
      <c r="D1585" t="s">
        <v>32</v>
      </c>
      <c r="E1585">
        <v>31</v>
      </c>
      <c r="F1585">
        <v>4248</v>
      </c>
      <c r="G1585" t="s">
        <v>96</v>
      </c>
      <c r="H1585">
        <v>22</v>
      </c>
      <c r="I1585" t="s">
        <v>34</v>
      </c>
      <c r="J1585">
        <v>16</v>
      </c>
      <c r="K1585" t="s">
        <v>34</v>
      </c>
      <c r="L1585">
        <v>8</v>
      </c>
      <c r="M1585">
        <v>80047</v>
      </c>
      <c r="N1585">
        <v>6</v>
      </c>
    </row>
    <row r="1586" spans="1:14" x14ac:dyDescent="0.2">
      <c r="A1586" s="3">
        <f t="shared" si="26"/>
        <v>92621</v>
      </c>
      <c r="B1586" t="str">
        <f>"00926210008"</f>
        <v>00926210008</v>
      </c>
      <c r="C1586" t="s">
        <v>1940</v>
      </c>
      <c r="D1586" t="s">
        <v>289</v>
      </c>
      <c r="E1586">
        <v>20</v>
      </c>
      <c r="F1586">
        <v>2802</v>
      </c>
      <c r="G1586" t="s">
        <v>1941</v>
      </c>
      <c r="H1586">
        <v>13</v>
      </c>
      <c r="I1586" t="s">
        <v>25</v>
      </c>
      <c r="J1586">
        <v>10</v>
      </c>
      <c r="K1586" t="s">
        <v>25</v>
      </c>
      <c r="L1586">
        <v>8</v>
      </c>
      <c r="M1586">
        <v>89043</v>
      </c>
      <c r="N1586">
        <v>3</v>
      </c>
    </row>
    <row r="1587" spans="1:14" x14ac:dyDescent="0.2">
      <c r="A1587" s="3">
        <f t="shared" si="26"/>
        <v>92621</v>
      </c>
      <c r="B1587" t="str">
        <f>"00926210008"</f>
        <v>00926210008</v>
      </c>
      <c r="C1587" t="s">
        <v>1940</v>
      </c>
      <c r="D1587" t="s">
        <v>289</v>
      </c>
      <c r="E1587">
        <v>20</v>
      </c>
      <c r="F1587">
        <v>8086</v>
      </c>
      <c r="G1587" t="s">
        <v>290</v>
      </c>
      <c r="H1587">
        <v>13</v>
      </c>
      <c r="I1587" t="s">
        <v>25</v>
      </c>
      <c r="J1587">
        <v>10</v>
      </c>
      <c r="K1587" t="s">
        <v>25</v>
      </c>
      <c r="L1587">
        <v>8</v>
      </c>
      <c r="M1587">
        <v>89043</v>
      </c>
      <c r="N1587">
        <v>3</v>
      </c>
    </row>
    <row r="1588" spans="1:14" x14ac:dyDescent="0.2">
      <c r="A1588" s="3">
        <f t="shared" si="26"/>
        <v>92778</v>
      </c>
      <c r="B1588" t="str">
        <f>"00927780008"</f>
        <v>00927780008</v>
      </c>
      <c r="C1588" t="s">
        <v>1942</v>
      </c>
      <c r="D1588" t="s">
        <v>320</v>
      </c>
      <c r="E1588">
        <v>74</v>
      </c>
      <c r="F1588">
        <v>8086</v>
      </c>
      <c r="G1588" t="s">
        <v>290</v>
      </c>
      <c r="H1588">
        <v>6</v>
      </c>
      <c r="I1588" t="s">
        <v>25</v>
      </c>
      <c r="J1588">
        <v>4</v>
      </c>
      <c r="K1588" t="s">
        <v>25</v>
      </c>
      <c r="L1588">
        <v>8</v>
      </c>
      <c r="M1588">
        <v>86017</v>
      </c>
      <c r="N1588">
        <v>1</v>
      </c>
    </row>
    <row r="1589" spans="1:14" x14ac:dyDescent="0.2">
      <c r="A1589" s="3">
        <f t="shared" si="26"/>
        <v>92778</v>
      </c>
      <c r="B1589" t="str">
        <f>"00927780008"</f>
        <v>00927780008</v>
      </c>
      <c r="C1589" t="s">
        <v>1942</v>
      </c>
      <c r="D1589" t="s">
        <v>320</v>
      </c>
      <c r="E1589">
        <v>74</v>
      </c>
      <c r="F1589">
        <v>3817</v>
      </c>
      <c r="G1589" t="s">
        <v>1558</v>
      </c>
      <c r="H1589">
        <v>6</v>
      </c>
      <c r="I1589" t="s">
        <v>25</v>
      </c>
      <c r="J1589">
        <v>4</v>
      </c>
      <c r="K1589" t="s">
        <v>25</v>
      </c>
      <c r="L1589">
        <v>8</v>
      </c>
      <c r="M1589">
        <v>86017</v>
      </c>
      <c r="N1589">
        <v>1</v>
      </c>
    </row>
    <row r="1590" spans="1:14" x14ac:dyDescent="0.2">
      <c r="A1590" s="3">
        <f t="shared" si="26"/>
        <v>92779</v>
      </c>
      <c r="B1590" t="str">
        <f>"00927790008"</f>
        <v>00927790008</v>
      </c>
      <c r="C1590" t="s">
        <v>1943</v>
      </c>
      <c r="D1590" t="s">
        <v>324</v>
      </c>
      <c r="E1590">
        <v>74</v>
      </c>
      <c r="F1590">
        <v>8086</v>
      </c>
      <c r="G1590" t="s">
        <v>290</v>
      </c>
      <c r="H1590">
        <v>120</v>
      </c>
      <c r="I1590" t="s">
        <v>34</v>
      </c>
      <c r="J1590">
        <v>88</v>
      </c>
      <c r="K1590" t="s">
        <v>34</v>
      </c>
      <c r="L1590">
        <v>8</v>
      </c>
      <c r="M1590">
        <v>86024</v>
      </c>
      <c r="N1590">
        <v>1</v>
      </c>
    </row>
    <row r="1591" spans="1:14" x14ac:dyDescent="0.2">
      <c r="A1591" s="3">
        <f t="shared" si="26"/>
        <v>92779</v>
      </c>
      <c r="B1591" t="str">
        <f>"00927790008"</f>
        <v>00927790008</v>
      </c>
      <c r="C1591" t="s">
        <v>1943</v>
      </c>
      <c r="D1591" t="s">
        <v>324</v>
      </c>
      <c r="E1591">
        <v>74</v>
      </c>
      <c r="F1591">
        <v>829</v>
      </c>
      <c r="G1591" t="s">
        <v>1944</v>
      </c>
      <c r="H1591">
        <v>120</v>
      </c>
      <c r="I1591" t="s">
        <v>34</v>
      </c>
      <c r="J1591">
        <v>88</v>
      </c>
      <c r="K1591" t="s">
        <v>34</v>
      </c>
      <c r="L1591">
        <v>8</v>
      </c>
      <c r="M1591">
        <v>86024</v>
      </c>
      <c r="N1591">
        <v>1</v>
      </c>
    </row>
    <row r="1592" spans="1:14" x14ac:dyDescent="0.2">
      <c r="A1592" s="3">
        <f t="shared" si="26"/>
        <v>92785</v>
      </c>
      <c r="B1592" t="str">
        <f>"00927850084"</f>
        <v>00927850084</v>
      </c>
      <c r="C1592" t="s">
        <v>1945</v>
      </c>
      <c r="D1592" t="s">
        <v>324</v>
      </c>
      <c r="E1592">
        <v>74</v>
      </c>
      <c r="F1592">
        <v>8086</v>
      </c>
      <c r="G1592" t="s">
        <v>290</v>
      </c>
      <c r="H1592">
        <v>120</v>
      </c>
      <c r="I1592" t="s">
        <v>34</v>
      </c>
      <c r="J1592">
        <v>88</v>
      </c>
      <c r="K1592" t="s">
        <v>34</v>
      </c>
      <c r="L1592">
        <v>8</v>
      </c>
      <c r="M1592">
        <v>86033</v>
      </c>
      <c r="N1592">
        <v>1</v>
      </c>
    </row>
    <row r="1593" spans="1:14" x14ac:dyDescent="0.2">
      <c r="A1593" s="3">
        <f t="shared" si="26"/>
        <v>92785</v>
      </c>
      <c r="B1593" t="str">
        <f>"00927850084"</f>
        <v>00927850084</v>
      </c>
      <c r="C1593" t="s">
        <v>1945</v>
      </c>
      <c r="D1593" t="s">
        <v>324</v>
      </c>
      <c r="E1593">
        <v>74</v>
      </c>
      <c r="F1593">
        <v>829</v>
      </c>
      <c r="G1593" t="s">
        <v>1944</v>
      </c>
      <c r="H1593">
        <v>120</v>
      </c>
      <c r="I1593" t="s">
        <v>34</v>
      </c>
      <c r="J1593">
        <v>88</v>
      </c>
      <c r="K1593" t="s">
        <v>34</v>
      </c>
      <c r="L1593">
        <v>8</v>
      </c>
      <c r="M1593">
        <v>86033</v>
      </c>
      <c r="N1593">
        <v>1</v>
      </c>
    </row>
    <row r="1594" spans="1:14" x14ac:dyDescent="0.2">
      <c r="A1594" s="3">
        <f t="shared" si="26"/>
        <v>92813</v>
      </c>
      <c r="B1594" t="str">
        <f>"00928130008"</f>
        <v>00928130008</v>
      </c>
      <c r="C1594" t="s">
        <v>1946</v>
      </c>
      <c r="D1594" t="s">
        <v>32</v>
      </c>
      <c r="E1594">
        <v>31</v>
      </c>
      <c r="F1594">
        <v>4248</v>
      </c>
      <c r="G1594" t="s">
        <v>96</v>
      </c>
      <c r="H1594">
        <v>19</v>
      </c>
      <c r="I1594" t="s">
        <v>34</v>
      </c>
      <c r="J1594">
        <v>14</v>
      </c>
      <c r="K1594" t="s">
        <v>34</v>
      </c>
      <c r="L1594">
        <v>8</v>
      </c>
      <c r="M1594">
        <v>80248</v>
      </c>
      <c r="N1594">
        <v>5</v>
      </c>
    </row>
    <row r="1595" spans="1:14" x14ac:dyDescent="0.2">
      <c r="A1595" s="3">
        <f t="shared" si="26"/>
        <v>92814</v>
      </c>
      <c r="B1595" t="str">
        <f>"00928140006"</f>
        <v>00928140006</v>
      </c>
      <c r="C1595" t="s">
        <v>1947</v>
      </c>
      <c r="D1595" t="s">
        <v>48</v>
      </c>
      <c r="E1595">
        <v>31</v>
      </c>
      <c r="F1595">
        <v>2174</v>
      </c>
      <c r="G1595" t="s">
        <v>85</v>
      </c>
      <c r="H1595">
        <v>17</v>
      </c>
      <c r="I1595" t="s">
        <v>34</v>
      </c>
      <c r="J1595">
        <v>11</v>
      </c>
      <c r="K1595" t="s">
        <v>34</v>
      </c>
      <c r="L1595">
        <v>8</v>
      </c>
      <c r="M1595">
        <v>80160</v>
      </c>
      <c r="N1595">
        <v>6</v>
      </c>
    </row>
    <row r="1596" spans="1:14" x14ac:dyDescent="0.2">
      <c r="A1596" s="3">
        <f t="shared" si="26"/>
        <v>92815</v>
      </c>
      <c r="B1596" t="str">
        <f>"00928150003"</f>
        <v>00928150003</v>
      </c>
      <c r="C1596" t="s">
        <v>1948</v>
      </c>
      <c r="D1596" t="s">
        <v>604</v>
      </c>
      <c r="E1596">
        <v>84</v>
      </c>
      <c r="F1596">
        <v>937</v>
      </c>
      <c r="G1596" t="s">
        <v>1949</v>
      </c>
      <c r="H1596" t="s">
        <v>44</v>
      </c>
      <c r="I1596" t="s">
        <v>45</v>
      </c>
      <c r="J1596" t="s">
        <v>44</v>
      </c>
      <c r="K1596" t="s">
        <v>45</v>
      </c>
      <c r="L1596">
        <v>8</v>
      </c>
      <c r="M1596">
        <v>71017</v>
      </c>
      <c r="N1596" t="s">
        <v>46</v>
      </c>
    </row>
    <row r="1597" spans="1:14" x14ac:dyDescent="0.2">
      <c r="A1597" s="3">
        <f t="shared" si="26"/>
        <v>92820</v>
      </c>
      <c r="B1597" t="str">
        <f>"00928200024"</f>
        <v>00928200024</v>
      </c>
      <c r="C1597" t="s">
        <v>1950</v>
      </c>
      <c r="D1597" t="s">
        <v>42</v>
      </c>
      <c r="E1597">
        <v>70</v>
      </c>
      <c r="F1597">
        <v>3903</v>
      </c>
      <c r="G1597" t="s">
        <v>611</v>
      </c>
      <c r="H1597">
        <v>98</v>
      </c>
      <c r="I1597" t="s">
        <v>34</v>
      </c>
      <c r="J1597">
        <v>74</v>
      </c>
      <c r="K1597" t="s">
        <v>34</v>
      </c>
      <c r="L1597">
        <v>8</v>
      </c>
      <c r="M1597">
        <v>66259</v>
      </c>
      <c r="N1597">
        <v>32</v>
      </c>
    </row>
    <row r="1598" spans="1:14" x14ac:dyDescent="0.2">
      <c r="A1598" s="3">
        <f t="shared" si="26"/>
        <v>92822</v>
      </c>
      <c r="B1598" t="str">
        <f>"00928220024"</f>
        <v>00928220024</v>
      </c>
      <c r="C1598" t="s">
        <v>1951</v>
      </c>
      <c r="D1598" t="s">
        <v>421</v>
      </c>
      <c r="E1598">
        <v>50</v>
      </c>
      <c r="F1598">
        <v>1205</v>
      </c>
      <c r="G1598" t="s">
        <v>325</v>
      </c>
      <c r="H1598">
        <v>24</v>
      </c>
      <c r="I1598" t="s">
        <v>25</v>
      </c>
      <c r="J1598">
        <v>20</v>
      </c>
      <c r="K1598" t="s">
        <v>25</v>
      </c>
      <c r="L1598">
        <v>8</v>
      </c>
      <c r="M1598">
        <v>65160</v>
      </c>
      <c r="N1598">
        <v>4</v>
      </c>
    </row>
    <row r="1599" spans="1:14" x14ac:dyDescent="0.2">
      <c r="A1599" s="3">
        <f t="shared" si="26"/>
        <v>92853</v>
      </c>
      <c r="B1599" t="str">
        <f>"00928530013"</f>
        <v>00928530013</v>
      </c>
      <c r="C1599" t="s">
        <v>1952</v>
      </c>
      <c r="D1599" t="s">
        <v>622</v>
      </c>
      <c r="E1599">
        <v>82</v>
      </c>
      <c r="F1599">
        <v>1224</v>
      </c>
      <c r="G1599" t="s">
        <v>1014</v>
      </c>
      <c r="H1599" t="s">
        <v>44</v>
      </c>
      <c r="I1599" t="s">
        <v>45</v>
      </c>
      <c r="J1599" t="s">
        <v>44</v>
      </c>
      <c r="K1599" t="s">
        <v>45</v>
      </c>
      <c r="L1599">
        <v>8</v>
      </c>
      <c r="M1599">
        <v>70184</v>
      </c>
      <c r="N1599" t="s">
        <v>46</v>
      </c>
    </row>
    <row r="1600" spans="1:14" x14ac:dyDescent="0.2">
      <c r="A1600" s="3">
        <f t="shared" si="26"/>
        <v>92854</v>
      </c>
      <c r="B1600" t="str">
        <f>"00928540013"</f>
        <v>00928540013</v>
      </c>
      <c r="C1600" t="s">
        <v>1953</v>
      </c>
      <c r="D1600" t="s">
        <v>622</v>
      </c>
      <c r="E1600">
        <v>82</v>
      </c>
      <c r="F1600">
        <v>1224</v>
      </c>
      <c r="G1600" t="s">
        <v>1014</v>
      </c>
      <c r="H1600" t="s">
        <v>44</v>
      </c>
      <c r="I1600" t="s">
        <v>45</v>
      </c>
      <c r="J1600" t="s">
        <v>44</v>
      </c>
      <c r="K1600" t="s">
        <v>45</v>
      </c>
      <c r="L1600">
        <v>8</v>
      </c>
      <c r="M1600">
        <v>70228</v>
      </c>
      <c r="N1600" t="s">
        <v>46</v>
      </c>
    </row>
    <row r="1601" spans="1:14" x14ac:dyDescent="0.2">
      <c r="A1601" s="3">
        <f t="shared" si="26"/>
        <v>92928</v>
      </c>
      <c r="B1601" t="str">
        <f>"00929280001"</f>
        <v>00929280001</v>
      </c>
      <c r="C1601" t="s">
        <v>1954</v>
      </c>
      <c r="D1601" t="s">
        <v>52</v>
      </c>
      <c r="E1601">
        <v>12</v>
      </c>
      <c r="F1601">
        <v>2237</v>
      </c>
      <c r="G1601" t="s">
        <v>1576</v>
      </c>
      <c r="H1601" t="s">
        <v>44</v>
      </c>
      <c r="I1601" t="s">
        <v>45</v>
      </c>
      <c r="J1601" t="s">
        <v>44</v>
      </c>
      <c r="K1601" t="s">
        <v>45</v>
      </c>
      <c r="L1601">
        <v>5</v>
      </c>
      <c r="M1601" t="s">
        <v>65</v>
      </c>
      <c r="N1601" t="s">
        <v>46</v>
      </c>
    </row>
    <row r="1602" spans="1:14" x14ac:dyDescent="0.2">
      <c r="A1602" s="3">
        <f t="shared" si="26"/>
        <v>92929</v>
      </c>
      <c r="B1602" t="str">
        <f>"00929290001"</f>
        <v>00929290001</v>
      </c>
      <c r="C1602" t="s">
        <v>1955</v>
      </c>
      <c r="D1602" t="s">
        <v>52</v>
      </c>
      <c r="E1602">
        <v>12</v>
      </c>
      <c r="F1602">
        <v>2061</v>
      </c>
      <c r="G1602" t="s">
        <v>1552</v>
      </c>
      <c r="H1602" t="s">
        <v>44</v>
      </c>
      <c r="I1602" t="s">
        <v>45</v>
      </c>
      <c r="J1602" t="s">
        <v>44</v>
      </c>
      <c r="K1602" t="s">
        <v>45</v>
      </c>
      <c r="L1602">
        <v>5</v>
      </c>
      <c r="M1602" t="s">
        <v>65</v>
      </c>
      <c r="N1602" t="s">
        <v>46</v>
      </c>
    </row>
    <row r="1603" spans="1:14" x14ac:dyDescent="0.2">
      <c r="A1603" s="3">
        <f t="shared" si="26"/>
        <v>92952</v>
      </c>
      <c r="B1603" t="str">
        <f>"00929520012"</f>
        <v>00929520012</v>
      </c>
      <c r="C1603" t="s">
        <v>1956</v>
      </c>
      <c r="D1603" t="s">
        <v>52</v>
      </c>
      <c r="E1603">
        <v>50</v>
      </c>
      <c r="F1603">
        <v>255</v>
      </c>
      <c r="G1603" t="s">
        <v>1423</v>
      </c>
      <c r="H1603">
        <v>48</v>
      </c>
      <c r="I1603" t="s">
        <v>25</v>
      </c>
      <c r="J1603">
        <v>42</v>
      </c>
      <c r="K1603" t="s">
        <v>25</v>
      </c>
      <c r="L1603">
        <v>6</v>
      </c>
      <c r="M1603">
        <v>2642</v>
      </c>
      <c r="N1603">
        <v>6</v>
      </c>
    </row>
    <row r="1604" spans="1:14" x14ac:dyDescent="0.2">
      <c r="A1604" s="3">
        <f t="shared" ref="A1604:A1667" si="27">(B1604-RIGHT(B1604,4))/10000</f>
        <v>93195</v>
      </c>
      <c r="B1604" t="str">
        <f>"00931950010"</f>
        <v>00931950010</v>
      </c>
      <c r="C1604" t="s">
        <v>1957</v>
      </c>
      <c r="D1604" t="s">
        <v>52</v>
      </c>
      <c r="E1604">
        <v>72</v>
      </c>
      <c r="F1604">
        <v>1128</v>
      </c>
      <c r="G1604" t="s">
        <v>1719</v>
      </c>
      <c r="H1604">
        <v>42</v>
      </c>
      <c r="I1604" t="s">
        <v>34</v>
      </c>
      <c r="J1604">
        <v>32</v>
      </c>
      <c r="K1604" t="s">
        <v>34</v>
      </c>
      <c r="L1604">
        <v>6</v>
      </c>
      <c r="M1604">
        <v>1606</v>
      </c>
      <c r="N1604">
        <v>10</v>
      </c>
    </row>
    <row r="1605" spans="1:14" x14ac:dyDescent="0.2">
      <c r="A1605" s="3">
        <f t="shared" si="27"/>
        <v>94324</v>
      </c>
      <c r="B1605" t="str">
        <f>"00943240018"</f>
        <v>00943240018</v>
      </c>
      <c r="C1605" t="s">
        <v>1958</v>
      </c>
      <c r="D1605" t="s">
        <v>216</v>
      </c>
      <c r="E1605">
        <v>70</v>
      </c>
      <c r="F1605">
        <v>6958</v>
      </c>
      <c r="G1605" t="s">
        <v>1959</v>
      </c>
      <c r="H1605">
        <v>9</v>
      </c>
      <c r="I1605" t="s">
        <v>25</v>
      </c>
      <c r="J1605">
        <v>7</v>
      </c>
      <c r="K1605" t="s">
        <v>25</v>
      </c>
      <c r="L1605">
        <v>8</v>
      </c>
      <c r="M1605">
        <v>74041</v>
      </c>
      <c r="N1605">
        <v>2</v>
      </c>
    </row>
    <row r="1606" spans="1:14" x14ac:dyDescent="0.2">
      <c r="A1606" s="3">
        <f t="shared" si="27"/>
        <v>95124</v>
      </c>
      <c r="B1606" t="str">
        <f>"00951240018"</f>
        <v>00951240018</v>
      </c>
      <c r="C1606" t="s">
        <v>1960</v>
      </c>
      <c r="D1606" t="s">
        <v>52</v>
      </c>
      <c r="E1606">
        <v>33</v>
      </c>
      <c r="F1606">
        <v>8080</v>
      </c>
      <c r="G1606" t="s">
        <v>1680</v>
      </c>
      <c r="H1606">
        <v>21</v>
      </c>
      <c r="I1606" t="s">
        <v>34</v>
      </c>
      <c r="J1606">
        <v>15</v>
      </c>
      <c r="K1606" t="s">
        <v>34</v>
      </c>
      <c r="L1606">
        <v>6</v>
      </c>
      <c r="M1606">
        <v>2515</v>
      </c>
      <c r="N1606">
        <v>6</v>
      </c>
    </row>
    <row r="1607" spans="1:14" x14ac:dyDescent="0.2">
      <c r="A1607" s="3">
        <f t="shared" si="27"/>
        <v>95385</v>
      </c>
      <c r="B1607" t="str">
        <f>"00953850165"</f>
        <v>00953850165</v>
      </c>
      <c r="C1607" t="s">
        <v>1961</v>
      </c>
      <c r="D1607" t="s">
        <v>52</v>
      </c>
      <c r="E1607">
        <v>84</v>
      </c>
      <c r="F1607">
        <v>2275</v>
      </c>
      <c r="G1607" t="s">
        <v>1618</v>
      </c>
      <c r="H1607" t="s">
        <v>44</v>
      </c>
      <c r="I1607" t="s">
        <v>45</v>
      </c>
      <c r="J1607" t="s">
        <v>44</v>
      </c>
      <c r="K1607" t="s">
        <v>45</v>
      </c>
      <c r="L1607">
        <v>6</v>
      </c>
      <c r="M1607">
        <v>3627</v>
      </c>
      <c r="N1607" t="s">
        <v>46</v>
      </c>
    </row>
    <row r="1608" spans="1:14" x14ac:dyDescent="0.2">
      <c r="A1608" s="3">
        <f t="shared" si="27"/>
        <v>95400</v>
      </c>
      <c r="B1608" t="str">
        <f>"00954000024"</f>
        <v>00954000024</v>
      </c>
      <c r="C1608" t="s">
        <v>1962</v>
      </c>
      <c r="D1608" t="s">
        <v>604</v>
      </c>
      <c r="E1608">
        <v>84</v>
      </c>
      <c r="F1608">
        <v>4638</v>
      </c>
      <c r="G1608" t="s">
        <v>1026</v>
      </c>
      <c r="H1608" t="s">
        <v>44</v>
      </c>
      <c r="I1608" t="s">
        <v>45</v>
      </c>
      <c r="J1608" t="s">
        <v>44</v>
      </c>
      <c r="K1608" t="s">
        <v>45</v>
      </c>
      <c r="L1608">
        <v>8</v>
      </c>
      <c r="M1608">
        <v>69071</v>
      </c>
      <c r="N1608" t="s">
        <v>46</v>
      </c>
    </row>
    <row r="1609" spans="1:14" x14ac:dyDescent="0.2">
      <c r="A1609" s="3">
        <f t="shared" si="27"/>
        <v>95507</v>
      </c>
      <c r="B1609" t="str">
        <f>"00955070031"</f>
        <v>00955070031</v>
      </c>
      <c r="C1609" t="s">
        <v>1963</v>
      </c>
      <c r="D1609" t="s">
        <v>622</v>
      </c>
      <c r="E1609">
        <v>71</v>
      </c>
      <c r="F1609">
        <v>8052</v>
      </c>
      <c r="G1609" t="s">
        <v>642</v>
      </c>
      <c r="H1609">
        <v>12</v>
      </c>
      <c r="I1609" t="s">
        <v>25</v>
      </c>
      <c r="J1609">
        <v>9</v>
      </c>
      <c r="K1609" t="s">
        <v>25</v>
      </c>
      <c r="L1609">
        <v>8</v>
      </c>
      <c r="M1609">
        <v>72036</v>
      </c>
      <c r="N1609">
        <v>3</v>
      </c>
    </row>
    <row r="1610" spans="1:14" x14ac:dyDescent="0.2">
      <c r="A1610" s="3">
        <f t="shared" si="27"/>
        <v>95660</v>
      </c>
      <c r="B1610" t="str">
        <f>"00956600008"</f>
        <v>00956600008</v>
      </c>
      <c r="C1610" t="s">
        <v>1964</v>
      </c>
      <c r="D1610" t="s">
        <v>42</v>
      </c>
      <c r="E1610">
        <v>46</v>
      </c>
      <c r="F1610">
        <v>902</v>
      </c>
      <c r="G1610" t="s">
        <v>651</v>
      </c>
      <c r="H1610">
        <v>9</v>
      </c>
      <c r="I1610" t="s">
        <v>25</v>
      </c>
      <c r="J1610">
        <v>7</v>
      </c>
      <c r="K1610" t="s">
        <v>25</v>
      </c>
      <c r="L1610">
        <v>8</v>
      </c>
      <c r="M1610">
        <v>73116</v>
      </c>
      <c r="N1610">
        <v>2</v>
      </c>
    </row>
    <row r="1611" spans="1:14" x14ac:dyDescent="0.2">
      <c r="A1611" s="3">
        <f t="shared" si="27"/>
        <v>96021</v>
      </c>
      <c r="B1611" t="str">
        <f>"00960210006"</f>
        <v>00960210006</v>
      </c>
      <c r="C1611" t="s">
        <v>1965</v>
      </c>
      <c r="D1611" t="s">
        <v>23</v>
      </c>
      <c r="E1611">
        <v>62</v>
      </c>
      <c r="F1611">
        <v>378</v>
      </c>
      <c r="G1611" t="s">
        <v>880</v>
      </c>
      <c r="H1611">
        <v>11</v>
      </c>
      <c r="I1611" t="s">
        <v>25</v>
      </c>
      <c r="J1611">
        <v>8</v>
      </c>
      <c r="K1611" t="s">
        <v>25</v>
      </c>
      <c r="L1611">
        <v>8</v>
      </c>
      <c r="M1611">
        <v>71270</v>
      </c>
      <c r="N1611">
        <v>3</v>
      </c>
    </row>
    <row r="1612" spans="1:14" x14ac:dyDescent="0.2">
      <c r="A1612" s="3">
        <f t="shared" si="27"/>
        <v>96286</v>
      </c>
      <c r="B1612" t="str">
        <f>"00962860016"</f>
        <v>00962860016</v>
      </c>
      <c r="C1612" t="s">
        <v>1966</v>
      </c>
      <c r="D1612" t="s">
        <v>52</v>
      </c>
      <c r="E1612">
        <v>71</v>
      </c>
      <c r="F1612">
        <v>4366</v>
      </c>
      <c r="G1612" t="s">
        <v>625</v>
      </c>
      <c r="H1612">
        <v>12</v>
      </c>
      <c r="I1612" t="s">
        <v>25</v>
      </c>
      <c r="J1612">
        <v>9</v>
      </c>
      <c r="K1612" t="s">
        <v>25</v>
      </c>
      <c r="L1612">
        <v>6</v>
      </c>
      <c r="M1612">
        <v>52623</v>
      </c>
      <c r="N1612">
        <v>3</v>
      </c>
    </row>
    <row r="1613" spans="1:14" x14ac:dyDescent="0.2">
      <c r="A1613" s="3">
        <f t="shared" si="27"/>
        <v>96907</v>
      </c>
      <c r="B1613" t="str">
        <f>"00969070025"</f>
        <v>00969070025</v>
      </c>
      <c r="C1613" t="s">
        <v>1967</v>
      </c>
      <c r="D1613" t="s">
        <v>36</v>
      </c>
      <c r="E1613">
        <v>70</v>
      </c>
      <c r="F1613">
        <v>3526</v>
      </c>
      <c r="G1613" t="s">
        <v>1608</v>
      </c>
      <c r="H1613">
        <v>6</v>
      </c>
      <c r="I1613" t="s">
        <v>25</v>
      </c>
      <c r="J1613">
        <v>4</v>
      </c>
      <c r="K1613" t="s">
        <v>25</v>
      </c>
      <c r="L1613">
        <v>8</v>
      </c>
      <c r="M1613">
        <v>66232</v>
      </c>
      <c r="N1613">
        <v>2</v>
      </c>
    </row>
    <row r="1614" spans="1:14" x14ac:dyDescent="0.2">
      <c r="A1614" s="3">
        <f t="shared" si="27"/>
        <v>96994</v>
      </c>
      <c r="B1614" t="str">
        <f>"00969940001"</f>
        <v>00969940001</v>
      </c>
      <c r="C1614" t="s">
        <v>1968</v>
      </c>
      <c r="D1614" t="s">
        <v>52</v>
      </c>
      <c r="E1614">
        <v>12</v>
      </c>
      <c r="F1614">
        <v>3694</v>
      </c>
      <c r="G1614" t="s">
        <v>1614</v>
      </c>
      <c r="H1614" t="s">
        <v>44</v>
      </c>
      <c r="I1614" t="s">
        <v>45</v>
      </c>
      <c r="J1614" t="s">
        <v>44</v>
      </c>
      <c r="K1614" t="s">
        <v>45</v>
      </c>
      <c r="L1614">
        <v>5</v>
      </c>
      <c r="M1614" t="s">
        <v>65</v>
      </c>
      <c r="N1614" t="s">
        <v>46</v>
      </c>
    </row>
    <row r="1615" spans="1:14" x14ac:dyDescent="0.2">
      <c r="A1615" s="3">
        <f t="shared" si="27"/>
        <v>96994</v>
      </c>
      <c r="B1615" t="str">
        <f>"00969940008"</f>
        <v>00969940008</v>
      </c>
      <c r="C1615" t="s">
        <v>1968</v>
      </c>
      <c r="D1615" t="s">
        <v>52</v>
      </c>
      <c r="E1615">
        <v>12</v>
      </c>
      <c r="F1615">
        <v>3694</v>
      </c>
      <c r="G1615" t="s">
        <v>1614</v>
      </c>
      <c r="H1615" t="s">
        <v>44</v>
      </c>
      <c r="I1615" t="s">
        <v>45</v>
      </c>
      <c r="J1615" t="s">
        <v>44</v>
      </c>
      <c r="K1615" t="s">
        <v>45</v>
      </c>
      <c r="L1615">
        <v>7</v>
      </c>
      <c r="M1615">
        <v>92930</v>
      </c>
      <c r="N1615" t="s">
        <v>46</v>
      </c>
    </row>
    <row r="1616" spans="1:14" x14ac:dyDescent="0.2">
      <c r="A1616" s="3">
        <f t="shared" si="27"/>
        <v>97156</v>
      </c>
      <c r="B1616" t="str">
        <f>"00971560006"</f>
        <v>00971560006</v>
      </c>
      <c r="C1616" t="s">
        <v>1969</v>
      </c>
      <c r="D1616" t="s">
        <v>289</v>
      </c>
      <c r="E1616">
        <v>20</v>
      </c>
      <c r="F1616">
        <v>8086</v>
      </c>
      <c r="G1616" t="s">
        <v>290</v>
      </c>
      <c r="H1616">
        <v>6</v>
      </c>
      <c r="I1616" t="s">
        <v>25</v>
      </c>
      <c r="J1616">
        <v>4</v>
      </c>
      <c r="K1616" t="s">
        <v>25</v>
      </c>
      <c r="L1616">
        <v>8</v>
      </c>
      <c r="M1616">
        <v>87001</v>
      </c>
      <c r="N1616">
        <v>2</v>
      </c>
    </row>
    <row r="1617" spans="1:14" x14ac:dyDescent="0.2">
      <c r="A1617" s="3">
        <f t="shared" si="27"/>
        <v>97156</v>
      </c>
      <c r="B1617" t="str">
        <f>"00971560006"</f>
        <v>00971560006</v>
      </c>
      <c r="C1617" t="s">
        <v>1969</v>
      </c>
      <c r="D1617" t="s">
        <v>289</v>
      </c>
      <c r="E1617">
        <v>20</v>
      </c>
      <c r="F1617">
        <v>2855</v>
      </c>
      <c r="G1617" t="s">
        <v>291</v>
      </c>
      <c r="H1617">
        <v>6</v>
      </c>
      <c r="I1617" t="s">
        <v>25</v>
      </c>
      <c r="J1617">
        <v>4</v>
      </c>
      <c r="K1617" t="s">
        <v>25</v>
      </c>
      <c r="L1617">
        <v>8</v>
      </c>
      <c r="M1617">
        <v>87001</v>
      </c>
      <c r="N1617">
        <v>2</v>
      </c>
    </row>
    <row r="1618" spans="1:14" x14ac:dyDescent="0.2">
      <c r="A1618" s="3">
        <f t="shared" si="27"/>
        <v>97157</v>
      </c>
      <c r="B1618" t="str">
        <f>"00971570008"</f>
        <v>00971570008</v>
      </c>
      <c r="C1618" t="s">
        <v>1970</v>
      </c>
      <c r="D1618" t="s">
        <v>289</v>
      </c>
      <c r="E1618">
        <v>20</v>
      </c>
      <c r="F1618">
        <v>8086</v>
      </c>
      <c r="G1618" t="s">
        <v>290</v>
      </c>
      <c r="H1618">
        <v>6</v>
      </c>
      <c r="I1618" t="s">
        <v>25</v>
      </c>
      <c r="J1618">
        <v>4</v>
      </c>
      <c r="K1618" t="s">
        <v>25</v>
      </c>
      <c r="L1618">
        <v>8</v>
      </c>
      <c r="M1618">
        <v>87017</v>
      </c>
      <c r="N1618">
        <v>2</v>
      </c>
    </row>
    <row r="1619" spans="1:14" x14ac:dyDescent="0.2">
      <c r="A1619" s="3">
        <f t="shared" si="27"/>
        <v>97157</v>
      </c>
      <c r="B1619" t="str">
        <f>"00971570008"</f>
        <v>00971570008</v>
      </c>
      <c r="C1619" t="s">
        <v>1970</v>
      </c>
      <c r="D1619" t="s">
        <v>289</v>
      </c>
      <c r="E1619">
        <v>20</v>
      </c>
      <c r="F1619">
        <v>2855</v>
      </c>
      <c r="G1619" t="s">
        <v>291</v>
      </c>
      <c r="H1619">
        <v>6</v>
      </c>
      <c r="I1619" t="s">
        <v>25</v>
      </c>
      <c r="J1619">
        <v>4</v>
      </c>
      <c r="K1619" t="s">
        <v>25</v>
      </c>
      <c r="L1619">
        <v>8</v>
      </c>
      <c r="M1619">
        <v>87017</v>
      </c>
      <c r="N1619">
        <v>2</v>
      </c>
    </row>
    <row r="1620" spans="1:14" x14ac:dyDescent="0.2">
      <c r="A1620" s="3">
        <f t="shared" si="27"/>
        <v>97160</v>
      </c>
      <c r="B1620" t="str">
        <f>"00971600006"</f>
        <v>00971600006</v>
      </c>
      <c r="C1620" t="s">
        <v>1971</v>
      </c>
      <c r="D1620" t="s">
        <v>289</v>
      </c>
      <c r="E1620">
        <v>20</v>
      </c>
      <c r="F1620">
        <v>8086</v>
      </c>
      <c r="G1620" t="s">
        <v>290</v>
      </c>
      <c r="H1620">
        <v>6</v>
      </c>
      <c r="I1620" t="s">
        <v>25</v>
      </c>
      <c r="J1620">
        <v>4</v>
      </c>
      <c r="K1620" t="s">
        <v>25</v>
      </c>
      <c r="L1620">
        <v>8</v>
      </c>
      <c r="M1620">
        <v>87019</v>
      </c>
      <c r="N1620">
        <v>2</v>
      </c>
    </row>
    <row r="1621" spans="1:14" x14ac:dyDescent="0.2">
      <c r="A1621" s="3">
        <f t="shared" si="27"/>
        <v>97160</v>
      </c>
      <c r="B1621" t="str">
        <f>"00971600006"</f>
        <v>00971600006</v>
      </c>
      <c r="C1621" t="s">
        <v>1971</v>
      </c>
      <c r="D1621" t="s">
        <v>289</v>
      </c>
      <c r="E1621">
        <v>20</v>
      </c>
      <c r="F1621">
        <v>2855</v>
      </c>
      <c r="G1621" t="s">
        <v>291</v>
      </c>
      <c r="H1621">
        <v>6</v>
      </c>
      <c r="I1621" t="s">
        <v>25</v>
      </c>
      <c r="J1621">
        <v>4</v>
      </c>
      <c r="K1621" t="s">
        <v>25</v>
      </c>
      <c r="L1621">
        <v>8</v>
      </c>
      <c r="M1621">
        <v>87019</v>
      </c>
      <c r="N1621">
        <v>2</v>
      </c>
    </row>
    <row r="1622" spans="1:14" x14ac:dyDescent="0.2">
      <c r="A1622" s="3">
        <f t="shared" si="27"/>
        <v>97162</v>
      </c>
      <c r="B1622" t="str">
        <f>"00971620006"</f>
        <v>00971620006</v>
      </c>
      <c r="C1622" t="s">
        <v>1972</v>
      </c>
      <c r="D1622" t="s">
        <v>289</v>
      </c>
      <c r="E1622">
        <v>20</v>
      </c>
      <c r="F1622">
        <v>8086</v>
      </c>
      <c r="G1622" t="s">
        <v>290</v>
      </c>
      <c r="H1622">
        <v>6</v>
      </c>
      <c r="I1622" t="s">
        <v>25</v>
      </c>
      <c r="J1622">
        <v>4</v>
      </c>
      <c r="K1622" t="s">
        <v>25</v>
      </c>
      <c r="L1622">
        <v>8</v>
      </c>
      <c r="M1622">
        <v>87013</v>
      </c>
      <c r="N1622">
        <v>2</v>
      </c>
    </row>
    <row r="1623" spans="1:14" x14ac:dyDescent="0.2">
      <c r="A1623" s="3">
        <f t="shared" si="27"/>
        <v>97162</v>
      </c>
      <c r="B1623" t="str">
        <f>"00971620006"</f>
        <v>00971620006</v>
      </c>
      <c r="C1623" t="s">
        <v>1972</v>
      </c>
      <c r="D1623" t="s">
        <v>289</v>
      </c>
      <c r="E1623">
        <v>20</v>
      </c>
      <c r="F1623">
        <v>2855</v>
      </c>
      <c r="G1623" t="s">
        <v>291</v>
      </c>
      <c r="H1623">
        <v>6</v>
      </c>
      <c r="I1623" t="s">
        <v>25</v>
      </c>
      <c r="J1623">
        <v>4</v>
      </c>
      <c r="K1623" t="s">
        <v>25</v>
      </c>
      <c r="L1623">
        <v>8</v>
      </c>
      <c r="M1623">
        <v>87013</v>
      </c>
      <c r="N1623">
        <v>2</v>
      </c>
    </row>
    <row r="1624" spans="1:14" x14ac:dyDescent="0.2">
      <c r="A1624" s="3">
        <f t="shared" si="27"/>
        <v>97168</v>
      </c>
      <c r="B1624" t="str">
        <f>"00971680032"</f>
        <v>00971680032</v>
      </c>
      <c r="C1624" t="s">
        <v>1973</v>
      </c>
      <c r="D1624" t="s">
        <v>42</v>
      </c>
      <c r="E1624">
        <v>84</v>
      </c>
      <c r="F1624">
        <v>334</v>
      </c>
      <c r="G1624" t="s">
        <v>1928</v>
      </c>
      <c r="H1624" t="s">
        <v>44</v>
      </c>
      <c r="I1624" t="s">
        <v>45</v>
      </c>
      <c r="J1624" t="s">
        <v>44</v>
      </c>
      <c r="K1624" t="s">
        <v>45</v>
      </c>
      <c r="L1624">
        <v>8</v>
      </c>
      <c r="M1624">
        <v>70043</v>
      </c>
      <c r="N1624" t="s">
        <v>46</v>
      </c>
    </row>
    <row r="1625" spans="1:14" x14ac:dyDescent="0.2">
      <c r="A1625" s="3">
        <f t="shared" si="27"/>
        <v>97237</v>
      </c>
      <c r="B1625" t="str">
        <f>"00972370003"</f>
        <v>00972370003</v>
      </c>
      <c r="C1625" t="s">
        <v>1974</v>
      </c>
      <c r="D1625" t="s">
        <v>32</v>
      </c>
      <c r="E1625">
        <v>31</v>
      </c>
      <c r="F1625">
        <v>4248</v>
      </c>
      <c r="G1625" t="s">
        <v>96</v>
      </c>
      <c r="H1625">
        <v>23</v>
      </c>
      <c r="I1625" t="s">
        <v>34</v>
      </c>
      <c r="J1625">
        <v>17</v>
      </c>
      <c r="K1625" t="s">
        <v>34</v>
      </c>
      <c r="L1625">
        <v>8</v>
      </c>
      <c r="M1625">
        <v>80001</v>
      </c>
      <c r="N1625">
        <v>6</v>
      </c>
    </row>
    <row r="1626" spans="1:14" x14ac:dyDescent="0.2">
      <c r="A1626" s="3">
        <f t="shared" si="27"/>
        <v>97336</v>
      </c>
      <c r="B1626" t="str">
        <f>"00973360015"</f>
        <v>00973360015</v>
      </c>
      <c r="C1626" t="s">
        <v>1975</v>
      </c>
      <c r="D1626" t="s">
        <v>216</v>
      </c>
      <c r="E1626">
        <v>47</v>
      </c>
      <c r="F1626">
        <v>211</v>
      </c>
      <c r="G1626" t="s">
        <v>1976</v>
      </c>
      <c r="H1626">
        <v>9</v>
      </c>
      <c r="I1626" t="s">
        <v>25</v>
      </c>
      <c r="J1626">
        <v>7</v>
      </c>
      <c r="K1626" t="s">
        <v>25</v>
      </c>
      <c r="L1626">
        <v>8</v>
      </c>
      <c r="M1626">
        <v>72186</v>
      </c>
      <c r="N1626">
        <v>2</v>
      </c>
    </row>
    <row r="1627" spans="1:14" x14ac:dyDescent="0.2">
      <c r="A1627" s="3">
        <f t="shared" si="27"/>
        <v>97471</v>
      </c>
      <c r="B1627" t="str">
        <f>"00974710012"</f>
        <v>00974710012</v>
      </c>
      <c r="C1627" t="s">
        <v>1977</v>
      </c>
      <c r="D1627" t="s">
        <v>421</v>
      </c>
      <c r="E1627">
        <v>52</v>
      </c>
      <c r="F1627">
        <v>1205</v>
      </c>
      <c r="G1627" t="s">
        <v>325</v>
      </c>
      <c r="H1627">
        <v>8</v>
      </c>
      <c r="I1627" t="s">
        <v>25</v>
      </c>
      <c r="J1627">
        <v>6</v>
      </c>
      <c r="K1627" t="s">
        <v>25</v>
      </c>
      <c r="L1627">
        <v>8</v>
      </c>
      <c r="M1627">
        <v>62215</v>
      </c>
      <c r="N1627">
        <v>2</v>
      </c>
    </row>
    <row r="1628" spans="1:14" x14ac:dyDescent="0.2">
      <c r="A1628" s="3">
        <f t="shared" si="27"/>
        <v>97578</v>
      </c>
      <c r="B1628" t="str">
        <f>"00975780010"</f>
        <v>00975780010</v>
      </c>
      <c r="C1628" t="s">
        <v>1978</v>
      </c>
      <c r="D1628" t="s">
        <v>604</v>
      </c>
      <c r="E1628">
        <v>70</v>
      </c>
      <c r="F1628">
        <v>845</v>
      </c>
      <c r="G1628" t="s">
        <v>605</v>
      </c>
      <c r="H1628">
        <v>124</v>
      </c>
      <c r="I1628" t="s">
        <v>34</v>
      </c>
      <c r="J1628">
        <v>91</v>
      </c>
      <c r="K1628" t="s">
        <v>34</v>
      </c>
      <c r="L1628">
        <v>8</v>
      </c>
      <c r="M1628">
        <v>73049</v>
      </c>
      <c r="N1628">
        <v>33</v>
      </c>
    </row>
    <row r="1629" spans="1:14" x14ac:dyDescent="0.2">
      <c r="A1629" s="3">
        <f t="shared" si="27"/>
        <v>97580</v>
      </c>
      <c r="B1629" t="str">
        <f>"00975800010"</f>
        <v>00975800010</v>
      </c>
      <c r="C1629" t="s">
        <v>1979</v>
      </c>
      <c r="D1629" t="s">
        <v>604</v>
      </c>
      <c r="E1629">
        <v>70</v>
      </c>
      <c r="F1629">
        <v>950</v>
      </c>
      <c r="G1629" t="s">
        <v>1980</v>
      </c>
      <c r="H1629">
        <v>6</v>
      </c>
      <c r="I1629" t="s">
        <v>25</v>
      </c>
      <c r="J1629">
        <v>4</v>
      </c>
      <c r="K1629" t="s">
        <v>25</v>
      </c>
      <c r="L1629">
        <v>8</v>
      </c>
      <c r="M1629">
        <v>73061</v>
      </c>
      <c r="N1629">
        <v>2</v>
      </c>
    </row>
    <row r="1630" spans="1:14" x14ac:dyDescent="0.2">
      <c r="A1630" s="3">
        <f t="shared" si="27"/>
        <v>97639</v>
      </c>
      <c r="B1630" t="str">
        <f>"00976390009"</f>
        <v>00976390009</v>
      </c>
      <c r="C1630" t="s">
        <v>1981</v>
      </c>
      <c r="D1630" t="s">
        <v>1344</v>
      </c>
      <c r="E1630">
        <v>49</v>
      </c>
      <c r="F1630">
        <v>4376</v>
      </c>
      <c r="G1630" t="s">
        <v>1488</v>
      </c>
      <c r="H1630">
        <v>8</v>
      </c>
      <c r="I1630" t="s">
        <v>25</v>
      </c>
      <c r="J1630">
        <v>6</v>
      </c>
      <c r="K1630" t="s">
        <v>25</v>
      </c>
      <c r="L1630">
        <v>6</v>
      </c>
      <c r="M1630">
        <v>2643</v>
      </c>
      <c r="N1630">
        <v>2</v>
      </c>
    </row>
    <row r="1631" spans="1:14" x14ac:dyDescent="0.2">
      <c r="A1631" s="3">
        <f t="shared" si="27"/>
        <v>97656</v>
      </c>
      <c r="B1631" t="str">
        <f>"00976560012"</f>
        <v>00976560012</v>
      </c>
      <c r="C1631" t="s">
        <v>1982</v>
      </c>
      <c r="D1631" t="s">
        <v>289</v>
      </c>
      <c r="E1631">
        <v>20</v>
      </c>
      <c r="F1631">
        <v>8086</v>
      </c>
      <c r="G1631" t="s">
        <v>290</v>
      </c>
      <c r="H1631">
        <v>18</v>
      </c>
      <c r="I1631" t="s">
        <v>25</v>
      </c>
      <c r="J1631">
        <v>14</v>
      </c>
      <c r="K1631" t="s">
        <v>25</v>
      </c>
      <c r="L1631">
        <v>8</v>
      </c>
      <c r="M1631">
        <v>88053</v>
      </c>
      <c r="N1631">
        <v>4</v>
      </c>
    </row>
    <row r="1632" spans="1:14" x14ac:dyDescent="0.2">
      <c r="A1632" s="3">
        <f t="shared" si="27"/>
        <v>97656</v>
      </c>
      <c r="B1632" t="str">
        <f>"00976560012"</f>
        <v>00976560012</v>
      </c>
      <c r="C1632" t="s">
        <v>1982</v>
      </c>
      <c r="D1632" t="s">
        <v>289</v>
      </c>
      <c r="E1632">
        <v>20</v>
      </c>
      <c r="F1632">
        <v>1717</v>
      </c>
      <c r="G1632" t="s">
        <v>1983</v>
      </c>
      <c r="H1632">
        <v>18</v>
      </c>
      <c r="I1632" t="s">
        <v>25</v>
      </c>
      <c r="J1632">
        <v>14</v>
      </c>
      <c r="K1632" t="s">
        <v>25</v>
      </c>
      <c r="L1632">
        <v>8</v>
      </c>
      <c r="M1632">
        <v>88053</v>
      </c>
      <c r="N1632">
        <v>4</v>
      </c>
    </row>
    <row r="1633" spans="1:14" x14ac:dyDescent="0.2">
      <c r="A1633" s="3">
        <f t="shared" si="27"/>
        <v>97851</v>
      </c>
      <c r="B1633" t="str">
        <f>"00978510010"</f>
        <v>00978510010</v>
      </c>
      <c r="C1633" t="s">
        <v>1984</v>
      </c>
      <c r="D1633" t="s">
        <v>543</v>
      </c>
      <c r="E1633">
        <v>81</v>
      </c>
      <c r="F1633">
        <v>5052</v>
      </c>
      <c r="G1633" t="s">
        <v>1496</v>
      </c>
      <c r="H1633">
        <v>18</v>
      </c>
      <c r="I1633" t="s">
        <v>25</v>
      </c>
      <c r="J1633">
        <v>14</v>
      </c>
      <c r="K1633" t="s">
        <v>25</v>
      </c>
      <c r="L1633">
        <v>8</v>
      </c>
      <c r="M1633">
        <v>69096</v>
      </c>
      <c r="N1633">
        <v>4</v>
      </c>
    </row>
    <row r="1634" spans="1:14" x14ac:dyDescent="0.2">
      <c r="A1634" s="3">
        <f t="shared" si="27"/>
        <v>98479</v>
      </c>
      <c r="B1634" t="str">
        <f>"00984790001"</f>
        <v>00984790001</v>
      </c>
      <c r="C1634" t="s">
        <v>1985</v>
      </c>
      <c r="D1634" t="s">
        <v>337</v>
      </c>
      <c r="E1634">
        <v>92</v>
      </c>
      <c r="F1634">
        <v>1669</v>
      </c>
      <c r="G1634" t="s">
        <v>1986</v>
      </c>
      <c r="H1634">
        <v>5</v>
      </c>
      <c r="I1634" t="s">
        <v>34</v>
      </c>
      <c r="J1634">
        <v>3</v>
      </c>
      <c r="K1634" t="s">
        <v>34</v>
      </c>
      <c r="L1634">
        <v>8</v>
      </c>
      <c r="M1634">
        <v>91101</v>
      </c>
      <c r="N1634">
        <v>2</v>
      </c>
    </row>
    <row r="1635" spans="1:14" x14ac:dyDescent="0.2">
      <c r="A1635" s="3">
        <f t="shared" si="27"/>
        <v>98767</v>
      </c>
      <c r="B1635" t="str">
        <f>"00987670001"</f>
        <v>00987670001</v>
      </c>
      <c r="C1635" t="s">
        <v>1987</v>
      </c>
      <c r="D1635" t="s">
        <v>52</v>
      </c>
      <c r="E1635">
        <v>13</v>
      </c>
      <c r="F1635">
        <v>3694</v>
      </c>
      <c r="G1635" t="s">
        <v>1614</v>
      </c>
      <c r="H1635" t="s">
        <v>44</v>
      </c>
      <c r="I1635" t="s">
        <v>45</v>
      </c>
      <c r="J1635" t="s">
        <v>44</v>
      </c>
      <c r="K1635" t="s">
        <v>45</v>
      </c>
      <c r="L1635">
        <v>5</v>
      </c>
      <c r="M1635" t="s">
        <v>65</v>
      </c>
      <c r="N1635" t="s">
        <v>46</v>
      </c>
    </row>
    <row r="1636" spans="1:14" x14ac:dyDescent="0.2">
      <c r="A1636" s="3">
        <f t="shared" si="27"/>
        <v>98771</v>
      </c>
      <c r="B1636" t="str">
        <f>"00987710001"</f>
        <v>00987710001</v>
      </c>
      <c r="C1636" t="s">
        <v>1988</v>
      </c>
      <c r="D1636" t="s">
        <v>52</v>
      </c>
      <c r="E1636">
        <v>12</v>
      </c>
      <c r="F1636">
        <v>2061</v>
      </c>
      <c r="G1636" t="s">
        <v>1552</v>
      </c>
      <c r="H1636" t="s">
        <v>44</v>
      </c>
      <c r="I1636" t="s">
        <v>45</v>
      </c>
      <c r="J1636" t="s">
        <v>44</v>
      </c>
      <c r="K1636" t="s">
        <v>45</v>
      </c>
      <c r="L1636">
        <v>5</v>
      </c>
      <c r="M1636" t="s">
        <v>65</v>
      </c>
      <c r="N1636" t="s">
        <v>46</v>
      </c>
    </row>
    <row r="1637" spans="1:14" x14ac:dyDescent="0.2">
      <c r="A1637" s="3">
        <f t="shared" si="27"/>
        <v>98901</v>
      </c>
      <c r="B1637" t="str">
        <f>"00989010020"</f>
        <v>00989010020</v>
      </c>
      <c r="C1637" t="s">
        <v>1989</v>
      </c>
      <c r="D1637" t="s">
        <v>622</v>
      </c>
      <c r="E1637">
        <v>82</v>
      </c>
      <c r="F1637">
        <v>1224</v>
      </c>
      <c r="G1637" t="s">
        <v>1014</v>
      </c>
      <c r="H1637" t="s">
        <v>44</v>
      </c>
      <c r="I1637" t="s">
        <v>45</v>
      </c>
      <c r="J1637" t="s">
        <v>44</v>
      </c>
      <c r="K1637" t="s">
        <v>45</v>
      </c>
      <c r="L1637">
        <v>8</v>
      </c>
      <c r="M1637">
        <v>70188</v>
      </c>
      <c r="N1637" t="s">
        <v>46</v>
      </c>
    </row>
    <row r="1638" spans="1:14" x14ac:dyDescent="0.2">
      <c r="A1638" s="3">
        <f t="shared" si="27"/>
        <v>98996</v>
      </c>
      <c r="B1638" t="str">
        <f>"00989960006"</f>
        <v>00989960006</v>
      </c>
      <c r="C1638" t="s">
        <v>1990</v>
      </c>
      <c r="D1638" t="s">
        <v>52</v>
      </c>
      <c r="E1638">
        <v>47</v>
      </c>
      <c r="F1638">
        <v>591</v>
      </c>
      <c r="G1638" t="s">
        <v>460</v>
      </c>
      <c r="H1638">
        <v>18</v>
      </c>
      <c r="I1638" t="s">
        <v>25</v>
      </c>
      <c r="J1638">
        <v>14</v>
      </c>
      <c r="K1638" t="s">
        <v>25</v>
      </c>
      <c r="L1638">
        <v>5</v>
      </c>
      <c r="M1638" t="s">
        <v>65</v>
      </c>
      <c r="N1638">
        <v>4</v>
      </c>
    </row>
    <row r="1639" spans="1:14" x14ac:dyDescent="0.2">
      <c r="A1639" s="3">
        <f t="shared" si="27"/>
        <v>99010</v>
      </c>
      <c r="B1639" t="str">
        <f>"00990100006"</f>
        <v>00990100006</v>
      </c>
      <c r="C1639" t="s">
        <v>1991</v>
      </c>
      <c r="D1639" t="s">
        <v>386</v>
      </c>
      <c r="E1639">
        <v>60</v>
      </c>
      <c r="F1639">
        <v>2007</v>
      </c>
      <c r="G1639" t="s">
        <v>387</v>
      </c>
      <c r="H1639" t="s">
        <v>44</v>
      </c>
      <c r="I1639" t="s">
        <v>45</v>
      </c>
      <c r="J1639" t="s">
        <v>44</v>
      </c>
      <c r="K1639" t="s">
        <v>45</v>
      </c>
      <c r="L1639">
        <v>8</v>
      </c>
      <c r="M1639">
        <v>61021</v>
      </c>
      <c r="N1639" t="s">
        <v>46</v>
      </c>
    </row>
    <row r="1640" spans="1:14" x14ac:dyDescent="0.2">
      <c r="A1640" s="3">
        <f t="shared" si="27"/>
        <v>99011</v>
      </c>
      <c r="B1640" t="str">
        <f>"00990110006"</f>
        <v>00990110006</v>
      </c>
      <c r="C1640" t="s">
        <v>1992</v>
      </c>
      <c r="D1640" t="s">
        <v>386</v>
      </c>
      <c r="E1640">
        <v>60</v>
      </c>
      <c r="F1640">
        <v>2251</v>
      </c>
      <c r="G1640" t="s">
        <v>1683</v>
      </c>
      <c r="H1640" t="s">
        <v>44</v>
      </c>
      <c r="I1640" t="s">
        <v>45</v>
      </c>
      <c r="J1640" t="s">
        <v>44</v>
      </c>
      <c r="K1640" t="s">
        <v>45</v>
      </c>
      <c r="L1640">
        <v>8</v>
      </c>
      <c r="M1640">
        <v>61098</v>
      </c>
      <c r="N1640" t="s">
        <v>46</v>
      </c>
    </row>
    <row r="1641" spans="1:14" x14ac:dyDescent="0.2">
      <c r="A1641" s="3">
        <f t="shared" si="27"/>
        <v>99086</v>
      </c>
      <c r="B1641" t="str">
        <f>"00990860001"</f>
        <v>00990860001</v>
      </c>
      <c r="C1641" t="s">
        <v>1577</v>
      </c>
      <c r="D1641" t="s">
        <v>52</v>
      </c>
      <c r="E1641">
        <v>12</v>
      </c>
      <c r="F1641">
        <v>2061</v>
      </c>
      <c r="G1641" t="s">
        <v>1552</v>
      </c>
      <c r="H1641" t="s">
        <v>44</v>
      </c>
      <c r="I1641" t="s">
        <v>45</v>
      </c>
      <c r="J1641" t="s">
        <v>44</v>
      </c>
      <c r="K1641" t="s">
        <v>45</v>
      </c>
      <c r="L1641">
        <v>5</v>
      </c>
      <c r="M1641" t="s">
        <v>65</v>
      </c>
      <c r="N1641" t="s">
        <v>46</v>
      </c>
    </row>
    <row r="1642" spans="1:14" x14ac:dyDescent="0.2">
      <c r="A1642" s="3">
        <f t="shared" si="27"/>
        <v>99139</v>
      </c>
      <c r="B1642" t="str">
        <f>"00991390033"</f>
        <v>00991390033</v>
      </c>
      <c r="C1642" t="s">
        <v>1993</v>
      </c>
      <c r="D1642" t="s">
        <v>622</v>
      </c>
      <c r="E1642">
        <v>71</v>
      </c>
      <c r="F1642">
        <v>1095</v>
      </c>
      <c r="G1642" t="s">
        <v>633</v>
      </c>
      <c r="H1642">
        <v>10</v>
      </c>
      <c r="I1642" t="s">
        <v>25</v>
      </c>
      <c r="J1642">
        <v>7</v>
      </c>
      <c r="K1642" t="s">
        <v>25</v>
      </c>
      <c r="L1642">
        <v>8</v>
      </c>
      <c r="M1642">
        <v>74236</v>
      </c>
      <c r="N1642">
        <v>3</v>
      </c>
    </row>
    <row r="1643" spans="1:14" x14ac:dyDescent="0.2">
      <c r="A1643" s="3">
        <f t="shared" si="27"/>
        <v>99183</v>
      </c>
      <c r="B1643" t="str">
        <f>"00991830006"</f>
        <v>00991830006</v>
      </c>
      <c r="C1643" t="s">
        <v>1994</v>
      </c>
      <c r="D1643" t="s">
        <v>418</v>
      </c>
      <c r="E1643">
        <v>60</v>
      </c>
      <c r="F1643">
        <v>3523</v>
      </c>
      <c r="G1643" t="s">
        <v>1417</v>
      </c>
      <c r="H1643" t="s">
        <v>44</v>
      </c>
      <c r="I1643" t="s">
        <v>45</v>
      </c>
      <c r="J1643" t="s">
        <v>44</v>
      </c>
      <c r="K1643" t="s">
        <v>45</v>
      </c>
      <c r="L1643">
        <v>8</v>
      </c>
      <c r="M1643">
        <v>61226</v>
      </c>
      <c r="N1643" t="s">
        <v>46</v>
      </c>
    </row>
    <row r="1644" spans="1:14" x14ac:dyDescent="0.2">
      <c r="A1644" s="3">
        <f t="shared" si="27"/>
        <v>99369</v>
      </c>
      <c r="B1644" t="str">
        <f>"00993690030"</f>
        <v>00993690030</v>
      </c>
      <c r="C1644" t="s">
        <v>1995</v>
      </c>
      <c r="D1644" t="s">
        <v>543</v>
      </c>
      <c r="E1644">
        <v>82</v>
      </c>
      <c r="F1644">
        <v>4320</v>
      </c>
      <c r="G1644" t="s">
        <v>1059</v>
      </c>
      <c r="H1644" t="s">
        <v>44</v>
      </c>
      <c r="I1644" t="s">
        <v>45</v>
      </c>
      <c r="J1644" t="s">
        <v>44</v>
      </c>
      <c r="K1644" t="s">
        <v>45</v>
      </c>
      <c r="L1644">
        <v>8</v>
      </c>
      <c r="M1644">
        <v>70186</v>
      </c>
      <c r="N1644" t="s">
        <v>46</v>
      </c>
    </row>
    <row r="1645" spans="1:14" x14ac:dyDescent="0.2">
      <c r="A1645" s="3">
        <f t="shared" si="27"/>
        <v>99404</v>
      </c>
      <c r="B1645" t="str">
        <f>"00994040021"</f>
        <v>00994040021</v>
      </c>
      <c r="C1645" t="s">
        <v>1996</v>
      </c>
      <c r="D1645" t="s">
        <v>622</v>
      </c>
      <c r="E1645">
        <v>83</v>
      </c>
      <c r="F1645">
        <v>1224</v>
      </c>
      <c r="G1645" t="s">
        <v>1014</v>
      </c>
      <c r="H1645" t="s">
        <v>44</v>
      </c>
      <c r="I1645" t="s">
        <v>45</v>
      </c>
      <c r="J1645" t="s">
        <v>44</v>
      </c>
      <c r="K1645" t="s">
        <v>45</v>
      </c>
      <c r="L1645">
        <v>8</v>
      </c>
      <c r="M1645">
        <v>67256</v>
      </c>
      <c r="N1645" t="s">
        <v>46</v>
      </c>
    </row>
    <row r="1646" spans="1:14" x14ac:dyDescent="0.2">
      <c r="A1646" s="3">
        <f t="shared" si="27"/>
        <v>99488</v>
      </c>
      <c r="B1646" t="str">
        <f>"00994880010"</f>
        <v>00994880010</v>
      </c>
      <c r="C1646" t="s">
        <v>1997</v>
      </c>
      <c r="D1646" t="s">
        <v>70</v>
      </c>
      <c r="E1646">
        <v>33</v>
      </c>
      <c r="F1646">
        <v>1281</v>
      </c>
      <c r="G1646" t="s">
        <v>182</v>
      </c>
      <c r="H1646">
        <v>13</v>
      </c>
      <c r="I1646" t="s">
        <v>34</v>
      </c>
      <c r="J1646">
        <v>9</v>
      </c>
      <c r="K1646" t="s">
        <v>34</v>
      </c>
      <c r="L1646">
        <v>8</v>
      </c>
      <c r="M1646">
        <v>84047</v>
      </c>
      <c r="N1646">
        <v>4</v>
      </c>
    </row>
    <row r="1647" spans="1:14" x14ac:dyDescent="0.2">
      <c r="A1647" s="3">
        <f t="shared" si="27"/>
        <v>99501</v>
      </c>
      <c r="B1647" t="str">
        <f>"00995010024"</f>
        <v>00995010024</v>
      </c>
      <c r="C1647" t="s">
        <v>1998</v>
      </c>
      <c r="D1647" t="s">
        <v>1339</v>
      </c>
      <c r="E1647">
        <v>70</v>
      </c>
      <c r="F1647">
        <v>655</v>
      </c>
      <c r="G1647" t="s">
        <v>1352</v>
      </c>
      <c r="H1647">
        <v>6</v>
      </c>
      <c r="I1647" t="s">
        <v>25</v>
      </c>
      <c r="J1647">
        <v>4</v>
      </c>
      <c r="K1647" t="s">
        <v>25</v>
      </c>
      <c r="L1647">
        <v>6</v>
      </c>
      <c r="M1647">
        <v>43604</v>
      </c>
      <c r="N1647">
        <v>2</v>
      </c>
    </row>
    <row r="1648" spans="1:14" x14ac:dyDescent="0.2">
      <c r="A1648" s="3">
        <f t="shared" si="27"/>
        <v>99607</v>
      </c>
      <c r="B1648" t="str">
        <f>"00996070036"</f>
        <v>00996070036</v>
      </c>
      <c r="C1648" t="s">
        <v>1999</v>
      </c>
      <c r="D1648" t="s">
        <v>320</v>
      </c>
      <c r="E1648">
        <v>74</v>
      </c>
      <c r="F1648">
        <v>8086</v>
      </c>
      <c r="G1648" t="s">
        <v>290</v>
      </c>
      <c r="H1648">
        <v>9</v>
      </c>
      <c r="I1648" t="s">
        <v>25</v>
      </c>
      <c r="J1648">
        <v>7</v>
      </c>
      <c r="K1648" t="s">
        <v>25</v>
      </c>
      <c r="L1648">
        <v>8</v>
      </c>
      <c r="M1648">
        <v>86003</v>
      </c>
      <c r="N1648">
        <v>1</v>
      </c>
    </row>
    <row r="1649" spans="1:14" x14ac:dyDescent="0.2">
      <c r="A1649" s="3">
        <f t="shared" si="27"/>
        <v>99607</v>
      </c>
      <c r="B1649" t="str">
        <f>"00996070036"</f>
        <v>00996070036</v>
      </c>
      <c r="C1649" t="s">
        <v>1999</v>
      </c>
      <c r="D1649" t="s">
        <v>320</v>
      </c>
      <c r="E1649">
        <v>74</v>
      </c>
      <c r="F1649">
        <v>1087</v>
      </c>
      <c r="G1649" t="s">
        <v>2000</v>
      </c>
      <c r="H1649">
        <v>9</v>
      </c>
      <c r="I1649" t="s">
        <v>25</v>
      </c>
      <c r="J1649">
        <v>7</v>
      </c>
      <c r="K1649" t="s">
        <v>25</v>
      </c>
      <c r="L1649">
        <v>8</v>
      </c>
      <c r="M1649">
        <v>86003</v>
      </c>
      <c r="N1649">
        <v>1</v>
      </c>
    </row>
    <row r="1650" spans="1:14" x14ac:dyDescent="0.2">
      <c r="A1650" s="3">
        <f t="shared" si="27"/>
        <v>99667</v>
      </c>
      <c r="B1650" t="str">
        <f>"00996670012"</f>
        <v>00996670012</v>
      </c>
      <c r="C1650" t="s">
        <v>2001</v>
      </c>
      <c r="D1650" t="s">
        <v>421</v>
      </c>
      <c r="E1650">
        <v>52</v>
      </c>
      <c r="F1650">
        <v>1504</v>
      </c>
      <c r="G1650" t="s">
        <v>510</v>
      </c>
      <c r="H1650">
        <v>24</v>
      </c>
      <c r="I1650" t="s">
        <v>25</v>
      </c>
      <c r="J1650">
        <v>20</v>
      </c>
      <c r="K1650" t="s">
        <v>25</v>
      </c>
      <c r="L1650">
        <v>8</v>
      </c>
      <c r="M1650">
        <v>62247</v>
      </c>
      <c r="N1650">
        <v>4</v>
      </c>
    </row>
    <row r="1651" spans="1:14" x14ac:dyDescent="0.2">
      <c r="A1651" s="3">
        <f t="shared" si="27"/>
        <v>99720</v>
      </c>
      <c r="B1651" t="str">
        <f>"00997200012"</f>
        <v>00997200012</v>
      </c>
      <c r="C1651" t="s">
        <v>2002</v>
      </c>
      <c r="D1651" t="s">
        <v>52</v>
      </c>
      <c r="E1651">
        <v>49</v>
      </c>
      <c r="F1651">
        <v>637</v>
      </c>
      <c r="G1651" t="s">
        <v>2003</v>
      </c>
      <c r="H1651">
        <v>9</v>
      </c>
      <c r="I1651" t="s">
        <v>25</v>
      </c>
      <c r="J1651">
        <v>7</v>
      </c>
      <c r="K1651" t="s">
        <v>25</v>
      </c>
      <c r="L1651">
        <v>5</v>
      </c>
      <c r="M1651" t="s">
        <v>65</v>
      </c>
      <c r="N1651">
        <v>2</v>
      </c>
    </row>
    <row r="1652" spans="1:14" x14ac:dyDescent="0.2">
      <c r="A1652" s="3">
        <f t="shared" si="27"/>
        <v>99849</v>
      </c>
      <c r="B1652" t="str">
        <f>"00998490013"</f>
        <v>00998490013</v>
      </c>
      <c r="C1652" t="s">
        <v>2004</v>
      </c>
      <c r="D1652" t="s">
        <v>543</v>
      </c>
      <c r="E1652">
        <v>82</v>
      </c>
      <c r="F1652">
        <v>4320</v>
      </c>
      <c r="G1652" t="s">
        <v>1059</v>
      </c>
      <c r="H1652" t="s">
        <v>44</v>
      </c>
      <c r="I1652" t="s">
        <v>45</v>
      </c>
      <c r="J1652" t="s">
        <v>44</v>
      </c>
      <c r="K1652" t="s">
        <v>45</v>
      </c>
      <c r="L1652">
        <v>8</v>
      </c>
      <c r="M1652">
        <v>70111</v>
      </c>
      <c r="N1652" t="s">
        <v>46</v>
      </c>
    </row>
    <row r="1653" spans="1:14" x14ac:dyDescent="0.2">
      <c r="A1653" s="3">
        <f t="shared" si="27"/>
        <v>99963</v>
      </c>
      <c r="B1653" t="str">
        <f>"00999630015"</f>
        <v>00999630015</v>
      </c>
      <c r="C1653" t="s">
        <v>2005</v>
      </c>
      <c r="D1653" t="s">
        <v>543</v>
      </c>
      <c r="E1653">
        <v>82</v>
      </c>
      <c r="F1653">
        <v>4320</v>
      </c>
      <c r="G1653" t="s">
        <v>1059</v>
      </c>
      <c r="H1653" t="s">
        <v>44</v>
      </c>
      <c r="I1653" t="s">
        <v>45</v>
      </c>
      <c r="J1653" t="s">
        <v>44</v>
      </c>
      <c r="K1653" t="s">
        <v>45</v>
      </c>
      <c r="L1653">
        <v>8</v>
      </c>
      <c r="M1653">
        <v>70126</v>
      </c>
      <c r="N1653" t="s">
        <v>46</v>
      </c>
    </row>
    <row r="1654" spans="1:14" x14ac:dyDescent="0.2">
      <c r="A1654" s="3">
        <f t="shared" si="27"/>
        <v>103176</v>
      </c>
      <c r="B1654" t="str">
        <f>"01031760012"</f>
        <v>01031760012</v>
      </c>
      <c r="C1654" t="s">
        <v>2006</v>
      </c>
      <c r="D1654" t="s">
        <v>36</v>
      </c>
      <c r="E1654">
        <v>47</v>
      </c>
      <c r="F1654">
        <v>1909</v>
      </c>
      <c r="G1654" t="s">
        <v>2007</v>
      </c>
      <c r="H1654">
        <v>24</v>
      </c>
      <c r="I1654" t="s">
        <v>25</v>
      </c>
      <c r="J1654">
        <v>20</v>
      </c>
      <c r="K1654" t="s">
        <v>25</v>
      </c>
      <c r="L1654">
        <v>8</v>
      </c>
      <c r="M1654">
        <v>65038</v>
      </c>
      <c r="N1654">
        <v>4</v>
      </c>
    </row>
    <row r="1655" spans="1:14" x14ac:dyDescent="0.2">
      <c r="A1655" s="3">
        <f t="shared" si="27"/>
        <v>104166</v>
      </c>
      <c r="B1655" t="str">
        <f>"01041660001"</f>
        <v>01041660001</v>
      </c>
      <c r="C1655" t="s">
        <v>2008</v>
      </c>
      <c r="D1655" t="s">
        <v>52</v>
      </c>
      <c r="E1655">
        <v>60</v>
      </c>
      <c r="F1655">
        <v>1205</v>
      </c>
      <c r="G1655" t="s">
        <v>325</v>
      </c>
      <c r="H1655" t="s">
        <v>44</v>
      </c>
      <c r="I1655" t="s">
        <v>45</v>
      </c>
      <c r="J1655" t="s">
        <v>44</v>
      </c>
      <c r="K1655" t="s">
        <v>45</v>
      </c>
      <c r="L1655">
        <v>5</v>
      </c>
      <c r="M1655" t="s">
        <v>65</v>
      </c>
      <c r="N1655" t="s">
        <v>46</v>
      </c>
    </row>
    <row r="1656" spans="1:14" x14ac:dyDescent="0.2">
      <c r="A1656" s="3">
        <f t="shared" si="27"/>
        <v>105014</v>
      </c>
      <c r="B1656" t="str">
        <f>"01050140012"</f>
        <v>01050140012</v>
      </c>
      <c r="C1656" t="s">
        <v>2009</v>
      </c>
      <c r="D1656" t="s">
        <v>1344</v>
      </c>
      <c r="E1656">
        <v>52</v>
      </c>
      <c r="F1656">
        <v>1901</v>
      </c>
      <c r="G1656" t="s">
        <v>2010</v>
      </c>
      <c r="H1656">
        <v>24</v>
      </c>
      <c r="I1656" t="s">
        <v>25</v>
      </c>
      <c r="J1656">
        <v>20</v>
      </c>
      <c r="K1656" t="s">
        <v>25</v>
      </c>
      <c r="L1656">
        <v>6</v>
      </c>
      <c r="M1656">
        <v>4600</v>
      </c>
      <c r="N1656">
        <v>4</v>
      </c>
    </row>
    <row r="1657" spans="1:14" x14ac:dyDescent="0.2">
      <c r="A1657" s="3">
        <f t="shared" si="27"/>
        <v>105044</v>
      </c>
      <c r="B1657" t="str">
        <f>"01050440014"</f>
        <v>01050440014</v>
      </c>
      <c r="C1657" t="s">
        <v>2011</v>
      </c>
      <c r="D1657" t="s">
        <v>686</v>
      </c>
      <c r="E1657">
        <v>83</v>
      </c>
      <c r="F1657">
        <v>8023</v>
      </c>
      <c r="G1657" t="s">
        <v>1009</v>
      </c>
      <c r="H1657">
        <v>16</v>
      </c>
      <c r="I1657" t="s">
        <v>25</v>
      </c>
      <c r="J1657">
        <v>13</v>
      </c>
      <c r="K1657" t="s">
        <v>25</v>
      </c>
      <c r="L1657">
        <v>8</v>
      </c>
      <c r="M1657">
        <v>95206</v>
      </c>
      <c r="N1657">
        <v>3</v>
      </c>
    </row>
    <row r="1658" spans="1:14" x14ac:dyDescent="0.2">
      <c r="A1658" s="3">
        <f t="shared" si="27"/>
        <v>105268</v>
      </c>
      <c r="B1658" t="str">
        <f>"01052680024"</f>
        <v>01052680024</v>
      </c>
      <c r="C1658" t="s">
        <v>2012</v>
      </c>
      <c r="D1658" t="s">
        <v>1339</v>
      </c>
      <c r="E1658">
        <v>70</v>
      </c>
      <c r="F1658">
        <v>655</v>
      </c>
      <c r="G1658" t="s">
        <v>1352</v>
      </c>
      <c r="H1658">
        <v>8</v>
      </c>
      <c r="I1658" t="s">
        <v>25</v>
      </c>
      <c r="J1658">
        <v>6</v>
      </c>
      <c r="K1658" t="s">
        <v>25</v>
      </c>
      <c r="L1658">
        <v>6</v>
      </c>
      <c r="M1658">
        <v>2644</v>
      </c>
      <c r="N1658">
        <v>2</v>
      </c>
    </row>
    <row r="1659" spans="1:14" x14ac:dyDescent="0.2">
      <c r="A1659" s="3">
        <f t="shared" si="27"/>
        <v>105484</v>
      </c>
      <c r="B1659" t="str">
        <f>"01054840048"</f>
        <v>01054840048</v>
      </c>
      <c r="C1659" t="s">
        <v>2013</v>
      </c>
      <c r="D1659" t="s">
        <v>418</v>
      </c>
      <c r="E1659">
        <v>70</v>
      </c>
      <c r="F1659">
        <v>384</v>
      </c>
      <c r="G1659" t="s">
        <v>2014</v>
      </c>
      <c r="H1659">
        <v>150</v>
      </c>
      <c r="I1659" t="s">
        <v>34</v>
      </c>
      <c r="J1659">
        <v>118</v>
      </c>
      <c r="K1659" t="s">
        <v>34</v>
      </c>
      <c r="L1659">
        <v>8</v>
      </c>
      <c r="M1659">
        <v>72072</v>
      </c>
      <c r="N1659">
        <v>32</v>
      </c>
    </row>
    <row r="1660" spans="1:14" x14ac:dyDescent="0.2">
      <c r="A1660" s="3">
        <f t="shared" si="27"/>
        <v>105503</v>
      </c>
      <c r="B1660" t="str">
        <f>"01055030012"</f>
        <v>01055030012</v>
      </c>
      <c r="C1660" t="s">
        <v>2015</v>
      </c>
      <c r="D1660" t="s">
        <v>32</v>
      </c>
      <c r="E1660">
        <v>32</v>
      </c>
      <c r="F1660">
        <v>2094</v>
      </c>
      <c r="G1660" t="s">
        <v>122</v>
      </c>
      <c r="H1660">
        <v>23</v>
      </c>
      <c r="I1660" t="s">
        <v>34</v>
      </c>
      <c r="J1660">
        <v>17</v>
      </c>
      <c r="K1660" t="s">
        <v>34</v>
      </c>
      <c r="L1660">
        <v>8</v>
      </c>
      <c r="M1660">
        <v>81210</v>
      </c>
      <c r="N1660">
        <v>6</v>
      </c>
    </row>
    <row r="1661" spans="1:14" x14ac:dyDescent="0.2">
      <c r="A1661" s="3">
        <f t="shared" si="27"/>
        <v>105544</v>
      </c>
      <c r="B1661" t="str">
        <f>"01055440006"</f>
        <v>01055440006</v>
      </c>
      <c r="C1661" t="s">
        <v>2016</v>
      </c>
      <c r="D1661" t="s">
        <v>52</v>
      </c>
      <c r="E1661">
        <v>31</v>
      </c>
      <c r="F1661">
        <v>3717</v>
      </c>
      <c r="G1661" t="s">
        <v>1414</v>
      </c>
      <c r="H1661">
        <v>25</v>
      </c>
      <c r="I1661" t="s">
        <v>34</v>
      </c>
      <c r="J1661">
        <v>18</v>
      </c>
      <c r="K1661" t="s">
        <v>34</v>
      </c>
      <c r="L1661">
        <v>6</v>
      </c>
      <c r="M1661">
        <v>2516</v>
      </c>
      <c r="N1661">
        <v>7</v>
      </c>
    </row>
    <row r="1662" spans="1:14" x14ac:dyDescent="0.2">
      <c r="A1662" s="3">
        <f t="shared" si="27"/>
        <v>105779</v>
      </c>
      <c r="B1662" t="str">
        <f>"01057790010"</f>
        <v>01057790010</v>
      </c>
      <c r="C1662" t="s">
        <v>2017</v>
      </c>
      <c r="D1662" t="s">
        <v>289</v>
      </c>
      <c r="E1662">
        <v>20</v>
      </c>
      <c r="F1662">
        <v>8086</v>
      </c>
      <c r="G1662" t="s">
        <v>290</v>
      </c>
      <c r="H1662">
        <v>12</v>
      </c>
      <c r="I1662" t="s">
        <v>25</v>
      </c>
      <c r="J1662">
        <v>9</v>
      </c>
      <c r="K1662" t="s">
        <v>25</v>
      </c>
      <c r="L1662">
        <v>8</v>
      </c>
      <c r="M1662">
        <v>89007</v>
      </c>
      <c r="N1662">
        <v>3</v>
      </c>
    </row>
    <row r="1663" spans="1:14" x14ac:dyDescent="0.2">
      <c r="A1663" s="3">
        <f t="shared" si="27"/>
        <v>105779</v>
      </c>
      <c r="B1663" t="str">
        <f>"01057790010"</f>
        <v>01057790010</v>
      </c>
      <c r="C1663" t="s">
        <v>2017</v>
      </c>
      <c r="D1663" t="s">
        <v>289</v>
      </c>
      <c r="E1663">
        <v>20</v>
      </c>
      <c r="F1663">
        <v>188</v>
      </c>
      <c r="G1663" t="s">
        <v>1893</v>
      </c>
      <c r="H1663">
        <v>12</v>
      </c>
      <c r="I1663" t="s">
        <v>25</v>
      </c>
      <c r="J1663">
        <v>9</v>
      </c>
      <c r="K1663" t="s">
        <v>25</v>
      </c>
      <c r="L1663">
        <v>8</v>
      </c>
      <c r="M1663">
        <v>89007</v>
      </c>
      <c r="N1663">
        <v>3</v>
      </c>
    </row>
    <row r="1664" spans="1:14" x14ac:dyDescent="0.2">
      <c r="A1664" s="3">
        <f t="shared" si="27"/>
        <v>105830</v>
      </c>
      <c r="B1664" t="str">
        <f>"01058300021"</f>
        <v>01058300021</v>
      </c>
      <c r="C1664" t="s">
        <v>2018</v>
      </c>
      <c r="D1664" t="s">
        <v>52</v>
      </c>
      <c r="E1664">
        <v>12</v>
      </c>
      <c r="F1664">
        <v>2061</v>
      </c>
      <c r="G1664" t="s">
        <v>1552</v>
      </c>
      <c r="H1664" t="s">
        <v>44</v>
      </c>
      <c r="I1664" t="s">
        <v>45</v>
      </c>
      <c r="J1664" t="s">
        <v>44</v>
      </c>
      <c r="K1664" t="s">
        <v>45</v>
      </c>
      <c r="L1664">
        <v>5</v>
      </c>
      <c r="M1664">
        <v>93225</v>
      </c>
      <c r="N1664" t="s">
        <v>46</v>
      </c>
    </row>
    <row r="1665" spans="1:14" x14ac:dyDescent="0.2">
      <c r="A1665" s="3">
        <f t="shared" si="27"/>
        <v>106131</v>
      </c>
      <c r="B1665" t="str">
        <f>"01061310012"</f>
        <v>01061310012</v>
      </c>
      <c r="C1665" t="s">
        <v>2019</v>
      </c>
      <c r="D1665" t="s">
        <v>431</v>
      </c>
      <c r="E1665">
        <v>45</v>
      </c>
      <c r="F1665">
        <v>1701</v>
      </c>
      <c r="G1665" t="s">
        <v>389</v>
      </c>
      <c r="H1665">
        <v>9</v>
      </c>
      <c r="I1665" t="s">
        <v>25</v>
      </c>
      <c r="J1665">
        <v>7</v>
      </c>
      <c r="K1665" t="s">
        <v>25</v>
      </c>
      <c r="L1665">
        <v>8</v>
      </c>
      <c r="M1665">
        <v>72144</v>
      </c>
      <c r="N1665">
        <v>2</v>
      </c>
    </row>
    <row r="1666" spans="1:14" x14ac:dyDescent="0.2">
      <c r="A1666" s="3">
        <f t="shared" si="27"/>
        <v>106210</v>
      </c>
      <c r="B1666" t="str">
        <f>"01062100012"</f>
        <v>01062100012</v>
      </c>
      <c r="C1666" t="s">
        <v>2020</v>
      </c>
      <c r="D1666" t="s">
        <v>421</v>
      </c>
      <c r="E1666">
        <v>48</v>
      </c>
      <c r="F1666">
        <v>1205</v>
      </c>
      <c r="G1666" t="s">
        <v>325</v>
      </c>
      <c r="H1666">
        <v>18</v>
      </c>
      <c r="I1666" t="s">
        <v>25</v>
      </c>
      <c r="J1666">
        <v>14</v>
      </c>
      <c r="K1666" t="s">
        <v>25</v>
      </c>
      <c r="L1666">
        <v>6</v>
      </c>
      <c r="M1666">
        <v>43616</v>
      </c>
      <c r="N1666">
        <v>4</v>
      </c>
    </row>
    <row r="1667" spans="1:14" x14ac:dyDescent="0.2">
      <c r="A1667" s="3">
        <f t="shared" si="27"/>
        <v>106265</v>
      </c>
      <c r="B1667" t="str">
        <f>"01062650020"</f>
        <v>01062650020</v>
      </c>
      <c r="C1667" t="s">
        <v>2021</v>
      </c>
      <c r="D1667" t="s">
        <v>418</v>
      </c>
      <c r="E1667">
        <v>47</v>
      </c>
      <c r="F1667">
        <v>591</v>
      </c>
      <c r="G1667" t="s">
        <v>460</v>
      </c>
      <c r="H1667">
        <v>18</v>
      </c>
      <c r="I1667" t="s">
        <v>25</v>
      </c>
      <c r="J1667">
        <v>14</v>
      </c>
      <c r="K1667" t="s">
        <v>25</v>
      </c>
      <c r="L1667">
        <v>8</v>
      </c>
      <c r="M1667">
        <v>72225</v>
      </c>
      <c r="N1667">
        <v>4</v>
      </c>
    </row>
    <row r="1668" spans="1:14" x14ac:dyDescent="0.2">
      <c r="A1668" s="3">
        <f t="shared" ref="A1668:A1731" si="28">(B1668-RIGHT(B1668,4))/10000</f>
        <v>107124</v>
      </c>
      <c r="B1668" t="str">
        <f>"01071240120"</f>
        <v>01071240120</v>
      </c>
      <c r="C1668" t="s">
        <v>2022</v>
      </c>
      <c r="D1668" t="s">
        <v>52</v>
      </c>
      <c r="E1668">
        <v>13</v>
      </c>
      <c r="F1668">
        <v>3649</v>
      </c>
      <c r="G1668" t="s">
        <v>2023</v>
      </c>
      <c r="H1668" t="s">
        <v>44</v>
      </c>
      <c r="I1668" t="s">
        <v>45</v>
      </c>
      <c r="J1668" t="s">
        <v>44</v>
      </c>
      <c r="K1668" t="s">
        <v>45</v>
      </c>
      <c r="L1668">
        <v>5</v>
      </c>
      <c r="M1668" t="s">
        <v>65</v>
      </c>
      <c r="N1668" t="s">
        <v>46</v>
      </c>
    </row>
    <row r="1669" spans="1:14" x14ac:dyDescent="0.2">
      <c r="A1669" s="3">
        <f t="shared" si="28"/>
        <v>107124</v>
      </c>
      <c r="B1669" t="str">
        <f>"01071240120"</f>
        <v>01071240120</v>
      </c>
      <c r="C1669" t="s">
        <v>2022</v>
      </c>
      <c r="D1669" t="s">
        <v>52</v>
      </c>
      <c r="E1669">
        <v>13</v>
      </c>
      <c r="F1669">
        <v>8092</v>
      </c>
      <c r="G1669" t="s">
        <v>2024</v>
      </c>
      <c r="H1669" t="s">
        <v>44</v>
      </c>
      <c r="I1669" t="s">
        <v>45</v>
      </c>
      <c r="J1669" t="s">
        <v>44</v>
      </c>
      <c r="K1669" t="s">
        <v>45</v>
      </c>
      <c r="L1669">
        <v>5</v>
      </c>
      <c r="M1669" t="s">
        <v>65</v>
      </c>
      <c r="N1669" t="s">
        <v>46</v>
      </c>
    </row>
    <row r="1670" spans="1:14" x14ac:dyDescent="0.2">
      <c r="A1670" s="3">
        <f t="shared" si="28"/>
        <v>107183</v>
      </c>
      <c r="B1670" t="str">
        <f>"01071830011"</f>
        <v>01071830011</v>
      </c>
      <c r="C1670" t="s">
        <v>2025</v>
      </c>
      <c r="D1670" t="s">
        <v>543</v>
      </c>
      <c r="E1670">
        <v>81</v>
      </c>
      <c r="F1670">
        <v>1254</v>
      </c>
      <c r="G1670" t="s">
        <v>2026</v>
      </c>
      <c r="H1670">
        <v>18</v>
      </c>
      <c r="I1670" t="s">
        <v>25</v>
      </c>
      <c r="J1670">
        <v>14</v>
      </c>
      <c r="K1670" t="s">
        <v>25</v>
      </c>
      <c r="L1670">
        <v>8</v>
      </c>
      <c r="M1670">
        <v>69182</v>
      </c>
      <c r="N1670">
        <v>4</v>
      </c>
    </row>
    <row r="1671" spans="1:14" x14ac:dyDescent="0.2">
      <c r="A1671" s="3">
        <f t="shared" si="28"/>
        <v>107220</v>
      </c>
      <c r="B1671" t="str">
        <f>"01072200018"</f>
        <v>01072200018</v>
      </c>
      <c r="C1671" t="s">
        <v>2027</v>
      </c>
      <c r="D1671" t="s">
        <v>70</v>
      </c>
      <c r="E1671">
        <v>33</v>
      </c>
      <c r="F1671">
        <v>8080</v>
      </c>
      <c r="G1671" t="s">
        <v>1680</v>
      </c>
      <c r="H1671">
        <v>21</v>
      </c>
      <c r="I1671" t="s">
        <v>34</v>
      </c>
      <c r="J1671">
        <v>15</v>
      </c>
      <c r="K1671" t="s">
        <v>34</v>
      </c>
      <c r="L1671">
        <v>8</v>
      </c>
      <c r="M1671">
        <v>83237</v>
      </c>
      <c r="N1671">
        <v>6</v>
      </c>
    </row>
    <row r="1672" spans="1:14" x14ac:dyDescent="0.2">
      <c r="A1672" s="3">
        <f t="shared" si="28"/>
        <v>107378</v>
      </c>
      <c r="B1672" t="str">
        <f>"01073780012"</f>
        <v>01073780012</v>
      </c>
      <c r="C1672" t="s">
        <v>2028</v>
      </c>
      <c r="D1672" t="s">
        <v>421</v>
      </c>
      <c r="E1672">
        <v>52</v>
      </c>
      <c r="F1672">
        <v>1504</v>
      </c>
      <c r="G1672" t="s">
        <v>510</v>
      </c>
      <c r="H1672">
        <v>24</v>
      </c>
      <c r="I1672" t="s">
        <v>25</v>
      </c>
      <c r="J1672">
        <v>20</v>
      </c>
      <c r="K1672" t="s">
        <v>25</v>
      </c>
      <c r="L1672">
        <v>8</v>
      </c>
      <c r="M1672">
        <v>62232</v>
      </c>
      <c r="N1672">
        <v>4</v>
      </c>
    </row>
    <row r="1673" spans="1:14" x14ac:dyDescent="0.2">
      <c r="A1673" s="3">
        <f t="shared" si="28"/>
        <v>108229</v>
      </c>
      <c r="B1673" t="str">
        <f>"01082290010"</f>
        <v>01082290010</v>
      </c>
      <c r="C1673" t="s">
        <v>2029</v>
      </c>
      <c r="D1673" t="s">
        <v>320</v>
      </c>
      <c r="E1673">
        <v>20</v>
      </c>
      <c r="F1673">
        <v>8086</v>
      </c>
      <c r="G1673" t="s">
        <v>290</v>
      </c>
      <c r="H1673">
        <v>12</v>
      </c>
      <c r="I1673" t="s">
        <v>25</v>
      </c>
      <c r="J1673">
        <v>9</v>
      </c>
      <c r="K1673" t="s">
        <v>25</v>
      </c>
      <c r="L1673">
        <v>8</v>
      </c>
      <c r="M1673">
        <v>89023</v>
      </c>
      <c r="N1673">
        <v>3</v>
      </c>
    </row>
    <row r="1674" spans="1:14" x14ac:dyDescent="0.2">
      <c r="A1674" s="3">
        <f t="shared" si="28"/>
        <v>108229</v>
      </c>
      <c r="B1674" t="str">
        <f>"01082290010"</f>
        <v>01082290010</v>
      </c>
      <c r="C1674" t="s">
        <v>2029</v>
      </c>
      <c r="D1674" t="s">
        <v>320</v>
      </c>
      <c r="E1674">
        <v>20</v>
      </c>
      <c r="F1674">
        <v>1423</v>
      </c>
      <c r="G1674" t="s">
        <v>2030</v>
      </c>
      <c r="H1674">
        <v>12</v>
      </c>
      <c r="I1674" t="s">
        <v>25</v>
      </c>
      <c r="J1674">
        <v>9</v>
      </c>
      <c r="K1674" t="s">
        <v>25</v>
      </c>
      <c r="L1674">
        <v>8</v>
      </c>
      <c r="M1674">
        <v>89023</v>
      </c>
      <c r="N1674">
        <v>3</v>
      </c>
    </row>
    <row r="1675" spans="1:14" x14ac:dyDescent="0.2">
      <c r="A1675" s="3">
        <f t="shared" si="28"/>
        <v>108322</v>
      </c>
      <c r="B1675" t="str">
        <f>"01083220004"</f>
        <v>01083220004</v>
      </c>
      <c r="C1675" t="s">
        <v>2031</v>
      </c>
      <c r="D1675" t="s">
        <v>67</v>
      </c>
      <c r="E1675">
        <v>31</v>
      </c>
      <c r="F1675">
        <v>4937</v>
      </c>
      <c r="G1675" t="s">
        <v>68</v>
      </c>
      <c r="H1675">
        <v>20</v>
      </c>
      <c r="I1675" t="s">
        <v>34</v>
      </c>
      <c r="J1675">
        <v>14</v>
      </c>
      <c r="K1675" t="s">
        <v>34</v>
      </c>
      <c r="L1675">
        <v>8</v>
      </c>
      <c r="M1675">
        <v>80061</v>
      </c>
      <c r="N1675">
        <v>6</v>
      </c>
    </row>
    <row r="1676" spans="1:14" x14ac:dyDescent="0.2">
      <c r="A1676" s="3">
        <f t="shared" si="28"/>
        <v>108394</v>
      </c>
      <c r="B1676" t="str">
        <f>"01083940010"</f>
        <v>01083940010</v>
      </c>
      <c r="C1676" t="s">
        <v>2032</v>
      </c>
      <c r="D1676" t="s">
        <v>289</v>
      </c>
      <c r="E1676">
        <v>20</v>
      </c>
      <c r="F1676">
        <v>8086</v>
      </c>
      <c r="G1676" t="s">
        <v>290</v>
      </c>
      <c r="H1676">
        <v>12</v>
      </c>
      <c r="I1676" t="s">
        <v>25</v>
      </c>
      <c r="J1676">
        <v>9</v>
      </c>
      <c r="K1676" t="s">
        <v>25</v>
      </c>
      <c r="L1676">
        <v>8</v>
      </c>
      <c r="M1676">
        <v>86063</v>
      </c>
      <c r="N1676">
        <v>3</v>
      </c>
    </row>
    <row r="1677" spans="1:14" x14ac:dyDescent="0.2">
      <c r="A1677" s="3">
        <f t="shared" si="28"/>
        <v>108394</v>
      </c>
      <c r="B1677" t="str">
        <f>"01083940010"</f>
        <v>01083940010</v>
      </c>
      <c r="C1677" t="s">
        <v>2032</v>
      </c>
      <c r="D1677" t="s">
        <v>289</v>
      </c>
      <c r="E1677">
        <v>20</v>
      </c>
      <c r="F1677">
        <v>8130</v>
      </c>
      <c r="G1677" t="s">
        <v>318</v>
      </c>
      <c r="H1677">
        <v>12</v>
      </c>
      <c r="I1677" t="s">
        <v>25</v>
      </c>
      <c r="J1677">
        <v>9</v>
      </c>
      <c r="K1677" t="s">
        <v>25</v>
      </c>
      <c r="L1677">
        <v>8</v>
      </c>
      <c r="M1677">
        <v>86063</v>
      </c>
      <c r="N1677">
        <v>3</v>
      </c>
    </row>
    <row r="1678" spans="1:14" x14ac:dyDescent="0.2">
      <c r="A1678" s="3">
        <f t="shared" si="28"/>
        <v>108517</v>
      </c>
      <c r="B1678" t="str">
        <f>"01085170016"</f>
        <v>01085170016</v>
      </c>
      <c r="C1678" t="s">
        <v>1216</v>
      </c>
      <c r="D1678" t="s">
        <v>320</v>
      </c>
      <c r="E1678">
        <v>20</v>
      </c>
      <c r="F1678">
        <v>8086</v>
      </c>
      <c r="G1678" t="s">
        <v>290</v>
      </c>
      <c r="H1678">
        <v>9</v>
      </c>
      <c r="I1678" t="s">
        <v>25</v>
      </c>
      <c r="J1678">
        <v>7</v>
      </c>
      <c r="K1678" t="s">
        <v>25</v>
      </c>
      <c r="L1678">
        <v>8</v>
      </c>
      <c r="M1678">
        <v>87060</v>
      </c>
      <c r="N1678">
        <v>2</v>
      </c>
    </row>
    <row r="1679" spans="1:14" x14ac:dyDescent="0.2">
      <c r="A1679" s="3">
        <f t="shared" si="28"/>
        <v>108517</v>
      </c>
      <c r="B1679" t="str">
        <f>"01085170016"</f>
        <v>01085170016</v>
      </c>
      <c r="C1679" t="s">
        <v>1216</v>
      </c>
      <c r="D1679" t="s">
        <v>320</v>
      </c>
      <c r="E1679">
        <v>20</v>
      </c>
      <c r="F1679">
        <v>5930</v>
      </c>
      <c r="G1679" t="s">
        <v>747</v>
      </c>
      <c r="H1679">
        <v>9</v>
      </c>
      <c r="I1679" t="s">
        <v>25</v>
      </c>
      <c r="J1679">
        <v>7</v>
      </c>
      <c r="K1679" t="s">
        <v>25</v>
      </c>
      <c r="L1679">
        <v>8</v>
      </c>
      <c r="M1679">
        <v>87060</v>
      </c>
      <c r="N1679">
        <v>2</v>
      </c>
    </row>
    <row r="1680" spans="1:14" x14ac:dyDescent="0.2">
      <c r="A1680" s="3">
        <f t="shared" si="28"/>
        <v>108636</v>
      </c>
      <c r="B1680" t="str">
        <f>"01086360006"</f>
        <v>01086360006</v>
      </c>
      <c r="C1680" t="s">
        <v>2033</v>
      </c>
      <c r="D1680" t="s">
        <v>23</v>
      </c>
      <c r="E1680">
        <v>62</v>
      </c>
      <c r="F1680">
        <v>2264</v>
      </c>
      <c r="G1680" t="s">
        <v>2034</v>
      </c>
      <c r="H1680">
        <v>24</v>
      </c>
      <c r="I1680" t="s">
        <v>25</v>
      </c>
      <c r="J1680">
        <v>20</v>
      </c>
      <c r="K1680" t="s">
        <v>25</v>
      </c>
      <c r="L1680">
        <v>8</v>
      </c>
      <c r="M1680">
        <v>95101</v>
      </c>
      <c r="N1680">
        <v>3</v>
      </c>
    </row>
    <row r="1681" spans="1:14" x14ac:dyDescent="0.2">
      <c r="A1681" s="3">
        <f t="shared" si="28"/>
        <v>108921</v>
      </c>
      <c r="B1681" t="str">
        <f>"01089210006"</f>
        <v>01089210006</v>
      </c>
      <c r="C1681" t="s">
        <v>2035</v>
      </c>
      <c r="D1681" t="s">
        <v>52</v>
      </c>
      <c r="E1681">
        <v>20</v>
      </c>
      <c r="F1681">
        <v>8086</v>
      </c>
      <c r="G1681" t="s">
        <v>290</v>
      </c>
      <c r="H1681">
        <v>10</v>
      </c>
      <c r="I1681" t="s">
        <v>25</v>
      </c>
      <c r="J1681">
        <v>7</v>
      </c>
      <c r="K1681" t="s">
        <v>25</v>
      </c>
      <c r="L1681">
        <v>6</v>
      </c>
      <c r="M1681">
        <v>99979</v>
      </c>
      <c r="N1681">
        <v>3</v>
      </c>
    </row>
    <row r="1682" spans="1:14" x14ac:dyDescent="0.2">
      <c r="A1682" s="3">
        <f t="shared" si="28"/>
        <v>108921</v>
      </c>
      <c r="B1682" t="str">
        <f>"01089210006"</f>
        <v>01089210006</v>
      </c>
      <c r="C1682" t="s">
        <v>2035</v>
      </c>
      <c r="D1682" t="s">
        <v>52</v>
      </c>
      <c r="E1682">
        <v>20</v>
      </c>
      <c r="F1682">
        <v>3741</v>
      </c>
      <c r="G1682" t="s">
        <v>2036</v>
      </c>
      <c r="H1682">
        <v>10</v>
      </c>
      <c r="I1682" t="s">
        <v>25</v>
      </c>
      <c r="J1682">
        <v>7</v>
      </c>
      <c r="K1682" t="s">
        <v>25</v>
      </c>
      <c r="L1682">
        <v>6</v>
      </c>
      <c r="M1682">
        <v>99979</v>
      </c>
      <c r="N1682">
        <v>3</v>
      </c>
    </row>
    <row r="1683" spans="1:14" x14ac:dyDescent="0.2">
      <c r="A1683" s="3">
        <f t="shared" si="28"/>
        <v>108990</v>
      </c>
      <c r="B1683" t="str">
        <f>"01089900016"</f>
        <v>01089900016</v>
      </c>
      <c r="C1683" t="s">
        <v>2037</v>
      </c>
      <c r="D1683" t="s">
        <v>77</v>
      </c>
      <c r="E1683">
        <v>45</v>
      </c>
      <c r="F1683">
        <v>2226</v>
      </c>
      <c r="G1683" t="s">
        <v>80</v>
      </c>
      <c r="H1683">
        <v>63</v>
      </c>
      <c r="I1683" t="s">
        <v>34</v>
      </c>
      <c r="J1683">
        <v>50</v>
      </c>
      <c r="K1683" t="s">
        <v>34</v>
      </c>
      <c r="L1683">
        <v>8</v>
      </c>
      <c r="M1683">
        <v>81082</v>
      </c>
      <c r="N1683">
        <v>13</v>
      </c>
    </row>
    <row r="1684" spans="1:14" x14ac:dyDescent="0.2">
      <c r="A1684" s="3">
        <f t="shared" si="28"/>
        <v>108999</v>
      </c>
      <c r="B1684" t="str">
        <f>"01089990030"</f>
        <v>01089990030</v>
      </c>
      <c r="C1684" t="s">
        <v>2038</v>
      </c>
      <c r="D1684" t="s">
        <v>42</v>
      </c>
      <c r="E1684">
        <v>70</v>
      </c>
      <c r="F1684">
        <v>2405</v>
      </c>
      <c r="G1684" t="s">
        <v>609</v>
      </c>
      <c r="H1684">
        <v>9</v>
      </c>
      <c r="I1684" t="s">
        <v>25</v>
      </c>
      <c r="J1684">
        <v>7</v>
      </c>
      <c r="K1684" t="s">
        <v>25</v>
      </c>
      <c r="L1684">
        <v>8</v>
      </c>
      <c r="M1684">
        <v>72085</v>
      </c>
      <c r="N1684">
        <v>2</v>
      </c>
    </row>
    <row r="1685" spans="1:14" x14ac:dyDescent="0.2">
      <c r="A1685" s="3">
        <f t="shared" si="28"/>
        <v>109033</v>
      </c>
      <c r="B1685" t="str">
        <f>"01090330006"</f>
        <v>01090330006</v>
      </c>
      <c r="C1685" t="s">
        <v>2039</v>
      </c>
      <c r="D1685" t="s">
        <v>42</v>
      </c>
      <c r="E1685">
        <v>61</v>
      </c>
      <c r="F1685">
        <v>1311</v>
      </c>
      <c r="G1685" t="s">
        <v>956</v>
      </c>
      <c r="H1685" t="s">
        <v>44</v>
      </c>
      <c r="I1685" t="s">
        <v>45</v>
      </c>
      <c r="J1685" t="s">
        <v>44</v>
      </c>
      <c r="K1685" t="s">
        <v>45</v>
      </c>
      <c r="L1685">
        <v>8</v>
      </c>
      <c r="M1685">
        <v>62041</v>
      </c>
      <c r="N1685" t="s">
        <v>46</v>
      </c>
    </row>
    <row r="1686" spans="1:14" x14ac:dyDescent="0.2">
      <c r="A1686" s="3">
        <f t="shared" si="28"/>
        <v>109156</v>
      </c>
      <c r="B1686" t="str">
        <f>"01091560014"</f>
        <v>01091560014</v>
      </c>
      <c r="C1686" t="s">
        <v>2040</v>
      </c>
      <c r="D1686" t="s">
        <v>216</v>
      </c>
      <c r="E1686">
        <v>72</v>
      </c>
      <c r="F1686">
        <v>9998</v>
      </c>
      <c r="G1686" t="s">
        <v>2041</v>
      </c>
      <c r="H1686">
        <v>23</v>
      </c>
      <c r="I1686" t="s">
        <v>34</v>
      </c>
      <c r="J1686">
        <v>17</v>
      </c>
      <c r="K1686" t="s">
        <v>34</v>
      </c>
      <c r="L1686">
        <v>8</v>
      </c>
      <c r="M1686">
        <v>76246</v>
      </c>
      <c r="N1686">
        <v>6</v>
      </c>
    </row>
    <row r="1687" spans="1:14" x14ac:dyDescent="0.2">
      <c r="A1687" s="3">
        <f t="shared" si="28"/>
        <v>109175</v>
      </c>
      <c r="B1687" t="str">
        <f>"01091750006"</f>
        <v>01091750006</v>
      </c>
      <c r="C1687" t="s">
        <v>2042</v>
      </c>
      <c r="D1687" t="s">
        <v>23</v>
      </c>
      <c r="E1687">
        <v>62</v>
      </c>
      <c r="F1687">
        <v>3796</v>
      </c>
      <c r="G1687" t="s">
        <v>24</v>
      </c>
      <c r="H1687">
        <v>8</v>
      </c>
      <c r="I1687" t="s">
        <v>25</v>
      </c>
      <c r="J1687">
        <v>6</v>
      </c>
      <c r="K1687" t="s">
        <v>25</v>
      </c>
      <c r="L1687">
        <v>8</v>
      </c>
      <c r="M1687">
        <v>71274</v>
      </c>
      <c r="N1687">
        <v>2</v>
      </c>
    </row>
    <row r="1688" spans="1:14" x14ac:dyDescent="0.2">
      <c r="A1688" s="3">
        <f t="shared" si="28"/>
        <v>109545</v>
      </c>
      <c r="B1688" t="str">
        <f>"01095450024"</f>
        <v>01095450024</v>
      </c>
      <c r="C1688" t="s">
        <v>2043</v>
      </c>
      <c r="D1688" t="s">
        <v>1344</v>
      </c>
      <c r="E1688">
        <v>84</v>
      </c>
      <c r="F1688">
        <v>112</v>
      </c>
      <c r="G1688" t="s">
        <v>2044</v>
      </c>
      <c r="H1688" t="s">
        <v>44</v>
      </c>
      <c r="I1688" t="s">
        <v>45</v>
      </c>
      <c r="J1688" t="s">
        <v>44</v>
      </c>
      <c r="K1688" t="s">
        <v>45</v>
      </c>
      <c r="L1688">
        <v>6</v>
      </c>
      <c r="M1688">
        <v>35665</v>
      </c>
      <c r="N1688" t="s">
        <v>46</v>
      </c>
    </row>
    <row r="1689" spans="1:14" x14ac:dyDescent="0.2">
      <c r="A1689" s="3">
        <f t="shared" si="28"/>
        <v>109833</v>
      </c>
      <c r="B1689" t="str">
        <f>"01098330038"</f>
        <v>01098330038</v>
      </c>
      <c r="C1689" t="s">
        <v>2045</v>
      </c>
      <c r="D1689" t="s">
        <v>52</v>
      </c>
      <c r="E1689">
        <v>32</v>
      </c>
      <c r="F1689">
        <v>3634</v>
      </c>
      <c r="G1689" t="s">
        <v>1405</v>
      </c>
      <c r="H1689">
        <v>60</v>
      </c>
      <c r="I1689" t="s">
        <v>34</v>
      </c>
      <c r="J1689">
        <v>44</v>
      </c>
      <c r="K1689" t="s">
        <v>34</v>
      </c>
      <c r="L1689">
        <v>5</v>
      </c>
      <c r="M1689" t="s">
        <v>65</v>
      </c>
      <c r="N1689">
        <v>16</v>
      </c>
    </row>
    <row r="1690" spans="1:14" x14ac:dyDescent="0.2">
      <c r="A1690" s="3">
        <f t="shared" si="28"/>
        <v>110517</v>
      </c>
      <c r="B1690" t="str">
        <f>"01105170010"</f>
        <v>01105170010</v>
      </c>
      <c r="C1690" t="s">
        <v>199</v>
      </c>
      <c r="D1690" t="s">
        <v>289</v>
      </c>
      <c r="E1690">
        <v>20</v>
      </c>
      <c r="F1690">
        <v>8086</v>
      </c>
      <c r="G1690" t="s">
        <v>290</v>
      </c>
      <c r="H1690">
        <v>12</v>
      </c>
      <c r="I1690" t="s">
        <v>25</v>
      </c>
      <c r="J1690">
        <v>9</v>
      </c>
      <c r="K1690" t="s">
        <v>25</v>
      </c>
      <c r="L1690">
        <v>8</v>
      </c>
      <c r="M1690">
        <v>87033</v>
      </c>
      <c r="N1690">
        <v>3</v>
      </c>
    </row>
    <row r="1691" spans="1:14" x14ac:dyDescent="0.2">
      <c r="A1691" s="3">
        <f t="shared" si="28"/>
        <v>110517</v>
      </c>
      <c r="B1691" t="str">
        <f>"01105170010"</f>
        <v>01105170010</v>
      </c>
      <c r="C1691" t="s">
        <v>199</v>
      </c>
      <c r="D1691" t="s">
        <v>289</v>
      </c>
      <c r="E1691">
        <v>20</v>
      </c>
      <c r="F1691">
        <v>2811</v>
      </c>
      <c r="G1691" t="s">
        <v>316</v>
      </c>
      <c r="H1691">
        <v>12</v>
      </c>
      <c r="I1691" t="s">
        <v>25</v>
      </c>
      <c r="J1691">
        <v>9</v>
      </c>
      <c r="K1691" t="s">
        <v>25</v>
      </c>
      <c r="L1691">
        <v>8</v>
      </c>
      <c r="M1691">
        <v>87033</v>
      </c>
      <c r="N1691">
        <v>3</v>
      </c>
    </row>
    <row r="1692" spans="1:14" x14ac:dyDescent="0.2">
      <c r="A1692" s="3">
        <f t="shared" si="28"/>
        <v>110655</v>
      </c>
      <c r="B1692" t="str">
        <f>"01106550500"</f>
        <v>01106550500</v>
      </c>
      <c r="C1692" t="s">
        <v>2046</v>
      </c>
      <c r="D1692" t="s">
        <v>23</v>
      </c>
      <c r="E1692">
        <v>47</v>
      </c>
      <c r="F1692">
        <v>8015</v>
      </c>
      <c r="G1692" t="s">
        <v>368</v>
      </c>
      <c r="H1692" t="s">
        <v>44</v>
      </c>
      <c r="I1692" t="s">
        <v>45</v>
      </c>
      <c r="J1692" t="s">
        <v>44</v>
      </c>
      <c r="K1692" t="s">
        <v>45</v>
      </c>
      <c r="L1692">
        <v>8</v>
      </c>
      <c r="M1692">
        <v>95465</v>
      </c>
      <c r="N1692" t="s">
        <v>46</v>
      </c>
    </row>
    <row r="1693" spans="1:14" x14ac:dyDescent="0.2">
      <c r="A1693" s="3">
        <f t="shared" si="28"/>
        <v>111090</v>
      </c>
      <c r="B1693" t="str">
        <f>"01110900012"</f>
        <v>01110900012</v>
      </c>
      <c r="C1693" t="s">
        <v>2047</v>
      </c>
      <c r="D1693" t="s">
        <v>431</v>
      </c>
      <c r="E1693">
        <v>44</v>
      </c>
      <c r="F1693">
        <v>1775</v>
      </c>
      <c r="G1693" t="s">
        <v>435</v>
      </c>
      <c r="H1693">
        <v>24</v>
      </c>
      <c r="I1693" t="s">
        <v>25</v>
      </c>
      <c r="J1693">
        <v>20</v>
      </c>
      <c r="K1693" t="s">
        <v>25</v>
      </c>
      <c r="L1693">
        <v>8</v>
      </c>
      <c r="M1693">
        <v>67017</v>
      </c>
      <c r="N1693">
        <v>4</v>
      </c>
    </row>
    <row r="1694" spans="1:14" x14ac:dyDescent="0.2">
      <c r="A1694" s="3">
        <f t="shared" si="28"/>
        <v>111246</v>
      </c>
      <c r="B1694" t="str">
        <f>"01112460036"</f>
        <v>01112460036</v>
      </c>
      <c r="C1694" t="s">
        <v>2048</v>
      </c>
      <c r="D1694" t="s">
        <v>42</v>
      </c>
      <c r="E1694">
        <v>70</v>
      </c>
      <c r="F1694">
        <v>1647</v>
      </c>
      <c r="G1694" t="s">
        <v>557</v>
      </c>
      <c r="H1694">
        <v>120</v>
      </c>
      <c r="I1694" t="s">
        <v>34</v>
      </c>
      <c r="J1694">
        <v>88</v>
      </c>
      <c r="K1694" t="s">
        <v>34</v>
      </c>
      <c r="L1694">
        <v>8</v>
      </c>
      <c r="M1694">
        <v>74144</v>
      </c>
      <c r="N1694">
        <v>32</v>
      </c>
    </row>
    <row r="1695" spans="1:14" x14ac:dyDescent="0.2">
      <c r="A1695" s="3">
        <f t="shared" si="28"/>
        <v>111790</v>
      </c>
      <c r="B1695" t="str">
        <f>"01117900003"</f>
        <v>01117900003</v>
      </c>
      <c r="C1695" t="s">
        <v>2049</v>
      </c>
      <c r="D1695" t="s">
        <v>32</v>
      </c>
      <c r="E1695">
        <v>31</v>
      </c>
      <c r="F1695">
        <v>4248</v>
      </c>
      <c r="G1695" t="s">
        <v>96</v>
      </c>
      <c r="H1695">
        <v>20</v>
      </c>
      <c r="I1695" t="s">
        <v>34</v>
      </c>
      <c r="J1695">
        <v>14</v>
      </c>
      <c r="K1695" t="s">
        <v>34</v>
      </c>
      <c r="L1695">
        <v>8</v>
      </c>
      <c r="M1695">
        <v>80050</v>
      </c>
      <c r="N1695">
        <v>6</v>
      </c>
    </row>
    <row r="1696" spans="1:14" x14ac:dyDescent="0.2">
      <c r="A1696" s="3">
        <f t="shared" si="28"/>
        <v>111965</v>
      </c>
      <c r="B1696" t="str">
        <f>"01119650036"</f>
        <v>01119650036</v>
      </c>
      <c r="C1696" t="s">
        <v>2050</v>
      </c>
      <c r="D1696" t="s">
        <v>543</v>
      </c>
      <c r="E1696">
        <v>82</v>
      </c>
      <c r="F1696">
        <v>1799</v>
      </c>
      <c r="G1696" t="s">
        <v>2051</v>
      </c>
      <c r="H1696" t="s">
        <v>44</v>
      </c>
      <c r="I1696" t="s">
        <v>45</v>
      </c>
      <c r="J1696" t="s">
        <v>44</v>
      </c>
      <c r="K1696" t="s">
        <v>45</v>
      </c>
      <c r="L1696">
        <v>8</v>
      </c>
      <c r="M1696">
        <v>70259</v>
      </c>
      <c r="N1696" t="s">
        <v>46</v>
      </c>
    </row>
    <row r="1697" spans="1:14" x14ac:dyDescent="0.2">
      <c r="A1697" s="3">
        <f t="shared" si="28"/>
        <v>111987</v>
      </c>
      <c r="B1697" t="str">
        <f>"01119870030"</f>
        <v>01119870030</v>
      </c>
      <c r="C1697" t="s">
        <v>2052</v>
      </c>
      <c r="D1697" t="s">
        <v>543</v>
      </c>
      <c r="E1697">
        <v>82</v>
      </c>
      <c r="F1697">
        <v>1799</v>
      </c>
      <c r="G1697" t="s">
        <v>2051</v>
      </c>
      <c r="H1697" t="s">
        <v>44</v>
      </c>
      <c r="I1697" t="s">
        <v>45</v>
      </c>
      <c r="J1697" t="s">
        <v>44</v>
      </c>
      <c r="K1697" t="s">
        <v>45</v>
      </c>
      <c r="L1697">
        <v>8</v>
      </c>
      <c r="M1697">
        <v>70270</v>
      </c>
      <c r="N1697" t="s">
        <v>46</v>
      </c>
    </row>
    <row r="1698" spans="1:14" x14ac:dyDescent="0.2">
      <c r="A1698" s="3">
        <f t="shared" si="28"/>
        <v>112001</v>
      </c>
      <c r="B1698" t="str">
        <f>"01120010030"</f>
        <v>01120010030</v>
      </c>
      <c r="C1698" t="s">
        <v>2053</v>
      </c>
      <c r="D1698" t="s">
        <v>543</v>
      </c>
      <c r="E1698">
        <v>82</v>
      </c>
      <c r="F1698">
        <v>1799</v>
      </c>
      <c r="G1698" t="s">
        <v>2051</v>
      </c>
      <c r="H1698" t="s">
        <v>44</v>
      </c>
      <c r="I1698" t="s">
        <v>45</v>
      </c>
      <c r="J1698" t="s">
        <v>44</v>
      </c>
      <c r="K1698" t="s">
        <v>45</v>
      </c>
      <c r="L1698">
        <v>8</v>
      </c>
      <c r="M1698">
        <v>70243</v>
      </c>
      <c r="N1698" t="s">
        <v>46</v>
      </c>
    </row>
    <row r="1699" spans="1:14" x14ac:dyDescent="0.2">
      <c r="A1699" s="3">
        <f t="shared" si="28"/>
        <v>112448</v>
      </c>
      <c r="B1699" t="str">
        <f>"01124480006"</f>
        <v>01124480006</v>
      </c>
      <c r="C1699" t="s">
        <v>2054</v>
      </c>
      <c r="D1699" t="s">
        <v>52</v>
      </c>
      <c r="E1699">
        <v>33</v>
      </c>
      <c r="F1699">
        <v>850</v>
      </c>
      <c r="G1699" t="s">
        <v>335</v>
      </c>
      <c r="H1699">
        <v>10</v>
      </c>
      <c r="I1699" t="s">
        <v>25</v>
      </c>
      <c r="J1699">
        <v>7</v>
      </c>
      <c r="K1699" t="s">
        <v>25</v>
      </c>
      <c r="L1699">
        <v>9</v>
      </c>
      <c r="M1699">
        <v>85142</v>
      </c>
      <c r="N1699">
        <v>3</v>
      </c>
    </row>
    <row r="1700" spans="1:14" x14ac:dyDescent="0.2">
      <c r="A1700" s="3">
        <f t="shared" si="28"/>
        <v>112456</v>
      </c>
      <c r="B1700" t="str">
        <f>"01124560010"</f>
        <v>01124560010</v>
      </c>
      <c r="C1700" t="s">
        <v>2055</v>
      </c>
      <c r="D1700" t="s">
        <v>543</v>
      </c>
      <c r="E1700">
        <v>82</v>
      </c>
      <c r="F1700">
        <v>1288</v>
      </c>
      <c r="G1700" t="s">
        <v>1062</v>
      </c>
      <c r="H1700" t="s">
        <v>44</v>
      </c>
      <c r="I1700" t="s">
        <v>45</v>
      </c>
      <c r="J1700" t="s">
        <v>44</v>
      </c>
      <c r="K1700" t="s">
        <v>45</v>
      </c>
      <c r="L1700">
        <v>8</v>
      </c>
      <c r="M1700">
        <v>70214</v>
      </c>
      <c r="N1700" t="s">
        <v>46</v>
      </c>
    </row>
    <row r="1701" spans="1:14" x14ac:dyDescent="0.2">
      <c r="A1701" s="3">
        <f t="shared" si="28"/>
        <v>112457</v>
      </c>
      <c r="B1701" t="str">
        <f>"01124570014"</f>
        <v>01124570014</v>
      </c>
      <c r="C1701" t="s">
        <v>2056</v>
      </c>
      <c r="D1701" t="s">
        <v>543</v>
      </c>
      <c r="E1701">
        <v>82</v>
      </c>
      <c r="F1701">
        <v>1288</v>
      </c>
      <c r="G1701" t="s">
        <v>1062</v>
      </c>
      <c r="H1701" t="s">
        <v>44</v>
      </c>
      <c r="I1701" t="s">
        <v>45</v>
      </c>
      <c r="J1701" t="s">
        <v>44</v>
      </c>
      <c r="K1701" t="s">
        <v>45</v>
      </c>
      <c r="L1701">
        <v>8</v>
      </c>
      <c r="M1701">
        <v>70225</v>
      </c>
      <c r="N1701" t="s">
        <v>46</v>
      </c>
    </row>
    <row r="1702" spans="1:14" x14ac:dyDescent="0.2">
      <c r="A1702" s="3">
        <f t="shared" si="28"/>
        <v>112504</v>
      </c>
      <c r="B1702" t="str">
        <f>"01125040004"</f>
        <v>01125040004</v>
      </c>
      <c r="C1702" t="s">
        <v>2057</v>
      </c>
      <c r="D1702" t="s">
        <v>421</v>
      </c>
      <c r="E1702">
        <v>52</v>
      </c>
      <c r="F1702">
        <v>3253</v>
      </c>
      <c r="G1702" t="s">
        <v>511</v>
      </c>
      <c r="H1702">
        <v>24</v>
      </c>
      <c r="I1702" t="s">
        <v>25</v>
      </c>
      <c r="J1702">
        <v>20</v>
      </c>
      <c r="K1702" t="s">
        <v>25</v>
      </c>
      <c r="L1702">
        <v>8</v>
      </c>
      <c r="M1702">
        <v>65006</v>
      </c>
      <c r="N1702">
        <v>4</v>
      </c>
    </row>
    <row r="1703" spans="1:14" x14ac:dyDescent="0.2">
      <c r="A1703" s="3">
        <f t="shared" si="28"/>
        <v>112518</v>
      </c>
      <c r="B1703" t="str">
        <f>"01125180012"</f>
        <v>01125180012</v>
      </c>
      <c r="C1703" t="s">
        <v>2058</v>
      </c>
      <c r="D1703" t="s">
        <v>421</v>
      </c>
      <c r="E1703">
        <v>52</v>
      </c>
      <c r="F1703">
        <v>1205</v>
      </c>
      <c r="G1703" t="s">
        <v>325</v>
      </c>
      <c r="H1703">
        <v>24</v>
      </c>
      <c r="I1703" t="s">
        <v>25</v>
      </c>
      <c r="J1703">
        <v>20</v>
      </c>
      <c r="K1703" t="s">
        <v>25</v>
      </c>
      <c r="L1703">
        <v>8</v>
      </c>
      <c r="M1703">
        <v>62243</v>
      </c>
      <c r="N1703">
        <v>4</v>
      </c>
    </row>
    <row r="1704" spans="1:14" x14ac:dyDescent="0.2">
      <c r="A1704" s="3">
        <f t="shared" si="28"/>
        <v>112524</v>
      </c>
      <c r="B1704" t="str">
        <f>"01125240015"</f>
        <v>01125240015</v>
      </c>
      <c r="C1704" t="s">
        <v>2059</v>
      </c>
      <c r="D1704" t="s">
        <v>70</v>
      </c>
      <c r="E1704">
        <v>30</v>
      </c>
      <c r="F1704">
        <v>3762</v>
      </c>
      <c r="G1704" t="s">
        <v>2060</v>
      </c>
      <c r="H1704">
        <v>21</v>
      </c>
      <c r="I1704" t="s">
        <v>34</v>
      </c>
      <c r="J1704">
        <v>15</v>
      </c>
      <c r="K1704" t="s">
        <v>34</v>
      </c>
      <c r="L1704">
        <v>8</v>
      </c>
      <c r="M1704">
        <v>83039</v>
      </c>
      <c r="N1704">
        <v>6</v>
      </c>
    </row>
    <row r="1705" spans="1:14" x14ac:dyDescent="0.2">
      <c r="A1705" s="3">
        <f t="shared" si="28"/>
        <v>112534</v>
      </c>
      <c r="B1705" t="str">
        <f>"01125340008"</f>
        <v>01125340008</v>
      </c>
      <c r="C1705" t="s">
        <v>2061</v>
      </c>
      <c r="D1705" t="s">
        <v>604</v>
      </c>
      <c r="E1705">
        <v>83</v>
      </c>
      <c r="F1705">
        <v>8151</v>
      </c>
      <c r="G1705" t="s">
        <v>2062</v>
      </c>
      <c r="H1705" t="s">
        <v>44</v>
      </c>
      <c r="I1705" t="s">
        <v>45</v>
      </c>
      <c r="J1705" t="s">
        <v>44</v>
      </c>
      <c r="K1705" t="s">
        <v>45</v>
      </c>
      <c r="L1705">
        <v>8</v>
      </c>
      <c r="M1705">
        <v>67159</v>
      </c>
      <c r="N1705" t="s">
        <v>46</v>
      </c>
    </row>
    <row r="1706" spans="1:14" x14ac:dyDescent="0.2">
      <c r="A1706" s="3">
        <f t="shared" si="28"/>
        <v>112819</v>
      </c>
      <c r="B1706" t="str">
        <f>"01128190033"</f>
        <v>01128190033</v>
      </c>
      <c r="C1706" t="s">
        <v>2063</v>
      </c>
      <c r="D1706" t="s">
        <v>604</v>
      </c>
      <c r="E1706">
        <v>84</v>
      </c>
      <c r="F1706">
        <v>5998</v>
      </c>
      <c r="G1706" t="s">
        <v>2064</v>
      </c>
      <c r="H1706" t="s">
        <v>44</v>
      </c>
      <c r="I1706" t="s">
        <v>45</v>
      </c>
      <c r="J1706" t="s">
        <v>44</v>
      </c>
      <c r="K1706" t="s">
        <v>45</v>
      </c>
      <c r="L1706">
        <v>8</v>
      </c>
      <c r="M1706">
        <v>70039</v>
      </c>
      <c r="N1706" t="s">
        <v>46</v>
      </c>
    </row>
    <row r="1707" spans="1:14" x14ac:dyDescent="0.2">
      <c r="A1707" s="3">
        <f t="shared" si="28"/>
        <v>112826</v>
      </c>
      <c r="B1707" t="str">
        <f>"01128260020"</f>
        <v>01128260020</v>
      </c>
      <c r="C1707" t="s">
        <v>2065</v>
      </c>
      <c r="D1707" t="s">
        <v>622</v>
      </c>
      <c r="E1707">
        <v>71</v>
      </c>
      <c r="F1707">
        <v>5011</v>
      </c>
      <c r="G1707" t="s">
        <v>631</v>
      </c>
      <c r="H1707">
        <v>9</v>
      </c>
      <c r="I1707" t="s">
        <v>25</v>
      </c>
      <c r="J1707">
        <v>7</v>
      </c>
      <c r="K1707" t="s">
        <v>25</v>
      </c>
      <c r="L1707">
        <v>8</v>
      </c>
      <c r="M1707">
        <v>74181</v>
      </c>
      <c r="N1707">
        <v>2</v>
      </c>
    </row>
    <row r="1708" spans="1:14" x14ac:dyDescent="0.2">
      <c r="A1708" s="3">
        <f t="shared" si="28"/>
        <v>112867</v>
      </c>
      <c r="B1708" t="str">
        <f>"01128670001"</f>
        <v>01128670001</v>
      </c>
      <c r="C1708" t="s">
        <v>2066</v>
      </c>
      <c r="D1708" t="s">
        <v>52</v>
      </c>
      <c r="E1708">
        <v>12</v>
      </c>
      <c r="F1708">
        <v>2237</v>
      </c>
      <c r="G1708" t="s">
        <v>1576</v>
      </c>
      <c r="H1708" t="s">
        <v>44</v>
      </c>
      <c r="I1708" t="s">
        <v>45</v>
      </c>
      <c r="J1708" t="s">
        <v>44</v>
      </c>
      <c r="K1708" t="s">
        <v>45</v>
      </c>
      <c r="L1708">
        <v>5</v>
      </c>
      <c r="M1708" t="s">
        <v>65</v>
      </c>
      <c r="N1708" t="s">
        <v>46</v>
      </c>
    </row>
    <row r="1709" spans="1:14" x14ac:dyDescent="0.2">
      <c r="A1709" s="3">
        <f t="shared" si="28"/>
        <v>112899</v>
      </c>
      <c r="B1709" t="str">
        <f>"01128990030"</f>
        <v>01128990030</v>
      </c>
      <c r="C1709" t="s">
        <v>2067</v>
      </c>
      <c r="D1709" t="s">
        <v>622</v>
      </c>
      <c r="E1709">
        <v>71</v>
      </c>
      <c r="F1709">
        <v>4366</v>
      </c>
      <c r="G1709" t="s">
        <v>625</v>
      </c>
      <c r="H1709">
        <v>150</v>
      </c>
      <c r="I1709" t="s">
        <v>34</v>
      </c>
      <c r="J1709">
        <v>118</v>
      </c>
      <c r="K1709" t="s">
        <v>34</v>
      </c>
      <c r="L1709">
        <v>8</v>
      </c>
      <c r="M1709">
        <v>74247</v>
      </c>
      <c r="N1709">
        <v>32</v>
      </c>
    </row>
    <row r="1710" spans="1:14" x14ac:dyDescent="0.2">
      <c r="A1710" s="3">
        <f t="shared" si="28"/>
        <v>112954</v>
      </c>
      <c r="B1710" t="str">
        <f>"01129540001"</f>
        <v>01129540001</v>
      </c>
      <c r="C1710" t="s">
        <v>2068</v>
      </c>
      <c r="D1710" t="s">
        <v>52</v>
      </c>
      <c r="E1710">
        <v>47</v>
      </c>
      <c r="F1710">
        <v>798</v>
      </c>
      <c r="G1710" t="s">
        <v>2069</v>
      </c>
      <c r="H1710">
        <v>12</v>
      </c>
      <c r="I1710" t="s">
        <v>25</v>
      </c>
      <c r="J1710">
        <v>9</v>
      </c>
      <c r="K1710" t="s">
        <v>25</v>
      </c>
      <c r="L1710">
        <v>6</v>
      </c>
      <c r="M1710" t="s">
        <v>65</v>
      </c>
      <c r="N1710">
        <v>3</v>
      </c>
    </row>
    <row r="1711" spans="1:14" x14ac:dyDescent="0.2">
      <c r="A1711" s="3">
        <f t="shared" si="28"/>
        <v>113106</v>
      </c>
      <c r="B1711" t="str">
        <f>"01131060048"</f>
        <v>01131060048</v>
      </c>
      <c r="C1711" t="s">
        <v>2070</v>
      </c>
      <c r="D1711" t="s">
        <v>543</v>
      </c>
      <c r="E1711">
        <v>84</v>
      </c>
      <c r="F1711">
        <v>3691</v>
      </c>
      <c r="G1711" t="s">
        <v>2071</v>
      </c>
      <c r="H1711" t="s">
        <v>44</v>
      </c>
      <c r="I1711" t="s">
        <v>45</v>
      </c>
      <c r="J1711" t="s">
        <v>44</v>
      </c>
      <c r="K1711" t="s">
        <v>45</v>
      </c>
      <c r="L1711">
        <v>8</v>
      </c>
      <c r="M1711">
        <v>69065</v>
      </c>
      <c r="N1711" t="s">
        <v>46</v>
      </c>
    </row>
    <row r="1712" spans="1:14" x14ac:dyDescent="0.2">
      <c r="A1712" s="3">
        <f t="shared" si="28"/>
        <v>113252</v>
      </c>
      <c r="B1712" t="str">
        <f>"01132520003"</f>
        <v>01132520003</v>
      </c>
      <c r="C1712" t="s">
        <v>2072</v>
      </c>
      <c r="D1712" t="s">
        <v>32</v>
      </c>
      <c r="E1712">
        <v>31</v>
      </c>
      <c r="F1712">
        <v>723</v>
      </c>
      <c r="G1712" t="s">
        <v>1419</v>
      </c>
      <c r="H1712">
        <v>23</v>
      </c>
      <c r="I1712" t="s">
        <v>34</v>
      </c>
      <c r="J1712">
        <v>17</v>
      </c>
      <c r="K1712" t="s">
        <v>34</v>
      </c>
      <c r="L1712">
        <v>8</v>
      </c>
      <c r="M1712">
        <v>80076</v>
      </c>
      <c r="N1712">
        <v>6</v>
      </c>
    </row>
    <row r="1713" spans="1:14" x14ac:dyDescent="0.2">
      <c r="A1713" s="3">
        <f t="shared" si="28"/>
        <v>113253</v>
      </c>
      <c r="B1713" t="str">
        <f>"01132530003"</f>
        <v>01132530003</v>
      </c>
      <c r="C1713" t="s">
        <v>2073</v>
      </c>
      <c r="D1713" t="s">
        <v>32</v>
      </c>
      <c r="E1713">
        <v>31</v>
      </c>
      <c r="F1713">
        <v>723</v>
      </c>
      <c r="G1713" t="s">
        <v>1419</v>
      </c>
      <c r="H1713">
        <v>23</v>
      </c>
      <c r="I1713" t="s">
        <v>34</v>
      </c>
      <c r="J1713">
        <v>17</v>
      </c>
      <c r="K1713" t="s">
        <v>34</v>
      </c>
      <c r="L1713">
        <v>8</v>
      </c>
      <c r="M1713">
        <v>80017</v>
      </c>
      <c r="N1713">
        <v>6</v>
      </c>
    </row>
    <row r="1714" spans="1:14" x14ac:dyDescent="0.2">
      <c r="A1714" s="3">
        <f t="shared" si="28"/>
        <v>113254</v>
      </c>
      <c r="B1714" t="str">
        <f>"01132540018"</f>
        <v>01132540018</v>
      </c>
      <c r="C1714" t="s">
        <v>2074</v>
      </c>
      <c r="D1714" t="s">
        <v>604</v>
      </c>
      <c r="E1714">
        <v>84</v>
      </c>
      <c r="F1714">
        <v>3640</v>
      </c>
      <c r="G1714" t="s">
        <v>1035</v>
      </c>
      <c r="H1714" t="s">
        <v>44</v>
      </c>
      <c r="I1714" t="s">
        <v>45</v>
      </c>
      <c r="J1714" t="s">
        <v>44</v>
      </c>
      <c r="K1714" t="s">
        <v>45</v>
      </c>
      <c r="L1714">
        <v>8</v>
      </c>
      <c r="M1714">
        <v>71016</v>
      </c>
      <c r="N1714" t="s">
        <v>46</v>
      </c>
    </row>
    <row r="1715" spans="1:14" x14ac:dyDescent="0.2">
      <c r="A1715" s="3">
        <f t="shared" si="28"/>
        <v>113261</v>
      </c>
      <c r="B1715" t="str">
        <f>"01132610020"</f>
        <v>01132610020</v>
      </c>
      <c r="C1715" t="s">
        <v>2075</v>
      </c>
      <c r="D1715" t="s">
        <v>289</v>
      </c>
      <c r="E1715">
        <v>20</v>
      </c>
      <c r="F1715">
        <v>8086</v>
      </c>
      <c r="G1715" t="s">
        <v>290</v>
      </c>
      <c r="H1715">
        <v>10</v>
      </c>
      <c r="I1715" t="s">
        <v>25</v>
      </c>
      <c r="J1715">
        <v>7</v>
      </c>
      <c r="K1715" t="s">
        <v>25</v>
      </c>
      <c r="L1715">
        <v>8</v>
      </c>
      <c r="M1715">
        <v>88012</v>
      </c>
      <c r="N1715">
        <v>2</v>
      </c>
    </row>
    <row r="1716" spans="1:14" x14ac:dyDescent="0.2">
      <c r="A1716" s="3">
        <f t="shared" si="28"/>
        <v>113261</v>
      </c>
      <c r="B1716" t="str">
        <f>"01132610020"</f>
        <v>01132610020</v>
      </c>
      <c r="C1716" t="s">
        <v>2075</v>
      </c>
      <c r="D1716" t="s">
        <v>289</v>
      </c>
      <c r="E1716">
        <v>20</v>
      </c>
      <c r="F1716">
        <v>850</v>
      </c>
      <c r="G1716" t="s">
        <v>335</v>
      </c>
      <c r="H1716">
        <v>10</v>
      </c>
      <c r="I1716" t="s">
        <v>25</v>
      </c>
      <c r="J1716">
        <v>7</v>
      </c>
      <c r="K1716" t="s">
        <v>25</v>
      </c>
      <c r="L1716">
        <v>8</v>
      </c>
      <c r="M1716">
        <v>88012</v>
      </c>
      <c r="N1716">
        <v>2</v>
      </c>
    </row>
    <row r="1717" spans="1:14" x14ac:dyDescent="0.2">
      <c r="A1717" s="3">
        <f t="shared" si="28"/>
        <v>113512</v>
      </c>
      <c r="B1717" t="str">
        <f>"01135120012"</f>
        <v>01135120012</v>
      </c>
      <c r="C1717" t="s">
        <v>2076</v>
      </c>
      <c r="D1717" t="s">
        <v>52</v>
      </c>
      <c r="E1717">
        <v>30</v>
      </c>
      <c r="F1717">
        <v>861</v>
      </c>
      <c r="G1717" t="s">
        <v>149</v>
      </c>
      <c r="H1717">
        <v>45</v>
      </c>
      <c r="I1717" t="s">
        <v>34</v>
      </c>
      <c r="J1717">
        <v>34</v>
      </c>
      <c r="K1717" t="s">
        <v>34</v>
      </c>
      <c r="L1717">
        <v>6</v>
      </c>
      <c r="M1717">
        <v>2517</v>
      </c>
      <c r="N1717">
        <v>11</v>
      </c>
    </row>
    <row r="1718" spans="1:14" x14ac:dyDescent="0.2">
      <c r="A1718" s="3">
        <f t="shared" si="28"/>
        <v>113755</v>
      </c>
      <c r="B1718" t="str">
        <f>"01137550010"</f>
        <v>01137550010</v>
      </c>
      <c r="C1718" t="s">
        <v>2077</v>
      </c>
      <c r="D1718" t="s">
        <v>70</v>
      </c>
      <c r="E1718">
        <v>30</v>
      </c>
      <c r="F1718">
        <v>540</v>
      </c>
      <c r="G1718" t="s">
        <v>2078</v>
      </c>
      <c r="H1718">
        <v>21</v>
      </c>
      <c r="I1718" t="s">
        <v>34</v>
      </c>
      <c r="J1718">
        <v>15</v>
      </c>
      <c r="K1718" t="s">
        <v>34</v>
      </c>
      <c r="L1718">
        <v>8</v>
      </c>
      <c r="M1718">
        <v>83232</v>
      </c>
      <c r="N1718">
        <v>6</v>
      </c>
    </row>
    <row r="1719" spans="1:14" x14ac:dyDescent="0.2">
      <c r="A1719" s="3">
        <f t="shared" si="28"/>
        <v>113766</v>
      </c>
      <c r="B1719" t="str">
        <f>"01137660036"</f>
        <v>01137660036</v>
      </c>
      <c r="C1719" t="s">
        <v>2079</v>
      </c>
      <c r="D1719" t="s">
        <v>70</v>
      </c>
      <c r="E1719">
        <v>42</v>
      </c>
      <c r="F1719">
        <v>5829</v>
      </c>
      <c r="G1719" t="s">
        <v>2080</v>
      </c>
      <c r="H1719">
        <v>70</v>
      </c>
      <c r="I1719" t="s">
        <v>34</v>
      </c>
      <c r="J1719">
        <v>56</v>
      </c>
      <c r="K1719" t="s">
        <v>34</v>
      </c>
      <c r="L1719">
        <v>8</v>
      </c>
      <c r="M1719">
        <v>81201</v>
      </c>
      <c r="N1719">
        <v>14</v>
      </c>
    </row>
    <row r="1720" spans="1:14" x14ac:dyDescent="0.2">
      <c r="A1720" s="3">
        <f t="shared" si="28"/>
        <v>114110</v>
      </c>
      <c r="B1720" t="str">
        <f>"01141100010"</f>
        <v>01141100010</v>
      </c>
      <c r="C1720" t="s">
        <v>2081</v>
      </c>
      <c r="D1720" t="s">
        <v>543</v>
      </c>
      <c r="E1720">
        <v>70</v>
      </c>
      <c r="F1720">
        <v>2036</v>
      </c>
      <c r="G1720" t="s">
        <v>600</v>
      </c>
      <c r="H1720">
        <v>126</v>
      </c>
      <c r="I1720" t="s">
        <v>34</v>
      </c>
      <c r="J1720">
        <v>92</v>
      </c>
      <c r="K1720" t="s">
        <v>34</v>
      </c>
      <c r="L1720">
        <v>8</v>
      </c>
      <c r="M1720">
        <v>66245</v>
      </c>
      <c r="N1720">
        <v>34</v>
      </c>
    </row>
    <row r="1721" spans="1:14" x14ac:dyDescent="0.2">
      <c r="A1721" s="3">
        <f t="shared" si="28"/>
        <v>114303</v>
      </c>
      <c r="B1721" t="str">
        <f>"01143030020"</f>
        <v>01143030020</v>
      </c>
      <c r="C1721" t="s">
        <v>2082</v>
      </c>
      <c r="D1721" t="s">
        <v>70</v>
      </c>
      <c r="E1721">
        <v>32</v>
      </c>
      <c r="F1721">
        <v>2113</v>
      </c>
      <c r="G1721" t="s">
        <v>2083</v>
      </c>
      <c r="H1721">
        <v>18</v>
      </c>
      <c r="I1721" t="s">
        <v>34</v>
      </c>
      <c r="J1721">
        <v>13</v>
      </c>
      <c r="K1721" t="s">
        <v>34</v>
      </c>
      <c r="L1721">
        <v>8</v>
      </c>
      <c r="M1721">
        <v>84149</v>
      </c>
      <c r="N1721">
        <v>5</v>
      </c>
    </row>
    <row r="1722" spans="1:14" x14ac:dyDescent="0.2">
      <c r="A1722" s="3">
        <f t="shared" si="28"/>
        <v>114380</v>
      </c>
      <c r="B1722" t="str">
        <f>"01143800001"</f>
        <v>01143800001</v>
      </c>
      <c r="C1722" t="s">
        <v>2084</v>
      </c>
      <c r="D1722" t="s">
        <v>52</v>
      </c>
      <c r="E1722">
        <v>12</v>
      </c>
      <c r="F1722">
        <v>3694</v>
      </c>
      <c r="G1722" t="s">
        <v>1614</v>
      </c>
      <c r="H1722" t="s">
        <v>44</v>
      </c>
      <c r="I1722" t="s">
        <v>45</v>
      </c>
      <c r="J1722" t="s">
        <v>44</v>
      </c>
      <c r="K1722" t="s">
        <v>45</v>
      </c>
      <c r="L1722">
        <v>5</v>
      </c>
      <c r="M1722" t="s">
        <v>65</v>
      </c>
      <c r="N1722" t="s">
        <v>46</v>
      </c>
    </row>
    <row r="1723" spans="1:14" x14ac:dyDescent="0.2">
      <c r="A1723" s="3">
        <f t="shared" si="28"/>
        <v>114539</v>
      </c>
      <c r="B1723" t="str">
        <f>"01145390036"</f>
        <v>01145390036</v>
      </c>
      <c r="C1723" t="s">
        <v>2085</v>
      </c>
      <c r="D1723" t="s">
        <v>52</v>
      </c>
      <c r="E1723">
        <v>83</v>
      </c>
      <c r="F1723">
        <v>1224</v>
      </c>
      <c r="G1723" t="s">
        <v>1014</v>
      </c>
      <c r="H1723" t="s">
        <v>44</v>
      </c>
      <c r="I1723" t="s">
        <v>45</v>
      </c>
      <c r="J1723" t="s">
        <v>44</v>
      </c>
      <c r="K1723" t="s">
        <v>45</v>
      </c>
      <c r="L1723">
        <v>6</v>
      </c>
      <c r="M1723">
        <v>57442</v>
      </c>
      <c r="N1723" t="s">
        <v>46</v>
      </c>
    </row>
    <row r="1724" spans="1:14" x14ac:dyDescent="0.2">
      <c r="A1724" s="3">
        <f t="shared" si="28"/>
        <v>114556</v>
      </c>
      <c r="B1724" t="str">
        <f>"01145560001"</f>
        <v>01145560001</v>
      </c>
      <c r="C1724" t="s">
        <v>2086</v>
      </c>
      <c r="D1724" t="s">
        <v>622</v>
      </c>
      <c r="E1724">
        <v>83</v>
      </c>
      <c r="F1724">
        <v>1224</v>
      </c>
      <c r="G1724" t="s">
        <v>1014</v>
      </c>
      <c r="H1724" t="s">
        <v>44</v>
      </c>
      <c r="I1724" t="s">
        <v>45</v>
      </c>
      <c r="J1724" t="s">
        <v>44</v>
      </c>
      <c r="K1724" t="s">
        <v>45</v>
      </c>
      <c r="L1724">
        <v>8</v>
      </c>
      <c r="M1724">
        <v>95450</v>
      </c>
      <c r="N1724" t="s">
        <v>46</v>
      </c>
    </row>
    <row r="1725" spans="1:14" x14ac:dyDescent="0.2">
      <c r="A1725" s="3">
        <f t="shared" si="28"/>
        <v>114732</v>
      </c>
      <c r="B1725" t="str">
        <f>"01147320096"</f>
        <v>01147320096</v>
      </c>
      <c r="C1725" t="s">
        <v>2087</v>
      </c>
      <c r="D1725" t="s">
        <v>324</v>
      </c>
      <c r="E1725">
        <v>74</v>
      </c>
      <c r="F1725">
        <v>8086</v>
      </c>
      <c r="G1725" t="s">
        <v>290</v>
      </c>
      <c r="H1725">
        <v>120</v>
      </c>
      <c r="I1725" t="s">
        <v>34</v>
      </c>
      <c r="J1725">
        <v>88</v>
      </c>
      <c r="K1725" t="s">
        <v>34</v>
      </c>
      <c r="L1725">
        <v>8</v>
      </c>
      <c r="M1725">
        <v>86046</v>
      </c>
      <c r="N1725">
        <v>1</v>
      </c>
    </row>
    <row r="1726" spans="1:14" x14ac:dyDescent="0.2">
      <c r="A1726" s="3">
        <f t="shared" si="28"/>
        <v>114732</v>
      </c>
      <c r="B1726" t="str">
        <f>"01147320096"</f>
        <v>01147320096</v>
      </c>
      <c r="C1726" t="s">
        <v>2087</v>
      </c>
      <c r="D1726" t="s">
        <v>324</v>
      </c>
      <c r="E1726">
        <v>74</v>
      </c>
      <c r="F1726">
        <v>829</v>
      </c>
      <c r="G1726" t="s">
        <v>1944</v>
      </c>
      <c r="H1726">
        <v>120</v>
      </c>
      <c r="I1726" t="s">
        <v>34</v>
      </c>
      <c r="J1726">
        <v>88</v>
      </c>
      <c r="K1726" t="s">
        <v>34</v>
      </c>
      <c r="L1726">
        <v>8</v>
      </c>
      <c r="M1726">
        <v>86046</v>
      </c>
      <c r="N1726">
        <v>1</v>
      </c>
    </row>
    <row r="1727" spans="1:14" x14ac:dyDescent="0.2">
      <c r="A1727" s="3">
        <f t="shared" si="28"/>
        <v>114807</v>
      </c>
      <c r="B1727" t="str">
        <f>"01148070048"</f>
        <v>01148070048</v>
      </c>
      <c r="C1727" t="s">
        <v>2088</v>
      </c>
      <c r="D1727" t="s">
        <v>421</v>
      </c>
      <c r="E1727">
        <v>50</v>
      </c>
      <c r="F1727">
        <v>1205</v>
      </c>
      <c r="G1727" t="s">
        <v>325</v>
      </c>
      <c r="H1727">
        <v>24</v>
      </c>
      <c r="I1727" t="s">
        <v>25</v>
      </c>
      <c r="J1727">
        <v>20</v>
      </c>
      <c r="K1727" t="s">
        <v>25</v>
      </c>
      <c r="L1727">
        <v>8</v>
      </c>
      <c r="M1727">
        <v>65159</v>
      </c>
      <c r="N1727">
        <v>4</v>
      </c>
    </row>
    <row r="1728" spans="1:14" x14ac:dyDescent="0.2">
      <c r="A1728" s="3">
        <f t="shared" si="28"/>
        <v>114904</v>
      </c>
      <c r="B1728" t="str">
        <f>"01149040014"</f>
        <v>01149040014</v>
      </c>
      <c r="C1728" t="s">
        <v>2089</v>
      </c>
      <c r="D1728" t="s">
        <v>686</v>
      </c>
      <c r="E1728">
        <v>47</v>
      </c>
      <c r="F1728">
        <v>1417</v>
      </c>
      <c r="G1728" t="s">
        <v>687</v>
      </c>
      <c r="H1728">
        <v>9</v>
      </c>
      <c r="I1728" t="s">
        <v>25</v>
      </c>
      <c r="J1728">
        <v>7</v>
      </c>
      <c r="K1728" t="s">
        <v>25</v>
      </c>
      <c r="L1728">
        <v>8</v>
      </c>
      <c r="M1728">
        <v>76067</v>
      </c>
      <c r="N1728">
        <v>2</v>
      </c>
    </row>
    <row r="1729" spans="1:14" x14ac:dyDescent="0.2">
      <c r="A1729" s="3">
        <f t="shared" si="28"/>
        <v>115151</v>
      </c>
      <c r="B1729" t="str">
        <f>"01151510006"</f>
        <v>01151510006</v>
      </c>
      <c r="C1729" t="s">
        <v>2090</v>
      </c>
      <c r="D1729" t="s">
        <v>67</v>
      </c>
      <c r="E1729">
        <v>31</v>
      </c>
      <c r="F1729">
        <v>4937</v>
      </c>
      <c r="G1729" t="s">
        <v>68</v>
      </c>
      <c r="H1729">
        <v>18</v>
      </c>
      <c r="I1729" t="s">
        <v>34</v>
      </c>
      <c r="J1729">
        <v>13</v>
      </c>
      <c r="K1729" t="s">
        <v>34</v>
      </c>
      <c r="L1729">
        <v>8</v>
      </c>
      <c r="M1729">
        <v>80175</v>
      </c>
      <c r="N1729">
        <v>5</v>
      </c>
    </row>
    <row r="1730" spans="1:14" x14ac:dyDescent="0.2">
      <c r="A1730" s="3">
        <f t="shared" si="28"/>
        <v>115155</v>
      </c>
      <c r="B1730" t="str">
        <f>"01151550004"</f>
        <v>01151550004</v>
      </c>
      <c r="C1730" t="s">
        <v>2091</v>
      </c>
      <c r="D1730" t="s">
        <v>67</v>
      </c>
      <c r="E1730">
        <v>31</v>
      </c>
      <c r="F1730">
        <v>4937</v>
      </c>
      <c r="G1730" t="s">
        <v>68</v>
      </c>
      <c r="H1730">
        <v>20</v>
      </c>
      <c r="I1730" t="s">
        <v>34</v>
      </c>
      <c r="J1730">
        <v>14</v>
      </c>
      <c r="K1730" t="s">
        <v>34</v>
      </c>
      <c r="L1730">
        <v>8</v>
      </c>
      <c r="M1730">
        <v>80164</v>
      </c>
      <c r="N1730">
        <v>6</v>
      </c>
    </row>
    <row r="1731" spans="1:14" x14ac:dyDescent="0.2">
      <c r="A1731" s="3">
        <f t="shared" si="28"/>
        <v>115213</v>
      </c>
      <c r="B1731" t="str">
        <f>"01152130400"</f>
        <v>01152130400</v>
      </c>
      <c r="C1731" t="s">
        <v>2092</v>
      </c>
      <c r="D1731" t="s">
        <v>604</v>
      </c>
      <c r="E1731">
        <v>85</v>
      </c>
      <c r="F1731">
        <v>1495</v>
      </c>
      <c r="G1731" t="s">
        <v>2093</v>
      </c>
      <c r="H1731" t="s">
        <v>44</v>
      </c>
      <c r="I1731" t="s">
        <v>45</v>
      </c>
      <c r="J1731" t="s">
        <v>44</v>
      </c>
      <c r="K1731" t="s">
        <v>45</v>
      </c>
      <c r="L1731">
        <v>8</v>
      </c>
      <c r="M1731">
        <v>73050</v>
      </c>
      <c r="N1731" t="s">
        <v>46</v>
      </c>
    </row>
    <row r="1732" spans="1:14" x14ac:dyDescent="0.2">
      <c r="A1732" s="3">
        <f t="shared" ref="A1732:A1795" si="29">(B1732-RIGHT(B1732,4))/10000</f>
        <v>115227</v>
      </c>
      <c r="B1732" t="str">
        <f>"01152270020"</f>
        <v>01152270020</v>
      </c>
      <c r="C1732" t="s">
        <v>2094</v>
      </c>
      <c r="D1732" t="s">
        <v>42</v>
      </c>
      <c r="E1732">
        <v>70</v>
      </c>
      <c r="F1732">
        <v>703</v>
      </c>
      <c r="G1732" t="s">
        <v>562</v>
      </c>
      <c r="H1732">
        <v>7</v>
      </c>
      <c r="I1732" t="s">
        <v>25</v>
      </c>
      <c r="J1732">
        <v>5</v>
      </c>
      <c r="K1732" t="s">
        <v>25</v>
      </c>
      <c r="L1732">
        <v>8</v>
      </c>
      <c r="M1732">
        <v>74023</v>
      </c>
      <c r="N1732">
        <v>2</v>
      </c>
    </row>
    <row r="1733" spans="1:14" x14ac:dyDescent="0.2">
      <c r="A1733" s="3">
        <f t="shared" si="29"/>
        <v>115352</v>
      </c>
      <c r="B1733" t="str">
        <f>"01153520010"</f>
        <v>01153520010</v>
      </c>
      <c r="C1733" t="s">
        <v>2095</v>
      </c>
      <c r="D1733" t="s">
        <v>289</v>
      </c>
      <c r="E1733">
        <v>20</v>
      </c>
      <c r="F1733">
        <v>8086</v>
      </c>
      <c r="G1733" t="s">
        <v>290</v>
      </c>
      <c r="H1733">
        <v>12</v>
      </c>
      <c r="I1733" t="s">
        <v>25</v>
      </c>
      <c r="J1733">
        <v>9</v>
      </c>
      <c r="K1733" t="s">
        <v>25</v>
      </c>
      <c r="L1733">
        <v>8</v>
      </c>
      <c r="M1733">
        <v>89019</v>
      </c>
      <c r="N1733">
        <v>3</v>
      </c>
    </row>
    <row r="1734" spans="1:14" x14ac:dyDescent="0.2">
      <c r="A1734" s="3">
        <f t="shared" si="29"/>
        <v>115352</v>
      </c>
      <c r="B1734" t="str">
        <f>"01153520010"</f>
        <v>01153520010</v>
      </c>
      <c r="C1734" t="s">
        <v>2095</v>
      </c>
      <c r="D1734" t="s">
        <v>289</v>
      </c>
      <c r="E1734">
        <v>20</v>
      </c>
      <c r="F1734">
        <v>2044</v>
      </c>
      <c r="G1734" t="s">
        <v>741</v>
      </c>
      <c r="H1734">
        <v>12</v>
      </c>
      <c r="I1734" t="s">
        <v>25</v>
      </c>
      <c r="J1734">
        <v>9</v>
      </c>
      <c r="K1734" t="s">
        <v>25</v>
      </c>
      <c r="L1734">
        <v>8</v>
      </c>
      <c r="M1734">
        <v>89019</v>
      </c>
      <c r="N1734">
        <v>3</v>
      </c>
    </row>
    <row r="1735" spans="1:14" x14ac:dyDescent="0.2">
      <c r="A1735" s="3">
        <f t="shared" si="29"/>
        <v>115462</v>
      </c>
      <c r="B1735" t="str">
        <f>"01154620004"</f>
        <v>01154620004</v>
      </c>
      <c r="C1735" t="s">
        <v>1455</v>
      </c>
      <c r="D1735" t="s">
        <v>386</v>
      </c>
      <c r="E1735">
        <v>60</v>
      </c>
      <c r="F1735">
        <v>4390</v>
      </c>
      <c r="G1735" t="s">
        <v>2096</v>
      </c>
      <c r="H1735" t="s">
        <v>44</v>
      </c>
      <c r="I1735" t="s">
        <v>45</v>
      </c>
      <c r="J1735" t="s">
        <v>44</v>
      </c>
      <c r="K1735" t="s">
        <v>45</v>
      </c>
      <c r="L1735">
        <v>8</v>
      </c>
      <c r="M1735">
        <v>62105</v>
      </c>
      <c r="N1735" t="s">
        <v>46</v>
      </c>
    </row>
    <row r="1736" spans="1:14" x14ac:dyDescent="0.2">
      <c r="A1736" s="3">
        <f t="shared" si="29"/>
        <v>115538</v>
      </c>
      <c r="B1736" t="str">
        <f>"01155380006"</f>
        <v>01155380006</v>
      </c>
      <c r="C1736" t="s">
        <v>2097</v>
      </c>
      <c r="D1736" t="s">
        <v>48</v>
      </c>
      <c r="E1736">
        <v>31</v>
      </c>
      <c r="F1736">
        <v>2174</v>
      </c>
      <c r="G1736" t="s">
        <v>85</v>
      </c>
      <c r="H1736">
        <v>18</v>
      </c>
      <c r="I1736" t="s">
        <v>34</v>
      </c>
      <c r="J1736">
        <v>13</v>
      </c>
      <c r="K1736" t="s">
        <v>34</v>
      </c>
      <c r="L1736">
        <v>8</v>
      </c>
      <c r="M1736">
        <v>80091</v>
      </c>
      <c r="N1736">
        <v>5</v>
      </c>
    </row>
    <row r="1737" spans="1:14" x14ac:dyDescent="0.2">
      <c r="A1737" s="3">
        <f t="shared" si="29"/>
        <v>115682</v>
      </c>
      <c r="B1737" t="str">
        <f>"01156820012"</f>
        <v>01156820012</v>
      </c>
      <c r="C1737" t="s">
        <v>2098</v>
      </c>
      <c r="D1737" t="s">
        <v>52</v>
      </c>
      <c r="E1737">
        <v>31</v>
      </c>
      <c r="F1737">
        <v>1418</v>
      </c>
      <c r="G1737" t="s">
        <v>2099</v>
      </c>
      <c r="H1737">
        <v>25</v>
      </c>
      <c r="I1737" t="s">
        <v>34</v>
      </c>
      <c r="J1737">
        <v>18</v>
      </c>
      <c r="K1737" t="s">
        <v>34</v>
      </c>
      <c r="L1737">
        <v>6</v>
      </c>
      <c r="M1737">
        <v>1524</v>
      </c>
      <c r="N1737">
        <v>7</v>
      </c>
    </row>
    <row r="1738" spans="1:14" x14ac:dyDescent="0.2">
      <c r="A1738" s="3">
        <f t="shared" si="29"/>
        <v>115731</v>
      </c>
      <c r="B1738" t="str">
        <f>"01157310036"</f>
        <v>01157310036</v>
      </c>
      <c r="C1738" t="s">
        <v>2100</v>
      </c>
      <c r="D1738" t="s">
        <v>543</v>
      </c>
      <c r="E1738">
        <v>85</v>
      </c>
      <c r="F1738">
        <v>112</v>
      </c>
      <c r="G1738" t="s">
        <v>2044</v>
      </c>
      <c r="H1738" t="s">
        <v>44</v>
      </c>
      <c r="I1738" t="s">
        <v>45</v>
      </c>
      <c r="J1738" t="s">
        <v>44</v>
      </c>
      <c r="K1738" t="s">
        <v>45</v>
      </c>
      <c r="L1738">
        <v>8</v>
      </c>
      <c r="M1738">
        <v>69083</v>
      </c>
      <c r="N1738" t="s">
        <v>46</v>
      </c>
    </row>
    <row r="1739" spans="1:14" x14ac:dyDescent="0.2">
      <c r="A1739" s="3">
        <f t="shared" si="29"/>
        <v>115859</v>
      </c>
      <c r="B1739" t="str">
        <f>"01158590013"</f>
        <v>01158590013</v>
      </c>
      <c r="C1739" t="s">
        <v>2101</v>
      </c>
      <c r="D1739" t="s">
        <v>686</v>
      </c>
      <c r="E1739">
        <v>47</v>
      </c>
      <c r="F1739">
        <v>1417</v>
      </c>
      <c r="G1739" t="s">
        <v>687</v>
      </c>
      <c r="H1739">
        <v>9</v>
      </c>
      <c r="I1739" t="s">
        <v>25</v>
      </c>
      <c r="J1739">
        <v>7</v>
      </c>
      <c r="K1739" t="s">
        <v>25</v>
      </c>
      <c r="L1739">
        <v>8</v>
      </c>
      <c r="M1739">
        <v>76061</v>
      </c>
      <c r="N1739">
        <v>2</v>
      </c>
    </row>
    <row r="1740" spans="1:14" x14ac:dyDescent="0.2">
      <c r="A1740" s="3">
        <f t="shared" si="29"/>
        <v>116050</v>
      </c>
      <c r="B1740" t="str">
        <f>"01160500012"</f>
        <v>01160500012</v>
      </c>
      <c r="C1740" t="s">
        <v>2102</v>
      </c>
      <c r="D1740" t="s">
        <v>42</v>
      </c>
      <c r="E1740">
        <v>44</v>
      </c>
      <c r="F1740">
        <v>3559</v>
      </c>
      <c r="G1740" t="s">
        <v>2103</v>
      </c>
      <c r="H1740">
        <v>8</v>
      </c>
      <c r="I1740" t="s">
        <v>25</v>
      </c>
      <c r="J1740">
        <v>6</v>
      </c>
      <c r="K1740" t="s">
        <v>25</v>
      </c>
      <c r="L1740">
        <v>8</v>
      </c>
      <c r="M1740">
        <v>65245</v>
      </c>
      <c r="N1740">
        <v>2</v>
      </c>
    </row>
    <row r="1741" spans="1:14" x14ac:dyDescent="0.2">
      <c r="A1741" s="3">
        <f t="shared" si="29"/>
        <v>116299</v>
      </c>
      <c r="B1741" t="str">
        <f>"01162990001"</f>
        <v>01162990001</v>
      </c>
      <c r="C1741" t="s">
        <v>2104</v>
      </c>
      <c r="D1741" t="s">
        <v>52</v>
      </c>
      <c r="E1741">
        <v>60</v>
      </c>
      <c r="F1741">
        <v>1341</v>
      </c>
      <c r="G1741" t="s">
        <v>904</v>
      </c>
      <c r="H1741" t="s">
        <v>44</v>
      </c>
      <c r="I1741" t="s">
        <v>45</v>
      </c>
      <c r="J1741" t="s">
        <v>44</v>
      </c>
      <c r="K1741" t="s">
        <v>45</v>
      </c>
      <c r="L1741">
        <v>5</v>
      </c>
      <c r="M1741" t="s">
        <v>65</v>
      </c>
      <c r="N1741" t="s">
        <v>46</v>
      </c>
    </row>
    <row r="1742" spans="1:14" x14ac:dyDescent="0.2">
      <c r="A1742" s="3">
        <f t="shared" si="29"/>
        <v>116299</v>
      </c>
      <c r="B1742" t="str">
        <f>"01162990004"</f>
        <v>01162990004</v>
      </c>
      <c r="C1742" t="s">
        <v>2104</v>
      </c>
      <c r="D1742" t="s">
        <v>386</v>
      </c>
      <c r="E1742">
        <v>60</v>
      </c>
      <c r="F1742">
        <v>1341</v>
      </c>
      <c r="G1742" t="s">
        <v>904</v>
      </c>
      <c r="H1742" t="s">
        <v>44</v>
      </c>
      <c r="I1742" t="s">
        <v>45</v>
      </c>
      <c r="J1742" t="s">
        <v>44</v>
      </c>
      <c r="K1742" t="s">
        <v>45</v>
      </c>
      <c r="L1742">
        <v>8</v>
      </c>
      <c r="M1742">
        <v>62102</v>
      </c>
      <c r="N1742" t="s">
        <v>46</v>
      </c>
    </row>
    <row r="1743" spans="1:14" x14ac:dyDescent="0.2">
      <c r="A1743" s="3">
        <f t="shared" si="29"/>
        <v>116303</v>
      </c>
      <c r="B1743" t="str">
        <f>"01163030004"</f>
        <v>01163030004</v>
      </c>
      <c r="C1743" t="s">
        <v>2105</v>
      </c>
      <c r="D1743" t="s">
        <v>386</v>
      </c>
      <c r="E1743">
        <v>60</v>
      </c>
      <c r="F1743">
        <v>2007</v>
      </c>
      <c r="G1743" t="s">
        <v>387</v>
      </c>
      <c r="H1743" t="s">
        <v>44</v>
      </c>
      <c r="I1743" t="s">
        <v>45</v>
      </c>
      <c r="J1743" t="s">
        <v>44</v>
      </c>
      <c r="K1743" t="s">
        <v>45</v>
      </c>
      <c r="L1743">
        <v>7</v>
      </c>
      <c r="M1743">
        <v>62094</v>
      </c>
      <c r="N1743" t="s">
        <v>46</v>
      </c>
    </row>
    <row r="1744" spans="1:14" x14ac:dyDescent="0.2">
      <c r="A1744" s="3">
        <f t="shared" si="29"/>
        <v>116329</v>
      </c>
      <c r="B1744" t="str">
        <f>"01163290006"</f>
        <v>01163290006</v>
      </c>
      <c r="C1744" t="s">
        <v>2106</v>
      </c>
      <c r="D1744" t="s">
        <v>23</v>
      </c>
      <c r="E1744">
        <v>41</v>
      </c>
      <c r="F1744">
        <v>1220</v>
      </c>
      <c r="G1744" t="s">
        <v>212</v>
      </c>
      <c r="H1744">
        <v>60</v>
      </c>
      <c r="I1744" t="s">
        <v>34</v>
      </c>
      <c r="J1744">
        <v>44</v>
      </c>
      <c r="K1744" t="s">
        <v>34</v>
      </c>
      <c r="L1744">
        <v>8</v>
      </c>
      <c r="M1744">
        <v>69204</v>
      </c>
      <c r="N1744">
        <v>16</v>
      </c>
    </row>
    <row r="1745" spans="1:14" x14ac:dyDescent="0.2">
      <c r="A1745" s="3">
        <f t="shared" si="29"/>
        <v>116573</v>
      </c>
      <c r="B1745" t="str">
        <f>"01165730015"</f>
        <v>01165730015</v>
      </c>
      <c r="C1745" t="s">
        <v>2107</v>
      </c>
      <c r="D1745" t="s">
        <v>604</v>
      </c>
      <c r="E1745">
        <v>82</v>
      </c>
      <c r="F1745">
        <v>907</v>
      </c>
      <c r="G1745" t="s">
        <v>1076</v>
      </c>
      <c r="H1745" t="s">
        <v>44</v>
      </c>
      <c r="I1745" t="s">
        <v>45</v>
      </c>
      <c r="J1745" t="s">
        <v>44</v>
      </c>
      <c r="K1745" t="s">
        <v>45</v>
      </c>
      <c r="L1745">
        <v>8</v>
      </c>
      <c r="M1745">
        <v>70193</v>
      </c>
      <c r="N1745" t="s">
        <v>46</v>
      </c>
    </row>
    <row r="1746" spans="1:14" x14ac:dyDescent="0.2">
      <c r="A1746" s="3">
        <f t="shared" si="29"/>
        <v>116739</v>
      </c>
      <c r="B1746" t="str">
        <f>"01167390020"</f>
        <v>01167390020</v>
      </c>
      <c r="C1746" t="s">
        <v>2108</v>
      </c>
      <c r="D1746" t="s">
        <v>77</v>
      </c>
      <c r="E1746">
        <v>35</v>
      </c>
      <c r="F1746">
        <v>1444</v>
      </c>
      <c r="G1746" t="s">
        <v>78</v>
      </c>
      <c r="H1746">
        <v>45</v>
      </c>
      <c r="I1746" t="s">
        <v>34</v>
      </c>
      <c r="J1746">
        <v>34</v>
      </c>
      <c r="K1746" t="s">
        <v>34</v>
      </c>
      <c r="L1746">
        <v>8</v>
      </c>
      <c r="M1746">
        <v>81085</v>
      </c>
      <c r="N1746">
        <v>10</v>
      </c>
    </row>
    <row r="1747" spans="1:14" x14ac:dyDescent="0.2">
      <c r="A1747" s="3">
        <f t="shared" si="29"/>
        <v>116872</v>
      </c>
      <c r="B1747" t="str">
        <f>"01168720024"</f>
        <v>01168720024</v>
      </c>
      <c r="C1747" t="s">
        <v>2109</v>
      </c>
      <c r="D1747" t="s">
        <v>604</v>
      </c>
      <c r="E1747">
        <v>82</v>
      </c>
      <c r="F1747">
        <v>907</v>
      </c>
      <c r="G1747" t="s">
        <v>1076</v>
      </c>
      <c r="H1747" t="s">
        <v>44</v>
      </c>
      <c r="I1747" t="s">
        <v>45</v>
      </c>
      <c r="J1747" t="s">
        <v>44</v>
      </c>
      <c r="K1747" t="s">
        <v>45</v>
      </c>
      <c r="L1747">
        <v>8</v>
      </c>
      <c r="M1747">
        <v>70221</v>
      </c>
      <c r="N1747" t="s">
        <v>46</v>
      </c>
    </row>
    <row r="1748" spans="1:14" x14ac:dyDescent="0.2">
      <c r="A1748" s="3">
        <f t="shared" si="29"/>
        <v>116893</v>
      </c>
      <c r="B1748" t="str">
        <f>"01168930012"</f>
        <v>01168930012</v>
      </c>
      <c r="C1748" t="s">
        <v>2110</v>
      </c>
      <c r="D1748" t="s">
        <v>622</v>
      </c>
      <c r="E1748">
        <v>48</v>
      </c>
      <c r="F1748">
        <v>724</v>
      </c>
      <c r="G1748" t="s">
        <v>675</v>
      </c>
      <c r="H1748">
        <v>15</v>
      </c>
      <c r="I1748" t="s">
        <v>25</v>
      </c>
      <c r="J1748">
        <v>11</v>
      </c>
      <c r="K1748" t="s">
        <v>25</v>
      </c>
      <c r="L1748">
        <v>8</v>
      </c>
      <c r="M1748">
        <v>73078</v>
      </c>
      <c r="N1748">
        <v>4</v>
      </c>
    </row>
    <row r="1749" spans="1:14" x14ac:dyDescent="0.2">
      <c r="A1749" s="3">
        <f t="shared" si="29"/>
        <v>116915</v>
      </c>
      <c r="B1749" t="str">
        <f>"01169150008"</f>
        <v>01169150008</v>
      </c>
      <c r="C1749" t="s">
        <v>2111</v>
      </c>
      <c r="D1749" t="s">
        <v>32</v>
      </c>
      <c r="E1749">
        <v>31</v>
      </c>
      <c r="F1749">
        <v>723</v>
      </c>
      <c r="G1749" t="s">
        <v>1419</v>
      </c>
      <c r="H1749">
        <v>23</v>
      </c>
      <c r="I1749" t="s">
        <v>34</v>
      </c>
      <c r="J1749">
        <v>17</v>
      </c>
      <c r="K1749" t="s">
        <v>34</v>
      </c>
      <c r="L1749">
        <v>8</v>
      </c>
      <c r="M1749">
        <v>80146</v>
      </c>
      <c r="N1749">
        <v>6</v>
      </c>
    </row>
    <row r="1750" spans="1:14" x14ac:dyDescent="0.2">
      <c r="A1750" s="3">
        <f t="shared" si="29"/>
        <v>116942</v>
      </c>
      <c r="B1750" t="str">
        <f>"01169420010"</f>
        <v>01169420010</v>
      </c>
      <c r="C1750" t="s">
        <v>2112</v>
      </c>
      <c r="D1750" t="s">
        <v>289</v>
      </c>
      <c r="E1750">
        <v>20</v>
      </c>
      <c r="F1750">
        <v>8086</v>
      </c>
      <c r="G1750" t="s">
        <v>290</v>
      </c>
      <c r="H1750">
        <v>6</v>
      </c>
      <c r="I1750" t="s">
        <v>25</v>
      </c>
      <c r="J1750">
        <v>4</v>
      </c>
      <c r="K1750" t="s">
        <v>25</v>
      </c>
      <c r="L1750">
        <v>8</v>
      </c>
      <c r="M1750">
        <v>87027</v>
      </c>
      <c r="N1750">
        <v>2</v>
      </c>
    </row>
    <row r="1751" spans="1:14" x14ac:dyDescent="0.2">
      <c r="A1751" s="3">
        <f t="shared" si="29"/>
        <v>116942</v>
      </c>
      <c r="B1751" t="str">
        <f>"01169420010"</f>
        <v>01169420010</v>
      </c>
      <c r="C1751" t="s">
        <v>2112</v>
      </c>
      <c r="D1751" t="s">
        <v>289</v>
      </c>
      <c r="E1751">
        <v>20</v>
      </c>
      <c r="F1751">
        <v>2855</v>
      </c>
      <c r="G1751" t="s">
        <v>291</v>
      </c>
      <c r="H1751">
        <v>6</v>
      </c>
      <c r="I1751" t="s">
        <v>25</v>
      </c>
      <c r="J1751">
        <v>4</v>
      </c>
      <c r="K1751" t="s">
        <v>25</v>
      </c>
      <c r="L1751">
        <v>8</v>
      </c>
      <c r="M1751">
        <v>87027</v>
      </c>
      <c r="N1751">
        <v>2</v>
      </c>
    </row>
    <row r="1752" spans="1:14" x14ac:dyDescent="0.2">
      <c r="A1752" s="3">
        <f t="shared" si="29"/>
        <v>117022</v>
      </c>
      <c r="B1752" t="str">
        <f>"01170220008"</f>
        <v>01170220008</v>
      </c>
      <c r="C1752" t="s">
        <v>2113</v>
      </c>
      <c r="D1752" t="s">
        <v>686</v>
      </c>
      <c r="E1752">
        <v>83</v>
      </c>
      <c r="F1752">
        <v>8023</v>
      </c>
      <c r="G1752" t="s">
        <v>1009</v>
      </c>
      <c r="H1752">
        <v>30</v>
      </c>
      <c r="I1752" t="s">
        <v>25</v>
      </c>
      <c r="J1752">
        <v>24</v>
      </c>
      <c r="K1752" t="s">
        <v>25</v>
      </c>
      <c r="L1752">
        <v>8</v>
      </c>
      <c r="M1752">
        <v>67243</v>
      </c>
      <c r="N1752">
        <v>6</v>
      </c>
    </row>
    <row r="1753" spans="1:14" x14ac:dyDescent="0.2">
      <c r="A1753" s="3">
        <f t="shared" si="29"/>
        <v>117053</v>
      </c>
      <c r="B1753" t="str">
        <f>"01170530012"</f>
        <v>01170530012</v>
      </c>
      <c r="C1753" t="s">
        <v>2114</v>
      </c>
      <c r="D1753" t="s">
        <v>604</v>
      </c>
      <c r="E1753">
        <v>83</v>
      </c>
      <c r="F1753">
        <v>1515</v>
      </c>
      <c r="G1753" t="s">
        <v>1655</v>
      </c>
      <c r="H1753">
        <v>30</v>
      </c>
      <c r="I1753" t="s">
        <v>25</v>
      </c>
      <c r="J1753">
        <v>24</v>
      </c>
      <c r="K1753" t="s">
        <v>25</v>
      </c>
      <c r="L1753">
        <v>8</v>
      </c>
      <c r="M1753">
        <v>69003</v>
      </c>
      <c r="N1753">
        <v>6</v>
      </c>
    </row>
    <row r="1754" spans="1:14" x14ac:dyDescent="0.2">
      <c r="A1754" s="3">
        <f t="shared" si="29"/>
        <v>117145</v>
      </c>
      <c r="B1754" t="str">
        <f>"01171450006"</f>
        <v>01171450006</v>
      </c>
      <c r="C1754" t="s">
        <v>2115</v>
      </c>
      <c r="D1754" t="s">
        <v>622</v>
      </c>
      <c r="E1754">
        <v>83</v>
      </c>
      <c r="F1754">
        <v>1224</v>
      </c>
      <c r="G1754" t="s">
        <v>1014</v>
      </c>
      <c r="H1754" t="s">
        <v>44</v>
      </c>
      <c r="I1754" t="s">
        <v>45</v>
      </c>
      <c r="J1754" t="s">
        <v>44</v>
      </c>
      <c r="K1754" t="s">
        <v>45</v>
      </c>
      <c r="L1754">
        <v>8</v>
      </c>
      <c r="M1754">
        <v>69017</v>
      </c>
      <c r="N1754" t="s">
        <v>46</v>
      </c>
    </row>
    <row r="1755" spans="1:14" x14ac:dyDescent="0.2">
      <c r="A1755" s="3">
        <f t="shared" si="29"/>
        <v>117463</v>
      </c>
      <c r="B1755" t="str">
        <f>"01174630012"</f>
        <v>01174630012</v>
      </c>
      <c r="C1755" t="s">
        <v>2116</v>
      </c>
      <c r="D1755" t="s">
        <v>686</v>
      </c>
      <c r="E1755">
        <v>47</v>
      </c>
      <c r="F1755">
        <v>1417</v>
      </c>
      <c r="G1755" t="s">
        <v>687</v>
      </c>
      <c r="H1755">
        <v>9</v>
      </c>
      <c r="I1755" t="s">
        <v>25</v>
      </c>
      <c r="J1755">
        <v>7</v>
      </c>
      <c r="K1755" t="s">
        <v>25</v>
      </c>
      <c r="L1755">
        <v>8</v>
      </c>
      <c r="M1755">
        <v>76074</v>
      </c>
      <c r="N1755">
        <v>2</v>
      </c>
    </row>
    <row r="1756" spans="1:14" x14ac:dyDescent="0.2">
      <c r="A1756" s="3">
        <f t="shared" si="29"/>
        <v>117533</v>
      </c>
      <c r="B1756" t="str">
        <f>"01175330001"</f>
        <v>01175330001</v>
      </c>
      <c r="C1756" t="s">
        <v>2117</v>
      </c>
      <c r="D1756" t="s">
        <v>1339</v>
      </c>
      <c r="E1756">
        <v>82</v>
      </c>
      <c r="F1756">
        <v>907</v>
      </c>
      <c r="G1756" t="s">
        <v>1076</v>
      </c>
      <c r="H1756" t="s">
        <v>44</v>
      </c>
      <c r="I1756" t="s">
        <v>45</v>
      </c>
      <c r="J1756" t="s">
        <v>44</v>
      </c>
      <c r="K1756" t="s">
        <v>45</v>
      </c>
      <c r="L1756">
        <v>5</v>
      </c>
      <c r="M1756" t="s">
        <v>65</v>
      </c>
      <c r="N1756" t="s">
        <v>46</v>
      </c>
    </row>
    <row r="1757" spans="1:14" x14ac:dyDescent="0.2">
      <c r="A1757" s="3">
        <f t="shared" si="29"/>
        <v>117534</v>
      </c>
      <c r="B1757" t="str">
        <f>"01175340001"</f>
        <v>01175340001</v>
      </c>
      <c r="C1757" t="s">
        <v>2118</v>
      </c>
      <c r="D1757" t="s">
        <v>1339</v>
      </c>
      <c r="E1757">
        <v>82</v>
      </c>
      <c r="F1757">
        <v>907</v>
      </c>
      <c r="G1757" t="s">
        <v>1076</v>
      </c>
      <c r="H1757" t="s">
        <v>44</v>
      </c>
      <c r="I1757" t="s">
        <v>45</v>
      </c>
      <c r="J1757" t="s">
        <v>44</v>
      </c>
      <c r="K1757" t="s">
        <v>45</v>
      </c>
      <c r="L1757">
        <v>5</v>
      </c>
      <c r="M1757" t="s">
        <v>65</v>
      </c>
      <c r="N1757" t="s">
        <v>46</v>
      </c>
    </row>
    <row r="1758" spans="1:14" x14ac:dyDescent="0.2">
      <c r="A1758" s="3">
        <f t="shared" si="29"/>
        <v>117535</v>
      </c>
      <c r="B1758" t="str">
        <f>"01175350001"</f>
        <v>01175350001</v>
      </c>
      <c r="C1758" t="s">
        <v>2119</v>
      </c>
      <c r="D1758" t="s">
        <v>1339</v>
      </c>
      <c r="E1758">
        <v>82</v>
      </c>
      <c r="F1758">
        <v>907</v>
      </c>
      <c r="G1758" t="s">
        <v>1076</v>
      </c>
      <c r="H1758" t="s">
        <v>44</v>
      </c>
      <c r="I1758" t="s">
        <v>45</v>
      </c>
      <c r="J1758" t="s">
        <v>44</v>
      </c>
      <c r="K1758" t="s">
        <v>45</v>
      </c>
      <c r="L1758">
        <v>5</v>
      </c>
      <c r="M1758" t="s">
        <v>65</v>
      </c>
      <c r="N1758" t="s">
        <v>46</v>
      </c>
    </row>
    <row r="1759" spans="1:14" x14ac:dyDescent="0.2">
      <c r="A1759" s="3">
        <f t="shared" si="29"/>
        <v>117536</v>
      </c>
      <c r="B1759" t="str">
        <f>"01175360001"</f>
        <v>01175360001</v>
      </c>
      <c r="C1759" t="s">
        <v>2120</v>
      </c>
      <c r="D1759" t="s">
        <v>1339</v>
      </c>
      <c r="E1759">
        <v>82</v>
      </c>
      <c r="F1759">
        <v>907</v>
      </c>
      <c r="G1759" t="s">
        <v>1076</v>
      </c>
      <c r="H1759" t="s">
        <v>44</v>
      </c>
      <c r="I1759" t="s">
        <v>45</v>
      </c>
      <c r="J1759" t="s">
        <v>44</v>
      </c>
      <c r="K1759" t="s">
        <v>45</v>
      </c>
      <c r="L1759">
        <v>5</v>
      </c>
      <c r="M1759" t="s">
        <v>65</v>
      </c>
      <c r="N1759" t="s">
        <v>46</v>
      </c>
    </row>
    <row r="1760" spans="1:14" x14ac:dyDescent="0.2">
      <c r="A1760" s="3">
        <f t="shared" si="29"/>
        <v>117569</v>
      </c>
      <c r="B1760" t="str">
        <f>"01175690050"</f>
        <v>01175690050</v>
      </c>
      <c r="C1760" t="s">
        <v>2121</v>
      </c>
      <c r="D1760" t="s">
        <v>421</v>
      </c>
      <c r="E1760">
        <v>50</v>
      </c>
      <c r="F1760">
        <v>1205</v>
      </c>
      <c r="G1760" t="s">
        <v>325</v>
      </c>
      <c r="H1760">
        <v>24</v>
      </c>
      <c r="I1760" t="s">
        <v>25</v>
      </c>
      <c r="J1760">
        <v>20</v>
      </c>
      <c r="K1760" t="s">
        <v>25</v>
      </c>
      <c r="L1760">
        <v>8</v>
      </c>
      <c r="M1760">
        <v>65162</v>
      </c>
      <c r="N1760">
        <v>4</v>
      </c>
    </row>
    <row r="1761" spans="1:14" x14ac:dyDescent="0.2">
      <c r="A1761" s="3">
        <f t="shared" si="29"/>
        <v>117574</v>
      </c>
      <c r="B1761" t="str">
        <f>"01175740012"</f>
        <v>01175740012</v>
      </c>
      <c r="C1761" t="s">
        <v>2122</v>
      </c>
      <c r="D1761" t="s">
        <v>115</v>
      </c>
      <c r="E1761">
        <v>52</v>
      </c>
      <c r="F1761">
        <v>195</v>
      </c>
      <c r="G1761" t="s">
        <v>545</v>
      </c>
      <c r="H1761">
        <v>120</v>
      </c>
      <c r="I1761" t="s">
        <v>34</v>
      </c>
      <c r="J1761">
        <v>88</v>
      </c>
      <c r="K1761" t="s">
        <v>34</v>
      </c>
      <c r="L1761">
        <v>8</v>
      </c>
      <c r="M1761">
        <v>65069</v>
      </c>
      <c r="N1761">
        <v>32</v>
      </c>
    </row>
    <row r="1762" spans="1:14" x14ac:dyDescent="0.2">
      <c r="A1762" s="3">
        <f t="shared" si="29"/>
        <v>117797</v>
      </c>
      <c r="B1762" t="str">
        <f>"01177970001"</f>
        <v>01177970001</v>
      </c>
      <c r="C1762" t="s">
        <v>2123</v>
      </c>
      <c r="D1762" t="s">
        <v>52</v>
      </c>
      <c r="E1762">
        <v>12</v>
      </c>
      <c r="F1762">
        <v>2237</v>
      </c>
      <c r="G1762" t="s">
        <v>1576</v>
      </c>
      <c r="H1762" t="s">
        <v>44</v>
      </c>
      <c r="I1762" t="s">
        <v>45</v>
      </c>
      <c r="J1762" t="s">
        <v>44</v>
      </c>
      <c r="K1762" t="s">
        <v>45</v>
      </c>
      <c r="L1762">
        <v>5</v>
      </c>
      <c r="M1762" t="s">
        <v>65</v>
      </c>
      <c r="N1762" t="s">
        <v>46</v>
      </c>
    </row>
    <row r="1763" spans="1:14" x14ac:dyDescent="0.2">
      <c r="A1763" s="3">
        <f t="shared" si="29"/>
        <v>118042</v>
      </c>
      <c r="B1763" t="str">
        <f>"01180420006"</f>
        <v>01180420006</v>
      </c>
      <c r="C1763" t="s">
        <v>2124</v>
      </c>
      <c r="D1763" t="s">
        <v>32</v>
      </c>
      <c r="E1763">
        <v>31</v>
      </c>
      <c r="F1763">
        <v>723</v>
      </c>
      <c r="G1763" t="s">
        <v>1419</v>
      </c>
      <c r="H1763">
        <v>21</v>
      </c>
      <c r="I1763" t="s">
        <v>34</v>
      </c>
      <c r="J1763">
        <v>15</v>
      </c>
      <c r="K1763" t="s">
        <v>34</v>
      </c>
      <c r="L1763">
        <v>8</v>
      </c>
      <c r="M1763">
        <v>81001</v>
      </c>
      <c r="N1763">
        <v>6</v>
      </c>
    </row>
    <row r="1764" spans="1:14" x14ac:dyDescent="0.2">
      <c r="A1764" s="3">
        <f t="shared" si="29"/>
        <v>118053</v>
      </c>
      <c r="B1764" t="str">
        <f>"01180530006"</f>
        <v>01180530006</v>
      </c>
      <c r="C1764" t="s">
        <v>2125</v>
      </c>
      <c r="D1764" t="s">
        <v>32</v>
      </c>
      <c r="E1764">
        <v>31</v>
      </c>
      <c r="F1764">
        <v>723</v>
      </c>
      <c r="G1764" t="s">
        <v>1419</v>
      </c>
      <c r="H1764">
        <v>21</v>
      </c>
      <c r="I1764" t="s">
        <v>34</v>
      </c>
      <c r="J1764">
        <v>15</v>
      </c>
      <c r="K1764" t="s">
        <v>34</v>
      </c>
      <c r="L1764">
        <v>8</v>
      </c>
      <c r="M1764">
        <v>81012</v>
      </c>
      <c r="N1764">
        <v>6</v>
      </c>
    </row>
    <row r="1765" spans="1:14" x14ac:dyDescent="0.2">
      <c r="A1765" s="3">
        <f t="shared" si="29"/>
        <v>118054</v>
      </c>
      <c r="B1765" t="str">
        <f>"01180540006"</f>
        <v>01180540006</v>
      </c>
      <c r="C1765" t="s">
        <v>2126</v>
      </c>
      <c r="D1765" t="s">
        <v>32</v>
      </c>
      <c r="E1765">
        <v>31</v>
      </c>
      <c r="F1765">
        <v>723</v>
      </c>
      <c r="G1765" t="s">
        <v>1419</v>
      </c>
      <c r="H1765">
        <v>24</v>
      </c>
      <c r="I1765" t="s">
        <v>34</v>
      </c>
      <c r="J1765">
        <v>18</v>
      </c>
      <c r="K1765" t="s">
        <v>34</v>
      </c>
      <c r="L1765">
        <v>9</v>
      </c>
      <c r="M1765">
        <v>81028</v>
      </c>
      <c r="N1765">
        <v>6</v>
      </c>
    </row>
    <row r="1766" spans="1:14" x14ac:dyDescent="0.2">
      <c r="A1766" s="3">
        <f t="shared" si="29"/>
        <v>118075</v>
      </c>
      <c r="B1766" t="str">
        <f>"01180750008"</f>
        <v>01180750008</v>
      </c>
      <c r="C1766" t="s">
        <v>2127</v>
      </c>
      <c r="D1766" t="s">
        <v>70</v>
      </c>
      <c r="E1766">
        <v>33</v>
      </c>
      <c r="F1766">
        <v>3786</v>
      </c>
      <c r="G1766" t="s">
        <v>2128</v>
      </c>
      <c r="H1766">
        <v>18</v>
      </c>
      <c r="I1766" t="s">
        <v>34</v>
      </c>
      <c r="J1766">
        <v>13</v>
      </c>
      <c r="K1766" t="s">
        <v>34</v>
      </c>
      <c r="L1766">
        <v>8</v>
      </c>
      <c r="M1766">
        <v>83223</v>
      </c>
      <c r="N1766">
        <v>5</v>
      </c>
    </row>
    <row r="1767" spans="1:14" x14ac:dyDescent="0.2">
      <c r="A1767" s="3">
        <f t="shared" si="29"/>
        <v>118098</v>
      </c>
      <c r="B1767" t="str">
        <f>"01180980001"</f>
        <v>01180980001</v>
      </c>
      <c r="C1767" t="s">
        <v>2129</v>
      </c>
      <c r="D1767" t="s">
        <v>52</v>
      </c>
      <c r="E1767">
        <v>12</v>
      </c>
      <c r="F1767">
        <v>2061</v>
      </c>
      <c r="G1767" t="s">
        <v>1552</v>
      </c>
      <c r="H1767" t="s">
        <v>44</v>
      </c>
      <c r="I1767" t="s">
        <v>45</v>
      </c>
      <c r="J1767" t="s">
        <v>44</v>
      </c>
      <c r="K1767" t="s">
        <v>45</v>
      </c>
      <c r="L1767">
        <v>5</v>
      </c>
      <c r="M1767" t="s">
        <v>65</v>
      </c>
      <c r="N1767" t="s">
        <v>46</v>
      </c>
    </row>
    <row r="1768" spans="1:14" x14ac:dyDescent="0.2">
      <c r="A1768" s="3">
        <f t="shared" si="29"/>
        <v>118237</v>
      </c>
      <c r="B1768" t="str">
        <f>"01182370012"</f>
        <v>01182370012</v>
      </c>
      <c r="C1768" t="s">
        <v>2130</v>
      </c>
      <c r="D1768" t="s">
        <v>52</v>
      </c>
      <c r="E1768">
        <v>83</v>
      </c>
      <c r="F1768">
        <v>1224</v>
      </c>
      <c r="G1768" t="s">
        <v>1014</v>
      </c>
      <c r="H1768" t="s">
        <v>44</v>
      </c>
      <c r="I1768" t="s">
        <v>45</v>
      </c>
      <c r="J1768" t="s">
        <v>44</v>
      </c>
      <c r="K1768" t="s">
        <v>45</v>
      </c>
      <c r="L1768">
        <v>6</v>
      </c>
      <c r="M1768">
        <v>2645</v>
      </c>
      <c r="N1768" t="s">
        <v>46</v>
      </c>
    </row>
    <row r="1769" spans="1:14" x14ac:dyDescent="0.2">
      <c r="A1769" s="3">
        <f t="shared" si="29"/>
        <v>118247</v>
      </c>
      <c r="B1769" t="str">
        <f>"01182470001"</f>
        <v>01182470001</v>
      </c>
      <c r="C1769" t="s">
        <v>2131</v>
      </c>
      <c r="D1769" t="s">
        <v>622</v>
      </c>
      <c r="E1769">
        <v>83</v>
      </c>
      <c r="F1769">
        <v>1224</v>
      </c>
      <c r="G1769" t="s">
        <v>1014</v>
      </c>
      <c r="H1769" t="s">
        <v>44</v>
      </c>
      <c r="I1769" t="s">
        <v>45</v>
      </c>
      <c r="J1769" t="s">
        <v>44</v>
      </c>
      <c r="K1769" t="s">
        <v>45</v>
      </c>
      <c r="L1769">
        <v>5</v>
      </c>
      <c r="M1769">
        <v>29610</v>
      </c>
      <c r="N1769" t="s">
        <v>46</v>
      </c>
    </row>
    <row r="1770" spans="1:14" x14ac:dyDescent="0.2">
      <c r="A1770" s="3">
        <f t="shared" si="29"/>
        <v>118247</v>
      </c>
      <c r="B1770" t="str">
        <f>"01182470036"</f>
        <v>01182470036</v>
      </c>
      <c r="C1770" t="s">
        <v>2131</v>
      </c>
      <c r="D1770" t="s">
        <v>52</v>
      </c>
      <c r="E1770">
        <v>83</v>
      </c>
      <c r="F1770">
        <v>1224</v>
      </c>
      <c r="G1770" t="s">
        <v>1014</v>
      </c>
      <c r="H1770" t="s">
        <v>44</v>
      </c>
      <c r="I1770" t="s">
        <v>45</v>
      </c>
      <c r="J1770" t="s">
        <v>44</v>
      </c>
      <c r="K1770" t="s">
        <v>45</v>
      </c>
      <c r="L1770">
        <v>6</v>
      </c>
      <c r="M1770">
        <v>3630</v>
      </c>
      <c r="N1770" t="s">
        <v>46</v>
      </c>
    </row>
    <row r="1771" spans="1:14" x14ac:dyDescent="0.2">
      <c r="A1771" s="3">
        <f t="shared" si="29"/>
        <v>118248</v>
      </c>
      <c r="B1771" t="str">
        <f>"01182480008"</f>
        <v>01182480008</v>
      </c>
      <c r="C1771" t="s">
        <v>2132</v>
      </c>
      <c r="D1771" t="s">
        <v>32</v>
      </c>
      <c r="E1771">
        <v>31</v>
      </c>
      <c r="F1771">
        <v>4248</v>
      </c>
      <c r="G1771" t="s">
        <v>96</v>
      </c>
      <c r="H1771">
        <v>21</v>
      </c>
      <c r="I1771" t="s">
        <v>34</v>
      </c>
      <c r="J1771">
        <v>15</v>
      </c>
      <c r="K1771" t="s">
        <v>34</v>
      </c>
      <c r="L1771">
        <v>8</v>
      </c>
      <c r="M1771">
        <v>80182</v>
      </c>
      <c r="N1771">
        <v>6</v>
      </c>
    </row>
    <row r="1772" spans="1:14" x14ac:dyDescent="0.2">
      <c r="A1772" s="3">
        <f t="shared" si="29"/>
        <v>118251</v>
      </c>
      <c r="B1772" t="str">
        <f>"01182510030"</f>
        <v>01182510030</v>
      </c>
      <c r="C1772" t="s">
        <v>2133</v>
      </c>
      <c r="D1772" t="s">
        <v>324</v>
      </c>
      <c r="E1772">
        <v>74</v>
      </c>
      <c r="F1772">
        <v>8086</v>
      </c>
      <c r="G1772" t="s">
        <v>290</v>
      </c>
      <c r="H1772">
        <v>120</v>
      </c>
      <c r="I1772" t="s">
        <v>34</v>
      </c>
      <c r="J1772">
        <v>88</v>
      </c>
      <c r="K1772" t="s">
        <v>34</v>
      </c>
      <c r="L1772">
        <v>8</v>
      </c>
      <c r="M1772">
        <v>86025</v>
      </c>
      <c r="N1772">
        <v>1</v>
      </c>
    </row>
    <row r="1773" spans="1:14" x14ac:dyDescent="0.2">
      <c r="A1773" s="3">
        <f t="shared" si="29"/>
        <v>118251</v>
      </c>
      <c r="B1773" t="str">
        <f>"01182510030"</f>
        <v>01182510030</v>
      </c>
      <c r="C1773" t="s">
        <v>2133</v>
      </c>
      <c r="D1773" t="s">
        <v>324</v>
      </c>
      <c r="E1773">
        <v>74</v>
      </c>
      <c r="F1773">
        <v>829</v>
      </c>
      <c r="G1773" t="s">
        <v>1944</v>
      </c>
      <c r="H1773">
        <v>120</v>
      </c>
      <c r="I1773" t="s">
        <v>34</v>
      </c>
      <c r="J1773">
        <v>88</v>
      </c>
      <c r="K1773" t="s">
        <v>34</v>
      </c>
      <c r="L1773">
        <v>8</v>
      </c>
      <c r="M1773">
        <v>86025</v>
      </c>
      <c r="N1773">
        <v>1</v>
      </c>
    </row>
    <row r="1774" spans="1:14" x14ac:dyDescent="0.2">
      <c r="A1774" s="3">
        <f t="shared" si="29"/>
        <v>118290</v>
      </c>
      <c r="B1774" t="str">
        <f>"01182900025"</f>
        <v>01182900025</v>
      </c>
      <c r="C1774" t="s">
        <v>2134</v>
      </c>
      <c r="D1774" t="s">
        <v>320</v>
      </c>
      <c r="E1774">
        <v>74</v>
      </c>
      <c r="F1774">
        <v>8086</v>
      </c>
      <c r="G1774" t="s">
        <v>290</v>
      </c>
      <c r="H1774">
        <v>8</v>
      </c>
      <c r="I1774" t="s">
        <v>25</v>
      </c>
      <c r="J1774">
        <v>6</v>
      </c>
      <c r="K1774" t="s">
        <v>25</v>
      </c>
      <c r="L1774">
        <v>8</v>
      </c>
      <c r="M1774">
        <v>86029</v>
      </c>
      <c r="N1774">
        <v>1</v>
      </c>
    </row>
    <row r="1775" spans="1:14" x14ac:dyDescent="0.2">
      <c r="A1775" s="3">
        <f t="shared" si="29"/>
        <v>118290</v>
      </c>
      <c r="B1775" t="str">
        <f>"01182900025"</f>
        <v>01182900025</v>
      </c>
      <c r="C1775" t="s">
        <v>2134</v>
      </c>
      <c r="D1775" t="s">
        <v>320</v>
      </c>
      <c r="E1775">
        <v>74</v>
      </c>
      <c r="F1775">
        <v>1114</v>
      </c>
      <c r="G1775" t="s">
        <v>1544</v>
      </c>
      <c r="H1775">
        <v>8</v>
      </c>
      <c r="I1775" t="s">
        <v>25</v>
      </c>
      <c r="J1775">
        <v>5</v>
      </c>
      <c r="K1775" t="s">
        <v>34</v>
      </c>
      <c r="L1775">
        <v>8</v>
      </c>
      <c r="M1775">
        <v>86029</v>
      </c>
      <c r="N1775">
        <v>1</v>
      </c>
    </row>
    <row r="1776" spans="1:14" x14ac:dyDescent="0.2">
      <c r="A1776" s="3">
        <f t="shared" si="29"/>
        <v>118377</v>
      </c>
      <c r="B1776" t="str">
        <f>"01183770294"</f>
        <v>01183770294</v>
      </c>
      <c r="C1776" t="s">
        <v>2135</v>
      </c>
      <c r="D1776" t="s">
        <v>52</v>
      </c>
      <c r="E1776">
        <v>83</v>
      </c>
      <c r="F1776">
        <v>1224</v>
      </c>
      <c r="G1776" t="s">
        <v>1014</v>
      </c>
      <c r="H1776" t="s">
        <v>44</v>
      </c>
      <c r="I1776" t="s">
        <v>45</v>
      </c>
      <c r="J1776" t="s">
        <v>44</v>
      </c>
      <c r="K1776" t="s">
        <v>45</v>
      </c>
      <c r="L1776">
        <v>6</v>
      </c>
      <c r="M1776">
        <v>3631</v>
      </c>
      <c r="N1776" t="s">
        <v>46</v>
      </c>
    </row>
    <row r="1777" spans="1:14" x14ac:dyDescent="0.2">
      <c r="A1777" s="3">
        <f t="shared" si="29"/>
        <v>118408</v>
      </c>
      <c r="B1777" t="str">
        <f>"01184080006"</f>
        <v>01184080006</v>
      </c>
      <c r="C1777" t="s">
        <v>2136</v>
      </c>
      <c r="D1777" t="s">
        <v>70</v>
      </c>
      <c r="E1777">
        <v>31</v>
      </c>
      <c r="F1777">
        <v>2070</v>
      </c>
      <c r="G1777" t="s">
        <v>88</v>
      </c>
      <c r="H1777">
        <v>22</v>
      </c>
      <c r="I1777" t="s">
        <v>34</v>
      </c>
      <c r="J1777">
        <v>16</v>
      </c>
      <c r="K1777" t="s">
        <v>34</v>
      </c>
      <c r="L1777">
        <v>8</v>
      </c>
      <c r="M1777">
        <v>80171</v>
      </c>
      <c r="N1777">
        <v>6</v>
      </c>
    </row>
    <row r="1778" spans="1:14" x14ac:dyDescent="0.2">
      <c r="A1778" s="3">
        <f t="shared" si="29"/>
        <v>118409</v>
      </c>
      <c r="B1778" t="str">
        <f>"01184090006"</f>
        <v>01184090006</v>
      </c>
      <c r="C1778" t="s">
        <v>2137</v>
      </c>
      <c r="D1778" t="s">
        <v>70</v>
      </c>
      <c r="E1778">
        <v>31</v>
      </c>
      <c r="F1778">
        <v>2070</v>
      </c>
      <c r="G1778" t="s">
        <v>88</v>
      </c>
      <c r="H1778">
        <v>22</v>
      </c>
      <c r="I1778" t="s">
        <v>34</v>
      </c>
      <c r="J1778">
        <v>16</v>
      </c>
      <c r="K1778" t="s">
        <v>34</v>
      </c>
      <c r="L1778">
        <v>8</v>
      </c>
      <c r="M1778">
        <v>80153</v>
      </c>
      <c r="N1778">
        <v>6</v>
      </c>
    </row>
    <row r="1779" spans="1:14" x14ac:dyDescent="0.2">
      <c r="A1779" s="3">
        <f t="shared" si="29"/>
        <v>118587</v>
      </c>
      <c r="B1779" t="str">
        <f>"01185870012"</f>
        <v>01185870012</v>
      </c>
      <c r="C1779" t="s">
        <v>2138</v>
      </c>
      <c r="D1779" t="s">
        <v>42</v>
      </c>
      <c r="E1779">
        <v>44</v>
      </c>
      <c r="F1779">
        <v>3559</v>
      </c>
      <c r="G1779" t="s">
        <v>2103</v>
      </c>
      <c r="H1779">
        <v>8</v>
      </c>
      <c r="I1779" t="s">
        <v>25</v>
      </c>
      <c r="J1779">
        <v>6</v>
      </c>
      <c r="K1779" t="s">
        <v>25</v>
      </c>
      <c r="L1779">
        <v>8</v>
      </c>
      <c r="M1779">
        <v>65247</v>
      </c>
      <c r="N1779">
        <v>2</v>
      </c>
    </row>
    <row r="1780" spans="1:14" x14ac:dyDescent="0.2">
      <c r="A1780" s="3">
        <f t="shared" si="29"/>
        <v>118851</v>
      </c>
      <c r="B1780" t="str">
        <f>"01188510144"</f>
        <v>01188510144</v>
      </c>
      <c r="C1780" t="s">
        <v>2139</v>
      </c>
      <c r="D1780" t="s">
        <v>52</v>
      </c>
      <c r="E1780">
        <v>71</v>
      </c>
      <c r="F1780">
        <v>1679</v>
      </c>
      <c r="G1780" t="s">
        <v>1480</v>
      </c>
      <c r="H1780">
        <v>9</v>
      </c>
      <c r="I1780" t="s">
        <v>25</v>
      </c>
      <c r="J1780">
        <v>7</v>
      </c>
      <c r="K1780" t="s">
        <v>25</v>
      </c>
      <c r="L1780">
        <v>5</v>
      </c>
      <c r="M1780">
        <v>39620</v>
      </c>
      <c r="N1780">
        <v>2</v>
      </c>
    </row>
    <row r="1781" spans="1:14" x14ac:dyDescent="0.2">
      <c r="A1781" s="3">
        <f t="shared" si="29"/>
        <v>118899</v>
      </c>
      <c r="B1781" t="str">
        <f>"01188990024"</f>
        <v>01188990024</v>
      </c>
      <c r="C1781" t="s">
        <v>2140</v>
      </c>
      <c r="D1781" t="s">
        <v>48</v>
      </c>
      <c r="E1781">
        <v>32</v>
      </c>
      <c r="F1781">
        <v>1015</v>
      </c>
      <c r="G1781" t="s">
        <v>103</v>
      </c>
      <c r="H1781">
        <v>32</v>
      </c>
      <c r="I1781" t="s">
        <v>34</v>
      </c>
      <c r="J1781">
        <v>25</v>
      </c>
      <c r="K1781" t="s">
        <v>34</v>
      </c>
      <c r="L1781">
        <v>8</v>
      </c>
      <c r="M1781">
        <v>82067</v>
      </c>
      <c r="N1781">
        <v>7</v>
      </c>
    </row>
    <row r="1782" spans="1:14" x14ac:dyDescent="0.2">
      <c r="A1782" s="3">
        <f t="shared" si="29"/>
        <v>118939</v>
      </c>
      <c r="B1782" t="str">
        <f>"01189390015"</f>
        <v>01189390015</v>
      </c>
      <c r="C1782" t="s">
        <v>2141</v>
      </c>
      <c r="D1782" t="s">
        <v>52</v>
      </c>
      <c r="E1782">
        <v>13</v>
      </c>
      <c r="F1782">
        <v>1351</v>
      </c>
      <c r="G1782" t="s">
        <v>293</v>
      </c>
      <c r="H1782" t="s">
        <v>44</v>
      </c>
      <c r="I1782" t="s">
        <v>45</v>
      </c>
      <c r="J1782" t="s">
        <v>44</v>
      </c>
      <c r="K1782" t="s">
        <v>45</v>
      </c>
      <c r="L1782">
        <v>5</v>
      </c>
      <c r="M1782">
        <v>93366</v>
      </c>
      <c r="N1782" t="s">
        <v>46</v>
      </c>
    </row>
    <row r="1783" spans="1:14" x14ac:dyDescent="0.2">
      <c r="A1783" s="3">
        <f t="shared" si="29"/>
        <v>118965</v>
      </c>
      <c r="B1783" t="str">
        <f>"01189650010"</f>
        <v>01189650010</v>
      </c>
      <c r="C1783" t="s">
        <v>2142</v>
      </c>
      <c r="D1783" t="s">
        <v>289</v>
      </c>
      <c r="E1783">
        <v>20</v>
      </c>
      <c r="F1783">
        <v>8086</v>
      </c>
      <c r="G1783" t="s">
        <v>290</v>
      </c>
      <c r="H1783">
        <v>12</v>
      </c>
      <c r="I1783" t="s">
        <v>25</v>
      </c>
      <c r="J1783">
        <v>9</v>
      </c>
      <c r="K1783" t="s">
        <v>25</v>
      </c>
      <c r="L1783">
        <v>8</v>
      </c>
      <c r="M1783">
        <v>89013</v>
      </c>
      <c r="N1783">
        <v>3</v>
      </c>
    </row>
    <row r="1784" spans="1:14" x14ac:dyDescent="0.2">
      <c r="A1784" s="3">
        <f t="shared" si="29"/>
        <v>118965</v>
      </c>
      <c r="B1784" t="str">
        <f>"01189650010"</f>
        <v>01189650010</v>
      </c>
      <c r="C1784" t="s">
        <v>2142</v>
      </c>
      <c r="D1784" t="s">
        <v>289</v>
      </c>
      <c r="E1784">
        <v>20</v>
      </c>
      <c r="F1784">
        <v>188</v>
      </c>
      <c r="G1784" t="s">
        <v>1893</v>
      </c>
      <c r="H1784">
        <v>12</v>
      </c>
      <c r="I1784" t="s">
        <v>25</v>
      </c>
      <c r="J1784">
        <v>9</v>
      </c>
      <c r="K1784" t="s">
        <v>25</v>
      </c>
      <c r="L1784">
        <v>8</v>
      </c>
      <c r="M1784">
        <v>89013</v>
      </c>
      <c r="N1784">
        <v>3</v>
      </c>
    </row>
    <row r="1785" spans="1:14" x14ac:dyDescent="0.2">
      <c r="A1785" s="3">
        <f t="shared" si="29"/>
        <v>118966</v>
      </c>
      <c r="B1785" t="str">
        <f>"01189660010"</f>
        <v>01189660010</v>
      </c>
      <c r="C1785" t="s">
        <v>2143</v>
      </c>
      <c r="D1785" t="s">
        <v>289</v>
      </c>
      <c r="E1785">
        <v>20</v>
      </c>
      <c r="F1785">
        <v>8086</v>
      </c>
      <c r="G1785" t="s">
        <v>290</v>
      </c>
      <c r="H1785">
        <v>12</v>
      </c>
      <c r="I1785" t="s">
        <v>25</v>
      </c>
      <c r="J1785">
        <v>9</v>
      </c>
      <c r="K1785" t="s">
        <v>25</v>
      </c>
      <c r="L1785">
        <v>8</v>
      </c>
      <c r="M1785">
        <v>89011</v>
      </c>
      <c r="N1785">
        <v>3</v>
      </c>
    </row>
    <row r="1786" spans="1:14" x14ac:dyDescent="0.2">
      <c r="A1786" s="3">
        <f t="shared" si="29"/>
        <v>118966</v>
      </c>
      <c r="B1786" t="str">
        <f>"01189660010"</f>
        <v>01189660010</v>
      </c>
      <c r="C1786" t="s">
        <v>2143</v>
      </c>
      <c r="D1786" t="s">
        <v>289</v>
      </c>
      <c r="E1786">
        <v>20</v>
      </c>
      <c r="F1786">
        <v>188</v>
      </c>
      <c r="G1786" t="s">
        <v>1893</v>
      </c>
      <c r="H1786">
        <v>12</v>
      </c>
      <c r="I1786" t="s">
        <v>25</v>
      </c>
      <c r="J1786">
        <v>9</v>
      </c>
      <c r="K1786" t="s">
        <v>25</v>
      </c>
      <c r="L1786">
        <v>8</v>
      </c>
      <c r="M1786">
        <v>89011</v>
      </c>
      <c r="N1786">
        <v>3</v>
      </c>
    </row>
    <row r="1787" spans="1:14" x14ac:dyDescent="0.2">
      <c r="A1787" s="3">
        <f t="shared" si="29"/>
        <v>119115</v>
      </c>
      <c r="B1787" t="str">
        <f>"01191150012"</f>
        <v>01191150012</v>
      </c>
      <c r="C1787" t="s">
        <v>2144</v>
      </c>
      <c r="D1787" t="s">
        <v>67</v>
      </c>
      <c r="E1787">
        <v>72</v>
      </c>
      <c r="F1787">
        <v>4810</v>
      </c>
      <c r="G1787" t="s">
        <v>696</v>
      </c>
      <c r="H1787">
        <v>40</v>
      </c>
      <c r="I1787" t="s">
        <v>34</v>
      </c>
      <c r="J1787">
        <v>30</v>
      </c>
      <c r="K1787" t="s">
        <v>34</v>
      </c>
      <c r="L1787">
        <v>8</v>
      </c>
      <c r="M1787">
        <v>95708</v>
      </c>
      <c r="N1787">
        <v>10</v>
      </c>
    </row>
    <row r="1788" spans="1:14" x14ac:dyDescent="0.2">
      <c r="A1788" s="3">
        <f t="shared" si="29"/>
        <v>119200</v>
      </c>
      <c r="B1788" t="str">
        <f>"01192000016"</f>
        <v>01192000016</v>
      </c>
      <c r="C1788" t="s">
        <v>2145</v>
      </c>
      <c r="D1788" t="s">
        <v>320</v>
      </c>
      <c r="E1788">
        <v>20</v>
      </c>
      <c r="F1788">
        <v>8086</v>
      </c>
      <c r="G1788" t="s">
        <v>290</v>
      </c>
      <c r="H1788">
        <v>12</v>
      </c>
      <c r="I1788" t="s">
        <v>25</v>
      </c>
      <c r="J1788">
        <v>9</v>
      </c>
      <c r="K1788" t="s">
        <v>25</v>
      </c>
      <c r="L1788">
        <v>8</v>
      </c>
      <c r="M1788">
        <v>86064</v>
      </c>
      <c r="N1788">
        <v>3</v>
      </c>
    </row>
    <row r="1789" spans="1:14" x14ac:dyDescent="0.2">
      <c r="A1789" s="3">
        <f t="shared" si="29"/>
        <v>119200</v>
      </c>
      <c r="B1789" t="str">
        <f>"01192000016"</f>
        <v>01192000016</v>
      </c>
      <c r="C1789" t="s">
        <v>2145</v>
      </c>
      <c r="D1789" t="s">
        <v>320</v>
      </c>
      <c r="E1789">
        <v>20</v>
      </c>
      <c r="F1789">
        <v>1768</v>
      </c>
      <c r="G1789" t="s">
        <v>2146</v>
      </c>
      <c r="H1789">
        <v>12</v>
      </c>
      <c r="I1789" t="s">
        <v>25</v>
      </c>
      <c r="J1789">
        <v>9</v>
      </c>
      <c r="K1789" t="s">
        <v>25</v>
      </c>
      <c r="L1789">
        <v>8</v>
      </c>
      <c r="M1789">
        <v>86064</v>
      </c>
      <c r="N1789">
        <v>3</v>
      </c>
    </row>
    <row r="1790" spans="1:14" x14ac:dyDescent="0.2">
      <c r="A1790" s="3">
        <f t="shared" si="29"/>
        <v>119223</v>
      </c>
      <c r="B1790" t="str">
        <f>"01192230006"</f>
        <v>01192230006</v>
      </c>
      <c r="C1790" t="s">
        <v>2147</v>
      </c>
      <c r="D1790" t="s">
        <v>115</v>
      </c>
      <c r="E1790">
        <v>45</v>
      </c>
      <c r="F1790">
        <v>2725</v>
      </c>
      <c r="G1790" t="s">
        <v>391</v>
      </c>
      <c r="H1790">
        <v>12</v>
      </c>
      <c r="I1790" t="s">
        <v>25</v>
      </c>
      <c r="J1790">
        <v>9</v>
      </c>
      <c r="K1790" t="s">
        <v>25</v>
      </c>
      <c r="L1790">
        <v>8</v>
      </c>
      <c r="M1790">
        <v>65225</v>
      </c>
      <c r="N1790">
        <v>3</v>
      </c>
    </row>
    <row r="1791" spans="1:14" x14ac:dyDescent="0.2">
      <c r="A1791" s="3">
        <f t="shared" si="29"/>
        <v>119232</v>
      </c>
      <c r="B1791" t="str">
        <f>"01192320017"</f>
        <v>01192320017</v>
      </c>
      <c r="C1791" t="s">
        <v>2148</v>
      </c>
      <c r="D1791" t="s">
        <v>52</v>
      </c>
      <c r="E1791">
        <v>20</v>
      </c>
      <c r="F1791">
        <v>8086</v>
      </c>
      <c r="G1791" t="s">
        <v>290</v>
      </c>
      <c r="H1791">
        <v>9</v>
      </c>
      <c r="I1791" t="s">
        <v>25</v>
      </c>
      <c r="J1791">
        <v>7</v>
      </c>
      <c r="K1791" t="s">
        <v>25</v>
      </c>
      <c r="L1791">
        <v>5</v>
      </c>
      <c r="M1791" t="s">
        <v>65</v>
      </c>
      <c r="N1791">
        <v>2</v>
      </c>
    </row>
    <row r="1792" spans="1:14" x14ac:dyDescent="0.2">
      <c r="A1792" s="3">
        <f t="shared" si="29"/>
        <v>119232</v>
      </c>
      <c r="B1792" t="str">
        <f>"01192320017"</f>
        <v>01192320017</v>
      </c>
      <c r="C1792" t="s">
        <v>2148</v>
      </c>
      <c r="D1792" t="s">
        <v>52</v>
      </c>
      <c r="E1792">
        <v>20</v>
      </c>
      <c r="F1792">
        <v>188</v>
      </c>
      <c r="G1792" t="s">
        <v>1893</v>
      </c>
      <c r="H1792">
        <v>9</v>
      </c>
      <c r="I1792" t="s">
        <v>25</v>
      </c>
      <c r="J1792">
        <v>7</v>
      </c>
      <c r="K1792" t="s">
        <v>25</v>
      </c>
      <c r="L1792">
        <v>5</v>
      </c>
      <c r="M1792" t="s">
        <v>65</v>
      </c>
      <c r="N1792">
        <v>2</v>
      </c>
    </row>
    <row r="1793" spans="1:14" x14ac:dyDescent="0.2">
      <c r="A1793" s="3">
        <f t="shared" si="29"/>
        <v>119232</v>
      </c>
      <c r="B1793" t="str">
        <f>"01192320018"</f>
        <v>01192320018</v>
      </c>
      <c r="C1793" t="s">
        <v>2148</v>
      </c>
      <c r="D1793" t="s">
        <v>289</v>
      </c>
      <c r="E1793">
        <v>20</v>
      </c>
      <c r="F1793">
        <v>8086</v>
      </c>
      <c r="G1793" t="s">
        <v>290</v>
      </c>
      <c r="H1793">
        <v>12</v>
      </c>
      <c r="I1793" t="s">
        <v>25</v>
      </c>
      <c r="J1793">
        <v>9</v>
      </c>
      <c r="K1793" t="s">
        <v>25</v>
      </c>
      <c r="L1793">
        <v>8</v>
      </c>
      <c r="M1793">
        <v>88054</v>
      </c>
      <c r="N1793">
        <v>2</v>
      </c>
    </row>
    <row r="1794" spans="1:14" x14ac:dyDescent="0.2">
      <c r="A1794" s="3">
        <f t="shared" si="29"/>
        <v>119232</v>
      </c>
      <c r="B1794" t="str">
        <f>"01192320018"</f>
        <v>01192320018</v>
      </c>
      <c r="C1794" t="s">
        <v>2148</v>
      </c>
      <c r="D1794" t="s">
        <v>289</v>
      </c>
      <c r="E1794">
        <v>20</v>
      </c>
      <c r="F1794">
        <v>188</v>
      </c>
      <c r="G1794" t="s">
        <v>1893</v>
      </c>
      <c r="H1794">
        <v>12</v>
      </c>
      <c r="I1794" t="s">
        <v>25</v>
      </c>
      <c r="J1794">
        <v>9</v>
      </c>
      <c r="K1794" t="s">
        <v>25</v>
      </c>
      <c r="L1794">
        <v>8</v>
      </c>
      <c r="M1794">
        <v>88054</v>
      </c>
      <c r="N1794">
        <v>2</v>
      </c>
    </row>
    <row r="1795" spans="1:14" x14ac:dyDescent="0.2">
      <c r="A1795" s="3">
        <f t="shared" si="29"/>
        <v>119367</v>
      </c>
      <c r="B1795" t="str">
        <f>"01193670150"</f>
        <v>01193670150</v>
      </c>
      <c r="C1795" t="s">
        <v>2149</v>
      </c>
      <c r="D1795" t="s">
        <v>604</v>
      </c>
      <c r="E1795">
        <v>82</v>
      </c>
      <c r="F1795">
        <v>907</v>
      </c>
      <c r="G1795" t="s">
        <v>1076</v>
      </c>
      <c r="H1795" t="s">
        <v>44</v>
      </c>
      <c r="I1795" t="s">
        <v>45</v>
      </c>
      <c r="J1795" t="s">
        <v>44</v>
      </c>
      <c r="K1795" t="s">
        <v>45</v>
      </c>
      <c r="L1795">
        <v>8</v>
      </c>
      <c r="M1795">
        <v>70267</v>
      </c>
      <c r="N1795" t="s">
        <v>46</v>
      </c>
    </row>
    <row r="1796" spans="1:14" x14ac:dyDescent="0.2">
      <c r="A1796" s="3">
        <f t="shared" ref="A1796:A1859" si="30">(B1796-RIGHT(B1796,4))/10000</f>
        <v>119408</v>
      </c>
      <c r="B1796" t="str">
        <f>"01194080012"</f>
        <v>01194080012</v>
      </c>
      <c r="C1796" t="s">
        <v>2150</v>
      </c>
      <c r="D1796" t="s">
        <v>23</v>
      </c>
      <c r="E1796">
        <v>62</v>
      </c>
      <c r="F1796">
        <v>1429</v>
      </c>
      <c r="G1796" t="s">
        <v>873</v>
      </c>
      <c r="H1796">
        <v>8</v>
      </c>
      <c r="I1796" t="s">
        <v>25</v>
      </c>
      <c r="J1796">
        <v>6</v>
      </c>
      <c r="K1796" t="s">
        <v>25</v>
      </c>
      <c r="L1796">
        <v>8</v>
      </c>
      <c r="M1796">
        <v>72160</v>
      </c>
      <c r="N1796">
        <v>2</v>
      </c>
    </row>
    <row r="1797" spans="1:14" x14ac:dyDescent="0.2">
      <c r="A1797" s="3">
        <f t="shared" si="30"/>
        <v>119432</v>
      </c>
      <c r="B1797" t="str">
        <f>"01194320012"</f>
        <v>01194320012</v>
      </c>
      <c r="C1797" t="s">
        <v>2151</v>
      </c>
      <c r="D1797" t="s">
        <v>604</v>
      </c>
      <c r="E1797">
        <v>47</v>
      </c>
      <c r="F1797">
        <v>2454</v>
      </c>
      <c r="G1797" t="s">
        <v>2152</v>
      </c>
      <c r="H1797" t="s">
        <v>44</v>
      </c>
      <c r="I1797" t="s">
        <v>45</v>
      </c>
      <c r="J1797" t="s">
        <v>44</v>
      </c>
      <c r="K1797" t="s">
        <v>45</v>
      </c>
      <c r="L1797">
        <v>8</v>
      </c>
      <c r="M1797">
        <v>72155</v>
      </c>
      <c r="N1797" t="s">
        <v>46</v>
      </c>
    </row>
    <row r="1798" spans="1:14" x14ac:dyDescent="0.2">
      <c r="A1798" s="3">
        <f t="shared" si="30"/>
        <v>119604</v>
      </c>
      <c r="B1798" t="str">
        <f>"01196040200"</f>
        <v>01196040200</v>
      </c>
      <c r="C1798" t="s">
        <v>2153</v>
      </c>
      <c r="D1798" t="s">
        <v>604</v>
      </c>
      <c r="E1798">
        <v>85</v>
      </c>
      <c r="F1798">
        <v>1495</v>
      </c>
      <c r="G1798" t="s">
        <v>2093</v>
      </c>
      <c r="H1798" t="s">
        <v>44</v>
      </c>
      <c r="I1798" t="s">
        <v>45</v>
      </c>
      <c r="J1798" t="s">
        <v>44</v>
      </c>
      <c r="K1798" t="s">
        <v>45</v>
      </c>
      <c r="L1798">
        <v>8</v>
      </c>
      <c r="M1798">
        <v>73043</v>
      </c>
      <c r="N1798" t="s">
        <v>46</v>
      </c>
    </row>
    <row r="1799" spans="1:14" x14ac:dyDescent="0.2">
      <c r="A1799" s="3">
        <f t="shared" si="30"/>
        <v>119605</v>
      </c>
      <c r="B1799" t="str">
        <f>"01196050050"</f>
        <v>01196050050</v>
      </c>
      <c r="C1799" t="s">
        <v>2154</v>
      </c>
      <c r="D1799" t="s">
        <v>604</v>
      </c>
      <c r="E1799">
        <v>85</v>
      </c>
      <c r="F1799">
        <v>1495</v>
      </c>
      <c r="G1799" t="s">
        <v>2093</v>
      </c>
      <c r="H1799" t="s">
        <v>44</v>
      </c>
      <c r="I1799" t="s">
        <v>45</v>
      </c>
      <c r="J1799" t="s">
        <v>44</v>
      </c>
      <c r="K1799" t="s">
        <v>45</v>
      </c>
      <c r="L1799">
        <v>8</v>
      </c>
      <c r="M1799">
        <v>73039</v>
      </c>
      <c r="N1799" t="s">
        <v>46</v>
      </c>
    </row>
    <row r="1800" spans="1:14" x14ac:dyDescent="0.2">
      <c r="A1800" s="3">
        <f t="shared" si="30"/>
        <v>119607</v>
      </c>
      <c r="B1800" t="str">
        <f>"01196070075"</f>
        <v>01196070075</v>
      </c>
      <c r="C1800" t="s">
        <v>2155</v>
      </c>
      <c r="D1800" t="s">
        <v>604</v>
      </c>
      <c r="E1800">
        <v>85</v>
      </c>
      <c r="F1800">
        <v>1495</v>
      </c>
      <c r="G1800" t="s">
        <v>2093</v>
      </c>
      <c r="H1800" t="s">
        <v>44</v>
      </c>
      <c r="I1800" t="s">
        <v>45</v>
      </c>
      <c r="J1800" t="s">
        <v>44</v>
      </c>
      <c r="K1800" t="s">
        <v>45</v>
      </c>
      <c r="L1800">
        <v>8</v>
      </c>
      <c r="M1800">
        <v>73034</v>
      </c>
      <c r="N1800" t="s">
        <v>46</v>
      </c>
    </row>
    <row r="1801" spans="1:14" x14ac:dyDescent="0.2">
      <c r="A1801" s="3">
        <f t="shared" si="30"/>
        <v>119613</v>
      </c>
      <c r="B1801" t="str">
        <f>"01196130018"</f>
        <v>01196130018</v>
      </c>
      <c r="C1801" t="s">
        <v>2156</v>
      </c>
      <c r="D1801" t="s">
        <v>604</v>
      </c>
      <c r="E1801">
        <v>82</v>
      </c>
      <c r="F1801">
        <v>907</v>
      </c>
      <c r="G1801" t="s">
        <v>1076</v>
      </c>
      <c r="H1801" t="s">
        <v>44</v>
      </c>
      <c r="I1801" t="s">
        <v>45</v>
      </c>
      <c r="J1801" t="s">
        <v>44</v>
      </c>
      <c r="K1801" t="s">
        <v>45</v>
      </c>
      <c r="L1801">
        <v>8</v>
      </c>
      <c r="M1801">
        <v>70261</v>
      </c>
      <c r="N1801" t="s">
        <v>46</v>
      </c>
    </row>
    <row r="1802" spans="1:14" x14ac:dyDescent="0.2">
      <c r="A1802" s="3">
        <f t="shared" si="30"/>
        <v>119741</v>
      </c>
      <c r="B1802" t="str">
        <f>"01197410048"</f>
        <v>01197410048</v>
      </c>
      <c r="C1802" t="s">
        <v>2157</v>
      </c>
      <c r="D1802" t="s">
        <v>52</v>
      </c>
      <c r="E1802">
        <v>70</v>
      </c>
      <c r="F1802">
        <v>1322</v>
      </c>
      <c r="G1802" t="s">
        <v>2158</v>
      </c>
      <c r="H1802">
        <v>8</v>
      </c>
      <c r="I1802" t="s">
        <v>25</v>
      </c>
      <c r="J1802">
        <v>6</v>
      </c>
      <c r="K1802" t="s">
        <v>25</v>
      </c>
      <c r="L1802">
        <v>5</v>
      </c>
      <c r="M1802" t="s">
        <v>65</v>
      </c>
      <c r="N1802">
        <v>2</v>
      </c>
    </row>
    <row r="1803" spans="1:14" x14ac:dyDescent="0.2">
      <c r="A1803" s="3">
        <f t="shared" si="30"/>
        <v>119743</v>
      </c>
      <c r="B1803" t="str">
        <f>"01197430010"</f>
        <v>01197430010</v>
      </c>
      <c r="C1803" t="s">
        <v>2159</v>
      </c>
      <c r="D1803" t="s">
        <v>52</v>
      </c>
      <c r="E1803">
        <v>70</v>
      </c>
      <c r="F1803">
        <v>384</v>
      </c>
      <c r="G1803" t="s">
        <v>2014</v>
      </c>
      <c r="H1803">
        <v>6</v>
      </c>
      <c r="I1803" t="s">
        <v>25</v>
      </c>
      <c r="J1803">
        <v>4</v>
      </c>
      <c r="K1803" t="s">
        <v>25</v>
      </c>
      <c r="L1803">
        <v>5</v>
      </c>
      <c r="M1803" t="s">
        <v>65</v>
      </c>
      <c r="N1803">
        <v>2</v>
      </c>
    </row>
    <row r="1804" spans="1:14" x14ac:dyDescent="0.2">
      <c r="A1804" s="3">
        <f t="shared" si="30"/>
        <v>119746</v>
      </c>
      <c r="B1804" t="str">
        <f>"01197460068"</f>
        <v>01197460068</v>
      </c>
      <c r="C1804" t="s">
        <v>2160</v>
      </c>
      <c r="D1804" t="s">
        <v>52</v>
      </c>
      <c r="E1804">
        <v>70</v>
      </c>
      <c r="F1804">
        <v>384</v>
      </c>
      <c r="G1804" t="s">
        <v>2014</v>
      </c>
      <c r="H1804">
        <v>6</v>
      </c>
      <c r="I1804" t="s">
        <v>25</v>
      </c>
      <c r="J1804">
        <v>4</v>
      </c>
      <c r="K1804" t="s">
        <v>25</v>
      </c>
      <c r="L1804">
        <v>5</v>
      </c>
      <c r="M1804" t="s">
        <v>65</v>
      </c>
      <c r="N1804">
        <v>2</v>
      </c>
    </row>
    <row r="1805" spans="1:14" x14ac:dyDescent="0.2">
      <c r="A1805" s="3">
        <f t="shared" si="30"/>
        <v>119748</v>
      </c>
      <c r="B1805" t="str">
        <f>"01197480068"</f>
        <v>01197480068</v>
      </c>
      <c r="C1805" t="s">
        <v>2161</v>
      </c>
      <c r="D1805" t="s">
        <v>52</v>
      </c>
      <c r="E1805">
        <v>70</v>
      </c>
      <c r="F1805">
        <v>384</v>
      </c>
      <c r="G1805" t="s">
        <v>2014</v>
      </c>
      <c r="H1805">
        <v>6</v>
      </c>
      <c r="I1805" t="s">
        <v>25</v>
      </c>
      <c r="J1805">
        <v>4</v>
      </c>
      <c r="K1805" t="s">
        <v>25</v>
      </c>
      <c r="L1805">
        <v>5</v>
      </c>
      <c r="M1805" t="s">
        <v>65</v>
      </c>
      <c r="N1805">
        <v>2</v>
      </c>
    </row>
    <row r="1806" spans="1:14" x14ac:dyDescent="0.2">
      <c r="A1806" s="3">
        <f t="shared" si="30"/>
        <v>119749</v>
      </c>
      <c r="B1806" t="str">
        <f>"01197490004"</f>
        <v>01197490004</v>
      </c>
      <c r="C1806" t="s">
        <v>2162</v>
      </c>
      <c r="D1806" t="s">
        <v>52</v>
      </c>
      <c r="E1806">
        <v>70</v>
      </c>
      <c r="F1806">
        <v>384</v>
      </c>
      <c r="G1806" t="s">
        <v>2014</v>
      </c>
      <c r="H1806">
        <v>6</v>
      </c>
      <c r="I1806" t="s">
        <v>25</v>
      </c>
      <c r="J1806">
        <v>4</v>
      </c>
      <c r="K1806" t="s">
        <v>25</v>
      </c>
      <c r="L1806">
        <v>5</v>
      </c>
      <c r="M1806" t="s">
        <v>65</v>
      </c>
      <c r="N1806">
        <v>2</v>
      </c>
    </row>
    <row r="1807" spans="1:14" x14ac:dyDescent="0.2">
      <c r="A1807" s="3">
        <f t="shared" si="30"/>
        <v>119749</v>
      </c>
      <c r="B1807" t="str">
        <f>"01197490048"</f>
        <v>01197490048</v>
      </c>
      <c r="C1807" t="s">
        <v>2162</v>
      </c>
      <c r="D1807" t="s">
        <v>52</v>
      </c>
      <c r="E1807">
        <v>70</v>
      </c>
      <c r="F1807">
        <v>384</v>
      </c>
      <c r="G1807" t="s">
        <v>2014</v>
      </c>
      <c r="H1807">
        <v>6</v>
      </c>
      <c r="I1807" t="s">
        <v>25</v>
      </c>
      <c r="J1807">
        <v>4</v>
      </c>
      <c r="K1807" t="s">
        <v>25</v>
      </c>
      <c r="L1807">
        <v>5</v>
      </c>
      <c r="M1807" t="s">
        <v>65</v>
      </c>
      <c r="N1807">
        <v>2</v>
      </c>
    </row>
    <row r="1808" spans="1:14" x14ac:dyDescent="0.2">
      <c r="A1808" s="3">
        <f t="shared" si="30"/>
        <v>119798</v>
      </c>
      <c r="B1808" t="str">
        <f>"01197980024"</f>
        <v>01197980024</v>
      </c>
      <c r="C1808" t="s">
        <v>2163</v>
      </c>
      <c r="D1808" t="s">
        <v>543</v>
      </c>
      <c r="E1808">
        <v>46</v>
      </c>
      <c r="F1808">
        <v>1517</v>
      </c>
      <c r="G1808" t="s">
        <v>654</v>
      </c>
      <c r="H1808">
        <v>18</v>
      </c>
      <c r="I1808" t="s">
        <v>25</v>
      </c>
      <c r="J1808">
        <v>14</v>
      </c>
      <c r="K1808" t="s">
        <v>25</v>
      </c>
      <c r="L1808">
        <v>8</v>
      </c>
      <c r="M1808">
        <v>73221</v>
      </c>
      <c r="N1808">
        <v>4</v>
      </c>
    </row>
    <row r="1809" spans="1:14" x14ac:dyDescent="0.2">
      <c r="A1809" s="3">
        <f t="shared" si="30"/>
        <v>119800</v>
      </c>
      <c r="B1809" t="str">
        <f>"01198000020"</f>
        <v>01198000020</v>
      </c>
      <c r="C1809" t="s">
        <v>2164</v>
      </c>
      <c r="D1809" t="s">
        <v>115</v>
      </c>
      <c r="E1809">
        <v>70</v>
      </c>
      <c r="F1809">
        <v>1890</v>
      </c>
      <c r="G1809" t="s">
        <v>1410</v>
      </c>
      <c r="H1809">
        <v>97</v>
      </c>
      <c r="I1809" t="s">
        <v>34</v>
      </c>
      <c r="J1809">
        <v>73</v>
      </c>
      <c r="K1809" t="s">
        <v>34</v>
      </c>
      <c r="L1809">
        <v>8</v>
      </c>
      <c r="M1809">
        <v>66147</v>
      </c>
      <c r="N1809">
        <v>24</v>
      </c>
    </row>
    <row r="1810" spans="1:14" x14ac:dyDescent="0.2">
      <c r="A1810" s="3">
        <f t="shared" si="30"/>
        <v>119801</v>
      </c>
      <c r="B1810" t="str">
        <f>"01198010020"</f>
        <v>01198010020</v>
      </c>
      <c r="C1810" t="s">
        <v>2165</v>
      </c>
      <c r="D1810" t="s">
        <v>115</v>
      </c>
      <c r="E1810">
        <v>70</v>
      </c>
      <c r="F1810">
        <v>1890</v>
      </c>
      <c r="G1810" t="s">
        <v>1410</v>
      </c>
      <c r="H1810">
        <v>90</v>
      </c>
      <c r="I1810" t="s">
        <v>34</v>
      </c>
      <c r="J1810">
        <v>69</v>
      </c>
      <c r="K1810" t="s">
        <v>34</v>
      </c>
      <c r="L1810">
        <v>8</v>
      </c>
      <c r="M1810">
        <v>66160</v>
      </c>
      <c r="N1810">
        <v>21</v>
      </c>
    </row>
    <row r="1811" spans="1:14" x14ac:dyDescent="0.2">
      <c r="A1811" s="3">
        <f t="shared" si="30"/>
        <v>120075</v>
      </c>
      <c r="B1811" t="str">
        <f>"01200750020"</f>
        <v>01200750020</v>
      </c>
      <c r="C1811" t="s">
        <v>2166</v>
      </c>
      <c r="D1811" t="s">
        <v>42</v>
      </c>
      <c r="E1811">
        <v>70</v>
      </c>
      <c r="F1811">
        <v>1647</v>
      </c>
      <c r="G1811" t="s">
        <v>557</v>
      </c>
      <c r="H1811">
        <v>7</v>
      </c>
      <c r="I1811" t="s">
        <v>25</v>
      </c>
      <c r="J1811">
        <v>5</v>
      </c>
      <c r="K1811" t="s">
        <v>25</v>
      </c>
      <c r="L1811">
        <v>8</v>
      </c>
      <c r="M1811">
        <v>74036</v>
      </c>
      <c r="N1811">
        <v>2</v>
      </c>
    </row>
    <row r="1812" spans="1:14" x14ac:dyDescent="0.2">
      <c r="A1812" s="3">
        <f t="shared" si="30"/>
        <v>120180</v>
      </c>
      <c r="B1812" t="str">
        <f>"01201800024"</f>
        <v>01201800024</v>
      </c>
      <c r="C1812" t="s">
        <v>2167</v>
      </c>
      <c r="D1812" t="s">
        <v>70</v>
      </c>
      <c r="E1812">
        <v>32</v>
      </c>
      <c r="F1812">
        <v>1343</v>
      </c>
      <c r="G1812" t="s">
        <v>132</v>
      </c>
      <c r="H1812">
        <v>70</v>
      </c>
      <c r="I1812" t="s">
        <v>34</v>
      </c>
      <c r="J1812">
        <v>56</v>
      </c>
      <c r="K1812" t="s">
        <v>34</v>
      </c>
      <c r="L1812">
        <v>8</v>
      </c>
      <c r="M1812">
        <v>81199</v>
      </c>
      <c r="N1812">
        <v>14</v>
      </c>
    </row>
    <row r="1813" spans="1:14" x14ac:dyDescent="0.2">
      <c r="A1813" s="3">
        <f t="shared" si="30"/>
        <v>120209</v>
      </c>
      <c r="B1813" t="str">
        <f>"01202090009"</f>
        <v>01202090009</v>
      </c>
      <c r="C1813" t="s">
        <v>2168</v>
      </c>
      <c r="D1813" t="s">
        <v>604</v>
      </c>
      <c r="E1813">
        <v>41</v>
      </c>
      <c r="F1813">
        <v>385</v>
      </c>
      <c r="G1813" t="s">
        <v>2169</v>
      </c>
      <c r="H1813">
        <v>90</v>
      </c>
      <c r="I1813" t="s">
        <v>34</v>
      </c>
      <c r="J1813">
        <v>69</v>
      </c>
      <c r="K1813" t="s">
        <v>34</v>
      </c>
      <c r="L1813">
        <v>8</v>
      </c>
      <c r="M1813">
        <v>69226</v>
      </c>
      <c r="N1813">
        <v>21</v>
      </c>
    </row>
    <row r="1814" spans="1:14" x14ac:dyDescent="0.2">
      <c r="A1814" s="3">
        <f t="shared" si="30"/>
        <v>120366</v>
      </c>
      <c r="B1814" t="str">
        <f>"01203660014"</f>
        <v>01203660014</v>
      </c>
      <c r="C1814" t="s">
        <v>2170</v>
      </c>
      <c r="D1814" t="s">
        <v>216</v>
      </c>
      <c r="E1814">
        <v>47</v>
      </c>
      <c r="F1814">
        <v>6913</v>
      </c>
      <c r="G1814" t="s">
        <v>1399</v>
      </c>
      <c r="H1814">
        <v>12</v>
      </c>
      <c r="I1814" t="s">
        <v>25</v>
      </c>
      <c r="J1814">
        <v>9</v>
      </c>
      <c r="K1814" t="s">
        <v>25</v>
      </c>
      <c r="L1814">
        <v>8</v>
      </c>
      <c r="M1814">
        <v>76059</v>
      </c>
      <c r="N1814">
        <v>3</v>
      </c>
    </row>
    <row r="1815" spans="1:14" x14ac:dyDescent="0.2">
      <c r="A1815" s="3">
        <f t="shared" si="30"/>
        <v>120457</v>
      </c>
      <c r="B1815" t="str">
        <f>"01204570006"</f>
        <v>01204570006</v>
      </c>
      <c r="C1815" t="s">
        <v>2171</v>
      </c>
      <c r="D1815" t="s">
        <v>52</v>
      </c>
      <c r="E1815">
        <v>20</v>
      </c>
      <c r="F1815">
        <v>8086</v>
      </c>
      <c r="G1815" t="s">
        <v>290</v>
      </c>
      <c r="H1815">
        <v>6</v>
      </c>
      <c r="I1815" t="s">
        <v>25</v>
      </c>
      <c r="J1815">
        <v>4</v>
      </c>
      <c r="K1815" t="s">
        <v>25</v>
      </c>
      <c r="L1815">
        <v>5</v>
      </c>
      <c r="M1815" t="s">
        <v>65</v>
      </c>
      <c r="N1815">
        <v>2</v>
      </c>
    </row>
    <row r="1816" spans="1:14" x14ac:dyDescent="0.2">
      <c r="A1816" s="3">
        <f t="shared" si="30"/>
        <v>120457</v>
      </c>
      <c r="B1816" t="str">
        <f>"01204570006"</f>
        <v>01204570006</v>
      </c>
      <c r="C1816" t="s">
        <v>2171</v>
      </c>
      <c r="D1816" t="s">
        <v>52</v>
      </c>
      <c r="E1816">
        <v>20</v>
      </c>
      <c r="F1816">
        <v>564</v>
      </c>
      <c r="G1816" t="s">
        <v>1645</v>
      </c>
      <c r="H1816">
        <v>6</v>
      </c>
      <c r="I1816" t="s">
        <v>25</v>
      </c>
      <c r="J1816">
        <v>4</v>
      </c>
      <c r="K1816" t="s">
        <v>25</v>
      </c>
      <c r="L1816">
        <v>5</v>
      </c>
      <c r="M1816" t="s">
        <v>65</v>
      </c>
      <c r="N1816">
        <v>2</v>
      </c>
    </row>
    <row r="1817" spans="1:14" x14ac:dyDescent="0.2">
      <c r="A1817" s="3">
        <f t="shared" si="30"/>
        <v>120552</v>
      </c>
      <c r="B1817" t="str">
        <f>"01205520020"</f>
        <v>01205520020</v>
      </c>
      <c r="C1817" t="s">
        <v>2172</v>
      </c>
      <c r="D1817" t="s">
        <v>115</v>
      </c>
      <c r="E1817">
        <v>70</v>
      </c>
      <c r="F1817">
        <v>1890</v>
      </c>
      <c r="G1817" t="s">
        <v>1410</v>
      </c>
      <c r="H1817">
        <v>90</v>
      </c>
      <c r="I1817" t="s">
        <v>34</v>
      </c>
      <c r="J1817">
        <v>69</v>
      </c>
      <c r="K1817" t="s">
        <v>34</v>
      </c>
      <c r="L1817">
        <v>8</v>
      </c>
      <c r="M1817">
        <v>66234</v>
      </c>
      <c r="N1817">
        <v>21</v>
      </c>
    </row>
    <row r="1818" spans="1:14" x14ac:dyDescent="0.2">
      <c r="A1818" s="3">
        <f t="shared" si="30"/>
        <v>120816</v>
      </c>
      <c r="B1818" t="str">
        <f>"01208160012"</f>
        <v>01208160012</v>
      </c>
      <c r="C1818" t="s">
        <v>2173</v>
      </c>
      <c r="D1818" t="s">
        <v>32</v>
      </c>
      <c r="E1818">
        <v>31</v>
      </c>
      <c r="F1818">
        <v>723</v>
      </c>
      <c r="G1818" t="s">
        <v>1419</v>
      </c>
      <c r="H1818">
        <v>23</v>
      </c>
      <c r="I1818" t="s">
        <v>34</v>
      </c>
      <c r="J1818">
        <v>17</v>
      </c>
      <c r="K1818" t="s">
        <v>34</v>
      </c>
      <c r="L1818">
        <v>8</v>
      </c>
      <c r="M1818">
        <v>80120</v>
      </c>
      <c r="N1818">
        <v>6</v>
      </c>
    </row>
    <row r="1819" spans="1:14" x14ac:dyDescent="0.2">
      <c r="A1819" s="3">
        <f t="shared" si="30"/>
        <v>120819</v>
      </c>
      <c r="B1819" t="str">
        <f>"01208190014"</f>
        <v>01208190014</v>
      </c>
      <c r="C1819" t="s">
        <v>2174</v>
      </c>
      <c r="D1819" t="s">
        <v>320</v>
      </c>
      <c r="E1819">
        <v>20</v>
      </c>
      <c r="F1819">
        <v>8086</v>
      </c>
      <c r="G1819" t="s">
        <v>290</v>
      </c>
      <c r="H1819">
        <v>12</v>
      </c>
      <c r="I1819" t="s">
        <v>25</v>
      </c>
      <c r="J1819">
        <v>9</v>
      </c>
      <c r="K1819" t="s">
        <v>25</v>
      </c>
      <c r="L1819">
        <v>8</v>
      </c>
      <c r="M1819">
        <v>86067</v>
      </c>
      <c r="N1819">
        <v>3</v>
      </c>
    </row>
    <row r="1820" spans="1:14" x14ac:dyDescent="0.2">
      <c r="A1820" s="3">
        <f t="shared" si="30"/>
        <v>120819</v>
      </c>
      <c r="B1820" t="str">
        <f>"01208190014"</f>
        <v>01208190014</v>
      </c>
      <c r="C1820" t="s">
        <v>2174</v>
      </c>
      <c r="D1820" t="s">
        <v>320</v>
      </c>
      <c r="E1820">
        <v>20</v>
      </c>
      <c r="F1820">
        <v>1768</v>
      </c>
      <c r="G1820" t="s">
        <v>2146</v>
      </c>
      <c r="H1820">
        <v>12</v>
      </c>
      <c r="I1820" t="s">
        <v>25</v>
      </c>
      <c r="J1820">
        <v>9</v>
      </c>
      <c r="K1820" t="s">
        <v>25</v>
      </c>
      <c r="L1820">
        <v>8</v>
      </c>
      <c r="M1820">
        <v>86067</v>
      </c>
      <c r="N1820">
        <v>3</v>
      </c>
    </row>
    <row r="1821" spans="1:14" x14ac:dyDescent="0.2">
      <c r="A1821" s="3">
        <f t="shared" si="30"/>
        <v>120894</v>
      </c>
      <c r="B1821" t="str">
        <f>"01208940034"</f>
        <v>01208940034</v>
      </c>
      <c r="C1821" t="s">
        <v>2175</v>
      </c>
      <c r="D1821" t="s">
        <v>622</v>
      </c>
      <c r="E1821">
        <v>71</v>
      </c>
      <c r="F1821">
        <v>8052</v>
      </c>
      <c r="G1821" t="s">
        <v>642</v>
      </c>
      <c r="H1821">
        <v>12</v>
      </c>
      <c r="I1821" t="s">
        <v>25</v>
      </c>
      <c r="J1821">
        <v>9</v>
      </c>
      <c r="K1821" t="s">
        <v>25</v>
      </c>
      <c r="L1821">
        <v>8</v>
      </c>
      <c r="M1821">
        <v>72008</v>
      </c>
      <c r="N1821">
        <v>3</v>
      </c>
    </row>
    <row r="1822" spans="1:14" x14ac:dyDescent="0.2">
      <c r="A1822" s="3">
        <f t="shared" si="30"/>
        <v>120905</v>
      </c>
      <c r="B1822" t="str">
        <f>"01209050006"</f>
        <v>01209050006</v>
      </c>
      <c r="C1822" t="s">
        <v>2176</v>
      </c>
      <c r="D1822" t="s">
        <v>32</v>
      </c>
      <c r="E1822">
        <v>31</v>
      </c>
      <c r="F1822">
        <v>4248</v>
      </c>
      <c r="G1822" t="s">
        <v>96</v>
      </c>
      <c r="H1822">
        <v>19</v>
      </c>
      <c r="I1822" t="s">
        <v>34</v>
      </c>
      <c r="J1822">
        <v>14</v>
      </c>
      <c r="K1822" t="s">
        <v>34</v>
      </c>
      <c r="L1822">
        <v>8</v>
      </c>
      <c r="M1822">
        <v>80113</v>
      </c>
      <c r="N1822">
        <v>5</v>
      </c>
    </row>
    <row r="1823" spans="1:14" x14ac:dyDescent="0.2">
      <c r="A1823" s="3">
        <f t="shared" si="30"/>
        <v>121066</v>
      </c>
      <c r="B1823" t="str">
        <f>"01210660018"</f>
        <v>01210660018</v>
      </c>
      <c r="C1823" t="s">
        <v>2177</v>
      </c>
      <c r="D1823" t="s">
        <v>622</v>
      </c>
      <c r="E1823">
        <v>82</v>
      </c>
      <c r="F1823">
        <v>1224</v>
      </c>
      <c r="G1823" t="s">
        <v>1014</v>
      </c>
      <c r="H1823" t="s">
        <v>44</v>
      </c>
      <c r="I1823" t="s">
        <v>45</v>
      </c>
      <c r="J1823" t="s">
        <v>44</v>
      </c>
      <c r="K1823" t="s">
        <v>45</v>
      </c>
      <c r="L1823">
        <v>8</v>
      </c>
      <c r="M1823">
        <v>70153</v>
      </c>
      <c r="N1823" t="s">
        <v>46</v>
      </c>
    </row>
    <row r="1824" spans="1:14" x14ac:dyDescent="0.2">
      <c r="A1824" s="3">
        <f t="shared" si="30"/>
        <v>121172</v>
      </c>
      <c r="B1824" t="str">
        <f>"01211720022"</f>
        <v>01211720022</v>
      </c>
      <c r="C1824" t="s">
        <v>2178</v>
      </c>
      <c r="D1824" t="s">
        <v>70</v>
      </c>
      <c r="E1824">
        <v>32</v>
      </c>
      <c r="F1824">
        <v>3634</v>
      </c>
      <c r="G1824" t="s">
        <v>1405</v>
      </c>
      <c r="H1824">
        <v>60</v>
      </c>
      <c r="I1824" t="s">
        <v>34</v>
      </c>
      <c r="J1824">
        <v>44</v>
      </c>
      <c r="K1824" t="s">
        <v>34</v>
      </c>
      <c r="L1824">
        <v>8</v>
      </c>
      <c r="M1824">
        <v>82060</v>
      </c>
      <c r="N1824">
        <v>16</v>
      </c>
    </row>
    <row r="1825" spans="1:14" x14ac:dyDescent="0.2">
      <c r="A1825" s="3">
        <f t="shared" si="30"/>
        <v>121199</v>
      </c>
      <c r="B1825" t="str">
        <f>"01211990012"</f>
        <v>01211990012</v>
      </c>
      <c r="C1825" t="s">
        <v>2179</v>
      </c>
      <c r="D1825" t="s">
        <v>52</v>
      </c>
      <c r="E1825">
        <v>13</v>
      </c>
      <c r="F1825">
        <v>2570</v>
      </c>
      <c r="G1825" t="s">
        <v>2180</v>
      </c>
      <c r="H1825" t="s">
        <v>44</v>
      </c>
      <c r="I1825" t="s">
        <v>45</v>
      </c>
      <c r="J1825" t="s">
        <v>44</v>
      </c>
      <c r="K1825" t="s">
        <v>45</v>
      </c>
      <c r="L1825">
        <v>5</v>
      </c>
      <c r="M1825" t="s">
        <v>65</v>
      </c>
      <c r="N1825" t="s">
        <v>46</v>
      </c>
    </row>
    <row r="1826" spans="1:14" x14ac:dyDescent="0.2">
      <c r="A1826" s="3">
        <f t="shared" si="30"/>
        <v>121313</v>
      </c>
      <c r="B1826" t="str">
        <f>"01213130015"</f>
        <v>01213130015</v>
      </c>
      <c r="C1826" t="s">
        <v>2181</v>
      </c>
      <c r="D1826" t="s">
        <v>431</v>
      </c>
      <c r="E1826">
        <v>46</v>
      </c>
      <c r="F1826">
        <v>2047</v>
      </c>
      <c r="G1826" t="s">
        <v>2182</v>
      </c>
      <c r="H1826">
        <v>12</v>
      </c>
      <c r="I1826" t="s">
        <v>25</v>
      </c>
      <c r="J1826">
        <v>9</v>
      </c>
      <c r="K1826" t="s">
        <v>25</v>
      </c>
      <c r="L1826">
        <v>8</v>
      </c>
      <c r="M1826">
        <v>73102</v>
      </c>
      <c r="N1826">
        <v>3</v>
      </c>
    </row>
    <row r="1827" spans="1:14" x14ac:dyDescent="0.2">
      <c r="A1827" s="3">
        <f t="shared" si="30"/>
        <v>121723</v>
      </c>
      <c r="B1827" t="str">
        <f>"01217230040"</f>
        <v>01217230040</v>
      </c>
      <c r="C1827" t="s">
        <v>1688</v>
      </c>
      <c r="D1827" t="s">
        <v>622</v>
      </c>
      <c r="E1827">
        <v>71</v>
      </c>
      <c r="F1827">
        <v>8052</v>
      </c>
      <c r="G1827" t="s">
        <v>642</v>
      </c>
      <c r="H1827">
        <v>15</v>
      </c>
      <c r="I1827" t="s">
        <v>25</v>
      </c>
      <c r="J1827">
        <v>11</v>
      </c>
      <c r="K1827" t="s">
        <v>25</v>
      </c>
      <c r="L1827">
        <v>6</v>
      </c>
      <c r="M1827">
        <v>72032</v>
      </c>
      <c r="N1827">
        <v>4</v>
      </c>
    </row>
    <row r="1828" spans="1:14" x14ac:dyDescent="0.2">
      <c r="A1828" s="3">
        <f t="shared" si="30"/>
        <v>121820</v>
      </c>
      <c r="B1828" t="str">
        <f>"01218200006"</f>
        <v>01218200006</v>
      </c>
      <c r="C1828" t="s">
        <v>2183</v>
      </c>
      <c r="D1828" t="s">
        <v>386</v>
      </c>
      <c r="E1828">
        <v>60</v>
      </c>
      <c r="F1828">
        <v>3767</v>
      </c>
      <c r="G1828" t="s">
        <v>917</v>
      </c>
      <c r="H1828" t="s">
        <v>44</v>
      </c>
      <c r="I1828" t="s">
        <v>45</v>
      </c>
      <c r="J1828" t="s">
        <v>44</v>
      </c>
      <c r="K1828" t="s">
        <v>45</v>
      </c>
      <c r="L1828">
        <v>8</v>
      </c>
      <c r="M1828">
        <v>61105</v>
      </c>
      <c r="N1828" t="s">
        <v>46</v>
      </c>
    </row>
    <row r="1829" spans="1:14" x14ac:dyDescent="0.2">
      <c r="A1829" s="3">
        <f t="shared" si="30"/>
        <v>121964</v>
      </c>
      <c r="B1829" t="str">
        <f>"01219640017"</f>
        <v>01219640017</v>
      </c>
      <c r="C1829" t="s">
        <v>2184</v>
      </c>
      <c r="D1829" t="s">
        <v>1344</v>
      </c>
      <c r="E1829">
        <v>85</v>
      </c>
      <c r="F1829">
        <v>5210</v>
      </c>
      <c r="G1829" t="s">
        <v>1120</v>
      </c>
      <c r="H1829" t="s">
        <v>44</v>
      </c>
      <c r="I1829" t="s">
        <v>45</v>
      </c>
      <c r="J1829" t="s">
        <v>44</v>
      </c>
      <c r="K1829" t="s">
        <v>45</v>
      </c>
      <c r="L1829">
        <v>6</v>
      </c>
      <c r="M1829">
        <v>2646</v>
      </c>
      <c r="N1829" t="s">
        <v>46</v>
      </c>
    </row>
    <row r="1830" spans="1:14" x14ac:dyDescent="0.2">
      <c r="A1830" s="3">
        <f t="shared" si="30"/>
        <v>121965</v>
      </c>
      <c r="B1830" t="str">
        <f>"01219650022"</f>
        <v>01219650022</v>
      </c>
      <c r="C1830" t="s">
        <v>2185</v>
      </c>
      <c r="D1830" t="s">
        <v>1344</v>
      </c>
      <c r="E1830">
        <v>85</v>
      </c>
      <c r="F1830">
        <v>5210</v>
      </c>
      <c r="G1830" t="s">
        <v>1120</v>
      </c>
      <c r="H1830" t="s">
        <v>44</v>
      </c>
      <c r="I1830" t="s">
        <v>45</v>
      </c>
      <c r="J1830" t="s">
        <v>44</v>
      </c>
      <c r="K1830" t="s">
        <v>45</v>
      </c>
      <c r="L1830">
        <v>6</v>
      </c>
      <c r="M1830">
        <v>2647</v>
      </c>
      <c r="N1830" t="s">
        <v>46</v>
      </c>
    </row>
    <row r="1831" spans="1:14" x14ac:dyDescent="0.2">
      <c r="A1831" s="3">
        <f t="shared" si="30"/>
        <v>122036</v>
      </c>
      <c r="B1831" t="str">
        <f>"01220360006"</f>
        <v>01220360006</v>
      </c>
      <c r="C1831" t="s">
        <v>1667</v>
      </c>
      <c r="D1831" t="s">
        <v>52</v>
      </c>
      <c r="E1831">
        <v>45</v>
      </c>
      <c r="F1831">
        <v>2725</v>
      </c>
      <c r="G1831" t="s">
        <v>391</v>
      </c>
      <c r="H1831">
        <v>9</v>
      </c>
      <c r="I1831" t="s">
        <v>25</v>
      </c>
      <c r="J1831">
        <v>7</v>
      </c>
      <c r="K1831" t="s">
        <v>25</v>
      </c>
      <c r="L1831">
        <v>6</v>
      </c>
      <c r="M1831">
        <v>2648</v>
      </c>
      <c r="N1831">
        <v>2</v>
      </c>
    </row>
    <row r="1832" spans="1:14" x14ac:dyDescent="0.2">
      <c r="A1832" s="3">
        <f t="shared" si="30"/>
        <v>122084</v>
      </c>
      <c r="B1832" t="str">
        <f>"01220840040"</f>
        <v>01220840040</v>
      </c>
      <c r="C1832" t="s">
        <v>2186</v>
      </c>
      <c r="D1832" t="s">
        <v>70</v>
      </c>
      <c r="E1832">
        <v>32</v>
      </c>
      <c r="F1832">
        <v>2600</v>
      </c>
      <c r="G1832" t="s">
        <v>1401</v>
      </c>
      <c r="H1832">
        <v>18</v>
      </c>
      <c r="I1832" t="s">
        <v>34</v>
      </c>
      <c r="J1832">
        <v>13</v>
      </c>
      <c r="K1832" t="s">
        <v>34</v>
      </c>
      <c r="L1832">
        <v>8</v>
      </c>
      <c r="M1832">
        <v>81129</v>
      </c>
      <c r="N1832">
        <v>5</v>
      </c>
    </row>
    <row r="1833" spans="1:14" x14ac:dyDescent="0.2">
      <c r="A1833" s="3">
        <f t="shared" si="30"/>
        <v>122086</v>
      </c>
      <c r="B1833" t="str">
        <f>"01220860024"</f>
        <v>01220860024</v>
      </c>
      <c r="C1833" t="s">
        <v>2187</v>
      </c>
      <c r="D1833" t="s">
        <v>52</v>
      </c>
      <c r="E1833">
        <v>33</v>
      </c>
      <c r="F1833">
        <v>850</v>
      </c>
      <c r="G1833" t="s">
        <v>335</v>
      </c>
      <c r="H1833">
        <v>12</v>
      </c>
      <c r="I1833" t="s">
        <v>25</v>
      </c>
      <c r="J1833">
        <v>9</v>
      </c>
      <c r="K1833" t="s">
        <v>25</v>
      </c>
      <c r="L1833">
        <v>9</v>
      </c>
      <c r="M1833">
        <v>85203</v>
      </c>
      <c r="N1833">
        <v>3</v>
      </c>
    </row>
    <row r="1834" spans="1:14" x14ac:dyDescent="0.2">
      <c r="A1834" s="3">
        <f t="shared" si="30"/>
        <v>122211</v>
      </c>
      <c r="B1834" t="str">
        <f>"01222110036"</f>
        <v>01222110036</v>
      </c>
      <c r="C1834" t="s">
        <v>2188</v>
      </c>
      <c r="D1834" t="s">
        <v>622</v>
      </c>
      <c r="E1834">
        <v>71</v>
      </c>
      <c r="F1834">
        <v>4366</v>
      </c>
      <c r="G1834" t="s">
        <v>625</v>
      </c>
      <c r="H1834">
        <v>12</v>
      </c>
      <c r="I1834" t="s">
        <v>25</v>
      </c>
      <c r="J1834">
        <v>9</v>
      </c>
      <c r="K1834" t="s">
        <v>25</v>
      </c>
      <c r="L1834">
        <v>8</v>
      </c>
      <c r="M1834">
        <v>74254</v>
      </c>
      <c r="N1834">
        <v>3</v>
      </c>
    </row>
    <row r="1835" spans="1:14" x14ac:dyDescent="0.2">
      <c r="A1835" s="3">
        <f t="shared" si="30"/>
        <v>122316</v>
      </c>
      <c r="B1835" t="str">
        <f>"01223160010"</f>
        <v>01223160010</v>
      </c>
      <c r="C1835" t="s">
        <v>2189</v>
      </c>
      <c r="D1835" t="s">
        <v>52</v>
      </c>
      <c r="E1835">
        <v>70</v>
      </c>
      <c r="F1835">
        <v>919</v>
      </c>
      <c r="G1835" t="s">
        <v>623</v>
      </c>
      <c r="H1835">
        <v>6</v>
      </c>
      <c r="I1835" t="s">
        <v>25</v>
      </c>
      <c r="J1835">
        <v>4</v>
      </c>
      <c r="K1835" t="s">
        <v>25</v>
      </c>
      <c r="L1835">
        <v>6</v>
      </c>
      <c r="M1835">
        <v>2649</v>
      </c>
      <c r="N1835">
        <v>2</v>
      </c>
    </row>
    <row r="1836" spans="1:14" x14ac:dyDescent="0.2">
      <c r="A1836" s="3">
        <f t="shared" si="30"/>
        <v>122317</v>
      </c>
      <c r="B1836" t="str">
        <f>"01223170012"</f>
        <v>01223170012</v>
      </c>
      <c r="C1836" t="s">
        <v>2190</v>
      </c>
      <c r="D1836" t="s">
        <v>52</v>
      </c>
      <c r="E1836">
        <v>70</v>
      </c>
      <c r="F1836">
        <v>919</v>
      </c>
      <c r="G1836" t="s">
        <v>623</v>
      </c>
      <c r="H1836">
        <v>6</v>
      </c>
      <c r="I1836" t="s">
        <v>25</v>
      </c>
      <c r="J1836">
        <v>4</v>
      </c>
      <c r="K1836" t="s">
        <v>25</v>
      </c>
      <c r="L1836">
        <v>6</v>
      </c>
      <c r="M1836">
        <v>2650</v>
      </c>
      <c r="N1836">
        <v>2</v>
      </c>
    </row>
    <row r="1837" spans="1:14" x14ac:dyDescent="0.2">
      <c r="A1837" s="3">
        <f t="shared" si="30"/>
        <v>122318</v>
      </c>
      <c r="B1837" t="str">
        <f>"01223180018"</f>
        <v>01223180018</v>
      </c>
      <c r="C1837" t="s">
        <v>2191</v>
      </c>
      <c r="D1837" t="s">
        <v>52</v>
      </c>
      <c r="E1837">
        <v>70</v>
      </c>
      <c r="F1837">
        <v>919</v>
      </c>
      <c r="G1837" t="s">
        <v>623</v>
      </c>
      <c r="H1837">
        <v>6</v>
      </c>
      <c r="I1837" t="s">
        <v>25</v>
      </c>
      <c r="J1837">
        <v>4</v>
      </c>
      <c r="K1837" t="s">
        <v>25</v>
      </c>
      <c r="L1837">
        <v>6</v>
      </c>
      <c r="M1837">
        <v>2651</v>
      </c>
      <c r="N1837">
        <v>2</v>
      </c>
    </row>
    <row r="1838" spans="1:14" x14ac:dyDescent="0.2">
      <c r="A1838" s="3">
        <f t="shared" si="30"/>
        <v>122430</v>
      </c>
      <c r="B1838" t="str">
        <f>"01224300012"</f>
        <v>01224300012</v>
      </c>
      <c r="C1838" t="s">
        <v>2192</v>
      </c>
      <c r="D1838" t="s">
        <v>115</v>
      </c>
      <c r="E1838">
        <v>52</v>
      </c>
      <c r="F1838">
        <v>195</v>
      </c>
      <c r="G1838" t="s">
        <v>545</v>
      </c>
      <c r="H1838">
        <v>7</v>
      </c>
      <c r="I1838" t="s">
        <v>25</v>
      </c>
      <c r="J1838">
        <v>5</v>
      </c>
      <c r="K1838" t="s">
        <v>25</v>
      </c>
      <c r="L1838">
        <v>8</v>
      </c>
      <c r="M1838">
        <v>65060</v>
      </c>
      <c r="N1838">
        <v>2</v>
      </c>
    </row>
    <row r="1839" spans="1:14" x14ac:dyDescent="0.2">
      <c r="A1839" s="3">
        <f t="shared" si="30"/>
        <v>122434</v>
      </c>
      <c r="B1839" t="str">
        <f>"01224340012"</f>
        <v>01224340012</v>
      </c>
      <c r="C1839" t="s">
        <v>2193</v>
      </c>
      <c r="D1839" t="s">
        <v>115</v>
      </c>
      <c r="E1839">
        <v>52</v>
      </c>
      <c r="F1839">
        <v>195</v>
      </c>
      <c r="G1839" t="s">
        <v>545</v>
      </c>
      <c r="H1839">
        <v>120</v>
      </c>
      <c r="I1839" t="s">
        <v>34</v>
      </c>
      <c r="J1839">
        <v>88</v>
      </c>
      <c r="K1839" t="s">
        <v>34</v>
      </c>
      <c r="L1839">
        <v>8</v>
      </c>
      <c r="M1839">
        <v>65072</v>
      </c>
      <c r="N1839">
        <v>32</v>
      </c>
    </row>
    <row r="1840" spans="1:14" x14ac:dyDescent="0.2">
      <c r="A1840" s="3">
        <f t="shared" si="30"/>
        <v>122436</v>
      </c>
      <c r="B1840" t="str">
        <f>"01224360012"</f>
        <v>01224360012</v>
      </c>
      <c r="C1840" t="s">
        <v>2194</v>
      </c>
      <c r="D1840" t="s">
        <v>115</v>
      </c>
      <c r="E1840">
        <v>52</v>
      </c>
      <c r="F1840">
        <v>195</v>
      </c>
      <c r="G1840" t="s">
        <v>545</v>
      </c>
      <c r="H1840">
        <v>120</v>
      </c>
      <c r="I1840" t="s">
        <v>34</v>
      </c>
      <c r="J1840">
        <v>88</v>
      </c>
      <c r="K1840" t="s">
        <v>34</v>
      </c>
      <c r="L1840">
        <v>8</v>
      </c>
      <c r="M1840">
        <v>65074</v>
      </c>
      <c r="N1840">
        <v>32</v>
      </c>
    </row>
    <row r="1841" spans="1:14" x14ac:dyDescent="0.2">
      <c r="A1841" s="3">
        <f t="shared" si="30"/>
        <v>122437</v>
      </c>
      <c r="B1841" t="str">
        <f>"01224370003"</f>
        <v>01224370003</v>
      </c>
      <c r="C1841" t="s">
        <v>2195</v>
      </c>
      <c r="D1841" t="s">
        <v>52</v>
      </c>
      <c r="E1841">
        <v>52</v>
      </c>
      <c r="F1841">
        <v>195</v>
      </c>
      <c r="G1841" t="s">
        <v>545</v>
      </c>
      <c r="H1841">
        <v>7</v>
      </c>
      <c r="I1841" t="s">
        <v>25</v>
      </c>
      <c r="J1841">
        <v>5</v>
      </c>
      <c r="K1841" t="s">
        <v>25</v>
      </c>
      <c r="L1841">
        <v>6</v>
      </c>
      <c r="M1841">
        <v>1600</v>
      </c>
      <c r="N1841">
        <v>2</v>
      </c>
    </row>
    <row r="1842" spans="1:14" x14ac:dyDescent="0.2">
      <c r="A1842" s="3">
        <f t="shared" si="30"/>
        <v>122439</v>
      </c>
      <c r="B1842" t="str">
        <f>"01224390006"</f>
        <v>01224390006</v>
      </c>
      <c r="C1842" t="s">
        <v>2196</v>
      </c>
      <c r="D1842" t="s">
        <v>115</v>
      </c>
      <c r="E1842">
        <v>52</v>
      </c>
      <c r="F1842">
        <v>195</v>
      </c>
      <c r="G1842" t="s">
        <v>545</v>
      </c>
      <c r="H1842">
        <v>120</v>
      </c>
      <c r="I1842" t="s">
        <v>34</v>
      </c>
      <c r="J1842">
        <v>88</v>
      </c>
      <c r="K1842" t="s">
        <v>34</v>
      </c>
      <c r="L1842">
        <v>8</v>
      </c>
      <c r="M1842">
        <v>65083</v>
      </c>
      <c r="N1842">
        <v>32</v>
      </c>
    </row>
    <row r="1843" spans="1:14" x14ac:dyDescent="0.2">
      <c r="A1843" s="3">
        <f t="shared" si="30"/>
        <v>122949</v>
      </c>
      <c r="B1843" t="str">
        <f>"01229490012"</f>
        <v>01229490012</v>
      </c>
      <c r="C1843" t="s">
        <v>2197</v>
      </c>
      <c r="D1843" t="s">
        <v>70</v>
      </c>
      <c r="E1843">
        <v>31</v>
      </c>
      <c r="F1843">
        <v>3717</v>
      </c>
      <c r="G1843" t="s">
        <v>1414</v>
      </c>
      <c r="H1843">
        <v>25</v>
      </c>
      <c r="I1843" t="s">
        <v>34</v>
      </c>
      <c r="J1843">
        <v>18</v>
      </c>
      <c r="K1843" t="s">
        <v>34</v>
      </c>
      <c r="L1843">
        <v>8</v>
      </c>
      <c r="M1843">
        <v>81021</v>
      </c>
      <c r="N1843">
        <v>7</v>
      </c>
    </row>
    <row r="1844" spans="1:14" x14ac:dyDescent="0.2">
      <c r="A1844" s="3">
        <f t="shared" si="30"/>
        <v>123340</v>
      </c>
      <c r="B1844" t="str">
        <f>"01233400006"</f>
        <v>01233400006</v>
      </c>
      <c r="C1844" t="s">
        <v>2198</v>
      </c>
      <c r="D1844" t="s">
        <v>386</v>
      </c>
      <c r="E1844">
        <v>60</v>
      </c>
      <c r="F1844">
        <v>3767</v>
      </c>
      <c r="G1844" t="s">
        <v>917</v>
      </c>
      <c r="H1844" t="s">
        <v>44</v>
      </c>
      <c r="I1844" t="s">
        <v>45</v>
      </c>
      <c r="J1844" t="s">
        <v>44</v>
      </c>
      <c r="K1844" t="s">
        <v>45</v>
      </c>
      <c r="L1844">
        <v>8</v>
      </c>
      <c r="M1844">
        <v>61109</v>
      </c>
      <c r="N1844" t="s">
        <v>46</v>
      </c>
    </row>
    <row r="1845" spans="1:14" x14ac:dyDescent="0.2">
      <c r="A1845" s="3">
        <f t="shared" si="30"/>
        <v>123345</v>
      </c>
      <c r="B1845" t="str">
        <f>"01233450020"</f>
        <v>01233450020</v>
      </c>
      <c r="C1845" t="s">
        <v>2199</v>
      </c>
      <c r="D1845" t="s">
        <v>23</v>
      </c>
      <c r="E1845">
        <v>47</v>
      </c>
      <c r="F1845">
        <v>4616</v>
      </c>
      <c r="G1845" t="s">
        <v>449</v>
      </c>
      <c r="H1845">
        <v>20</v>
      </c>
      <c r="I1845" t="s">
        <v>25</v>
      </c>
      <c r="J1845">
        <v>16</v>
      </c>
      <c r="K1845" t="s">
        <v>25</v>
      </c>
      <c r="L1845">
        <v>8</v>
      </c>
      <c r="M1845">
        <v>67102</v>
      </c>
      <c r="N1845">
        <v>4</v>
      </c>
    </row>
    <row r="1846" spans="1:14" x14ac:dyDescent="0.2">
      <c r="A1846" s="3">
        <f t="shared" si="30"/>
        <v>123420</v>
      </c>
      <c r="B1846" t="str">
        <f>"01234200001"</f>
        <v>01234200001</v>
      </c>
      <c r="C1846" t="s">
        <v>2200</v>
      </c>
      <c r="D1846" t="s">
        <v>52</v>
      </c>
      <c r="E1846">
        <v>12</v>
      </c>
      <c r="F1846">
        <v>2061</v>
      </c>
      <c r="G1846" t="s">
        <v>1552</v>
      </c>
      <c r="H1846" t="s">
        <v>44</v>
      </c>
      <c r="I1846" t="s">
        <v>45</v>
      </c>
      <c r="J1846" t="s">
        <v>44</v>
      </c>
      <c r="K1846" t="s">
        <v>45</v>
      </c>
      <c r="L1846">
        <v>5</v>
      </c>
      <c r="M1846" t="s">
        <v>65</v>
      </c>
      <c r="N1846" t="s">
        <v>46</v>
      </c>
    </row>
    <row r="1847" spans="1:14" x14ac:dyDescent="0.2">
      <c r="A1847" s="3">
        <f t="shared" si="30"/>
        <v>123638</v>
      </c>
      <c r="B1847" t="str">
        <f>"01236380001"</f>
        <v>01236380001</v>
      </c>
      <c r="C1847" t="s">
        <v>2201</v>
      </c>
      <c r="D1847" t="s">
        <v>52</v>
      </c>
      <c r="E1847">
        <v>12</v>
      </c>
      <c r="F1847">
        <v>2061</v>
      </c>
      <c r="G1847" t="s">
        <v>1552</v>
      </c>
      <c r="H1847" t="s">
        <v>44</v>
      </c>
      <c r="I1847" t="s">
        <v>45</v>
      </c>
      <c r="J1847" t="s">
        <v>44</v>
      </c>
      <c r="K1847" t="s">
        <v>45</v>
      </c>
      <c r="L1847">
        <v>5</v>
      </c>
      <c r="M1847" t="s">
        <v>65</v>
      </c>
      <c r="N1847" t="s">
        <v>46</v>
      </c>
    </row>
    <row r="1848" spans="1:14" x14ac:dyDescent="0.2">
      <c r="A1848" s="3">
        <f t="shared" si="30"/>
        <v>123651</v>
      </c>
      <c r="B1848" t="str">
        <f>"01236510027"</f>
        <v>01236510027</v>
      </c>
      <c r="C1848" t="s">
        <v>2202</v>
      </c>
      <c r="D1848" t="s">
        <v>622</v>
      </c>
      <c r="E1848">
        <v>70</v>
      </c>
      <c r="F1848">
        <v>919</v>
      </c>
      <c r="G1848" t="s">
        <v>623</v>
      </c>
      <c r="H1848">
        <v>6</v>
      </c>
      <c r="I1848" t="s">
        <v>25</v>
      </c>
      <c r="J1848">
        <v>4</v>
      </c>
      <c r="K1848" t="s">
        <v>25</v>
      </c>
      <c r="L1848">
        <v>8</v>
      </c>
      <c r="M1848">
        <v>72093</v>
      </c>
      <c r="N1848">
        <v>2</v>
      </c>
    </row>
    <row r="1849" spans="1:14" x14ac:dyDescent="0.2">
      <c r="A1849" s="3">
        <f t="shared" si="30"/>
        <v>123652</v>
      </c>
      <c r="B1849" t="str">
        <f>"01236520027"</f>
        <v>01236520027</v>
      </c>
      <c r="C1849" t="s">
        <v>2203</v>
      </c>
      <c r="D1849" t="s">
        <v>622</v>
      </c>
      <c r="E1849">
        <v>70</v>
      </c>
      <c r="F1849">
        <v>919</v>
      </c>
      <c r="G1849" t="s">
        <v>623</v>
      </c>
      <c r="H1849">
        <v>6</v>
      </c>
      <c r="I1849" t="s">
        <v>25</v>
      </c>
      <c r="J1849">
        <v>4</v>
      </c>
      <c r="K1849" t="s">
        <v>25</v>
      </c>
      <c r="L1849">
        <v>7</v>
      </c>
      <c r="M1849">
        <v>72098</v>
      </c>
      <c r="N1849">
        <v>2</v>
      </c>
    </row>
    <row r="1850" spans="1:14" x14ac:dyDescent="0.2">
      <c r="A1850" s="3">
        <f t="shared" si="30"/>
        <v>123655</v>
      </c>
      <c r="B1850" t="str">
        <f>"01236550027"</f>
        <v>01236550027</v>
      </c>
      <c r="C1850" t="s">
        <v>2204</v>
      </c>
      <c r="D1850" t="s">
        <v>622</v>
      </c>
      <c r="E1850">
        <v>70</v>
      </c>
      <c r="F1850">
        <v>919</v>
      </c>
      <c r="G1850" t="s">
        <v>623</v>
      </c>
      <c r="H1850">
        <v>6</v>
      </c>
      <c r="I1850" t="s">
        <v>25</v>
      </c>
      <c r="J1850">
        <v>4</v>
      </c>
      <c r="K1850" t="s">
        <v>25</v>
      </c>
      <c r="L1850">
        <v>8</v>
      </c>
      <c r="M1850">
        <v>72065</v>
      </c>
      <c r="N1850">
        <v>2</v>
      </c>
    </row>
    <row r="1851" spans="1:14" x14ac:dyDescent="0.2">
      <c r="A1851" s="3">
        <f t="shared" si="30"/>
        <v>123659</v>
      </c>
      <c r="B1851" t="str">
        <f>"01236590040"</f>
        <v>01236590040</v>
      </c>
      <c r="C1851" t="s">
        <v>2205</v>
      </c>
      <c r="D1851" t="s">
        <v>622</v>
      </c>
      <c r="E1851">
        <v>71</v>
      </c>
      <c r="F1851">
        <v>919</v>
      </c>
      <c r="G1851" t="s">
        <v>623</v>
      </c>
      <c r="H1851">
        <v>150</v>
      </c>
      <c r="I1851" t="s">
        <v>34</v>
      </c>
      <c r="J1851">
        <v>118</v>
      </c>
      <c r="K1851" t="s">
        <v>34</v>
      </c>
      <c r="L1851">
        <v>6</v>
      </c>
      <c r="M1851" t="s">
        <v>65</v>
      </c>
      <c r="N1851">
        <v>32</v>
      </c>
    </row>
    <row r="1852" spans="1:14" x14ac:dyDescent="0.2">
      <c r="A1852" s="3">
        <f t="shared" si="30"/>
        <v>123661</v>
      </c>
      <c r="B1852" t="str">
        <f>"01236610034"</f>
        <v>01236610034</v>
      </c>
      <c r="C1852" t="s">
        <v>2206</v>
      </c>
      <c r="D1852" t="s">
        <v>52</v>
      </c>
      <c r="E1852">
        <v>70</v>
      </c>
      <c r="F1852">
        <v>384</v>
      </c>
      <c r="G1852" t="s">
        <v>2014</v>
      </c>
      <c r="H1852">
        <v>6</v>
      </c>
      <c r="I1852" t="s">
        <v>25</v>
      </c>
      <c r="J1852">
        <v>4</v>
      </c>
      <c r="K1852" t="s">
        <v>25</v>
      </c>
      <c r="L1852">
        <v>5</v>
      </c>
      <c r="M1852" t="s">
        <v>65</v>
      </c>
      <c r="N1852">
        <v>2</v>
      </c>
    </row>
    <row r="1853" spans="1:14" x14ac:dyDescent="0.2">
      <c r="A1853" s="3">
        <f t="shared" si="30"/>
        <v>123663</v>
      </c>
      <c r="B1853" t="str">
        <f>"01236630034"</f>
        <v>01236630034</v>
      </c>
      <c r="C1853" t="s">
        <v>2207</v>
      </c>
      <c r="D1853" t="s">
        <v>52</v>
      </c>
      <c r="E1853">
        <v>70</v>
      </c>
      <c r="F1853">
        <v>384</v>
      </c>
      <c r="G1853" t="s">
        <v>2014</v>
      </c>
      <c r="H1853">
        <v>6</v>
      </c>
      <c r="I1853" t="s">
        <v>25</v>
      </c>
      <c r="J1853">
        <v>4</v>
      </c>
      <c r="K1853" t="s">
        <v>25</v>
      </c>
      <c r="L1853">
        <v>5</v>
      </c>
      <c r="M1853" t="s">
        <v>65</v>
      </c>
      <c r="N1853">
        <v>2</v>
      </c>
    </row>
    <row r="1854" spans="1:14" x14ac:dyDescent="0.2">
      <c r="A1854" s="3">
        <f t="shared" si="30"/>
        <v>123672</v>
      </c>
      <c r="B1854" t="str">
        <f>"01236720010"</f>
        <v>01236720010</v>
      </c>
      <c r="C1854" t="s">
        <v>2208</v>
      </c>
      <c r="D1854" t="s">
        <v>52</v>
      </c>
      <c r="E1854">
        <v>30</v>
      </c>
      <c r="F1854">
        <v>4980</v>
      </c>
      <c r="G1854" t="s">
        <v>154</v>
      </c>
      <c r="H1854">
        <v>21</v>
      </c>
      <c r="I1854" t="s">
        <v>34</v>
      </c>
      <c r="J1854">
        <v>15</v>
      </c>
      <c r="K1854" t="s">
        <v>34</v>
      </c>
      <c r="L1854">
        <v>6</v>
      </c>
      <c r="M1854">
        <v>1529</v>
      </c>
      <c r="N1854">
        <v>6</v>
      </c>
    </row>
    <row r="1855" spans="1:14" x14ac:dyDescent="0.2">
      <c r="A1855" s="3">
        <f t="shared" si="30"/>
        <v>123704</v>
      </c>
      <c r="B1855" t="str">
        <f>"01237040012"</f>
        <v>01237040012</v>
      </c>
      <c r="C1855" t="s">
        <v>2209</v>
      </c>
      <c r="D1855" t="s">
        <v>543</v>
      </c>
      <c r="E1855">
        <v>44</v>
      </c>
      <c r="F1855">
        <v>259</v>
      </c>
      <c r="G1855" t="s">
        <v>1504</v>
      </c>
      <c r="H1855">
        <v>11</v>
      </c>
      <c r="I1855" t="s">
        <v>25</v>
      </c>
      <c r="J1855">
        <v>8</v>
      </c>
      <c r="K1855" t="s">
        <v>25</v>
      </c>
      <c r="L1855">
        <v>8</v>
      </c>
      <c r="M1855">
        <v>72171</v>
      </c>
      <c r="N1855">
        <v>3</v>
      </c>
    </row>
    <row r="1856" spans="1:14" x14ac:dyDescent="0.2">
      <c r="A1856" s="3">
        <f t="shared" si="30"/>
        <v>123839</v>
      </c>
      <c r="B1856" t="str">
        <f>"01238390001"</f>
        <v>01238390001</v>
      </c>
      <c r="C1856" t="s">
        <v>2210</v>
      </c>
      <c r="D1856" t="s">
        <v>1344</v>
      </c>
      <c r="E1856">
        <v>84</v>
      </c>
      <c r="F1856">
        <v>1653</v>
      </c>
      <c r="G1856" t="s">
        <v>1357</v>
      </c>
      <c r="H1856" t="s">
        <v>44</v>
      </c>
      <c r="I1856" t="s">
        <v>45</v>
      </c>
      <c r="J1856" t="s">
        <v>44</v>
      </c>
      <c r="K1856" t="s">
        <v>45</v>
      </c>
      <c r="L1856">
        <v>6</v>
      </c>
      <c r="M1856">
        <v>1611</v>
      </c>
      <c r="N1856" t="s">
        <v>46</v>
      </c>
    </row>
    <row r="1857" spans="1:14" x14ac:dyDescent="0.2">
      <c r="A1857" s="3">
        <f t="shared" si="30"/>
        <v>124025</v>
      </c>
      <c r="B1857" t="str">
        <f>"01240250020"</f>
        <v>01240250020</v>
      </c>
      <c r="C1857" t="s">
        <v>2211</v>
      </c>
      <c r="D1857" t="s">
        <v>431</v>
      </c>
      <c r="E1857">
        <v>84</v>
      </c>
      <c r="F1857">
        <v>878</v>
      </c>
      <c r="G1857" t="s">
        <v>2212</v>
      </c>
      <c r="H1857" t="s">
        <v>44</v>
      </c>
      <c r="I1857" t="s">
        <v>45</v>
      </c>
      <c r="J1857" t="s">
        <v>44</v>
      </c>
      <c r="K1857" t="s">
        <v>45</v>
      </c>
      <c r="L1857">
        <v>8</v>
      </c>
      <c r="M1857">
        <v>69045</v>
      </c>
      <c r="N1857" t="s">
        <v>46</v>
      </c>
    </row>
    <row r="1858" spans="1:14" x14ac:dyDescent="0.2">
      <c r="A1858" s="3">
        <f t="shared" si="30"/>
        <v>124055</v>
      </c>
      <c r="B1858" t="str">
        <f>"01240550039"</f>
        <v>01240550039</v>
      </c>
      <c r="C1858" t="s">
        <v>2213</v>
      </c>
      <c r="D1858" t="s">
        <v>42</v>
      </c>
      <c r="E1858">
        <v>70</v>
      </c>
      <c r="F1858">
        <v>1647</v>
      </c>
      <c r="G1858" t="s">
        <v>557</v>
      </c>
      <c r="H1858">
        <v>6</v>
      </c>
      <c r="I1858" t="s">
        <v>25</v>
      </c>
      <c r="J1858">
        <v>4</v>
      </c>
      <c r="K1858" t="s">
        <v>25</v>
      </c>
      <c r="L1858">
        <v>8</v>
      </c>
      <c r="M1858">
        <v>74119</v>
      </c>
      <c r="N1858">
        <v>2</v>
      </c>
    </row>
    <row r="1859" spans="1:14" x14ac:dyDescent="0.2">
      <c r="A1859" s="3">
        <f t="shared" si="30"/>
        <v>124101</v>
      </c>
      <c r="B1859" t="str">
        <f>"01241010017"</f>
        <v>01241010017</v>
      </c>
      <c r="C1859" t="s">
        <v>2214</v>
      </c>
      <c r="D1859" t="s">
        <v>604</v>
      </c>
      <c r="E1859">
        <v>84</v>
      </c>
      <c r="F1859">
        <v>4638</v>
      </c>
      <c r="G1859" t="s">
        <v>1026</v>
      </c>
      <c r="H1859" t="s">
        <v>44</v>
      </c>
      <c r="I1859" t="s">
        <v>45</v>
      </c>
      <c r="J1859" t="s">
        <v>44</v>
      </c>
      <c r="K1859" t="s">
        <v>45</v>
      </c>
      <c r="L1859">
        <v>8</v>
      </c>
      <c r="M1859">
        <v>69050</v>
      </c>
      <c r="N1859" t="s">
        <v>46</v>
      </c>
    </row>
    <row r="1860" spans="1:14" x14ac:dyDescent="0.2">
      <c r="A1860" s="3">
        <f t="shared" ref="A1860:A1923" si="31">(B1860-RIGHT(B1860,4))/10000</f>
        <v>124167</v>
      </c>
      <c r="B1860" t="str">
        <f>"01241670054"</f>
        <v>01241670054</v>
      </c>
      <c r="C1860" t="s">
        <v>2215</v>
      </c>
      <c r="D1860" t="s">
        <v>622</v>
      </c>
      <c r="E1860">
        <v>71</v>
      </c>
      <c r="F1860">
        <v>4366</v>
      </c>
      <c r="G1860" t="s">
        <v>625</v>
      </c>
      <c r="H1860">
        <v>12</v>
      </c>
      <c r="I1860" t="s">
        <v>25</v>
      </c>
      <c r="J1860">
        <v>9</v>
      </c>
      <c r="K1860" t="s">
        <v>25</v>
      </c>
      <c r="L1860">
        <v>8</v>
      </c>
      <c r="M1860">
        <v>74250</v>
      </c>
      <c r="N1860">
        <v>3</v>
      </c>
    </row>
    <row r="1861" spans="1:14" x14ac:dyDescent="0.2">
      <c r="A1861" s="3">
        <f t="shared" si="31"/>
        <v>124184</v>
      </c>
      <c r="B1861" t="str">
        <f>"01241840006"</f>
        <v>01241840006</v>
      </c>
      <c r="C1861" t="s">
        <v>2216</v>
      </c>
      <c r="D1861" t="s">
        <v>23</v>
      </c>
      <c r="E1861">
        <v>62</v>
      </c>
      <c r="F1861">
        <v>1429</v>
      </c>
      <c r="G1861" t="s">
        <v>873</v>
      </c>
      <c r="H1861">
        <v>150</v>
      </c>
      <c r="I1861" t="s">
        <v>34</v>
      </c>
      <c r="J1861">
        <v>118</v>
      </c>
      <c r="K1861" t="s">
        <v>34</v>
      </c>
      <c r="L1861">
        <v>8</v>
      </c>
      <c r="M1861">
        <v>71179</v>
      </c>
      <c r="N1861">
        <v>32</v>
      </c>
    </row>
    <row r="1862" spans="1:14" x14ac:dyDescent="0.2">
      <c r="A1862" s="3">
        <f t="shared" si="31"/>
        <v>124320</v>
      </c>
      <c r="B1862" t="str">
        <f>"01243200006"</f>
        <v>01243200006</v>
      </c>
      <c r="C1862" t="s">
        <v>2217</v>
      </c>
      <c r="D1862" t="s">
        <v>686</v>
      </c>
      <c r="E1862">
        <v>81</v>
      </c>
      <c r="F1862">
        <v>1117</v>
      </c>
      <c r="G1862" t="s">
        <v>766</v>
      </c>
      <c r="H1862">
        <v>18</v>
      </c>
      <c r="I1862" t="s">
        <v>25</v>
      </c>
      <c r="J1862">
        <v>14</v>
      </c>
      <c r="K1862" t="s">
        <v>25</v>
      </c>
      <c r="L1862">
        <v>8</v>
      </c>
      <c r="M1862">
        <v>69116</v>
      </c>
      <c r="N1862">
        <v>4</v>
      </c>
    </row>
    <row r="1863" spans="1:14" x14ac:dyDescent="0.2">
      <c r="A1863" s="3">
        <f t="shared" si="31"/>
        <v>124321</v>
      </c>
      <c r="B1863" t="str">
        <f>"01243210006"</f>
        <v>01243210006</v>
      </c>
      <c r="C1863" t="s">
        <v>2218</v>
      </c>
      <c r="D1863" t="s">
        <v>686</v>
      </c>
      <c r="E1863">
        <v>81</v>
      </c>
      <c r="F1863">
        <v>1117</v>
      </c>
      <c r="G1863" t="s">
        <v>766</v>
      </c>
      <c r="H1863">
        <v>18</v>
      </c>
      <c r="I1863" t="s">
        <v>25</v>
      </c>
      <c r="J1863">
        <v>14</v>
      </c>
      <c r="K1863" t="s">
        <v>25</v>
      </c>
      <c r="L1863">
        <v>8</v>
      </c>
      <c r="M1863">
        <v>69113</v>
      </c>
      <c r="N1863">
        <v>4</v>
      </c>
    </row>
    <row r="1864" spans="1:14" x14ac:dyDescent="0.2">
      <c r="A1864" s="3">
        <f t="shared" si="31"/>
        <v>124329</v>
      </c>
      <c r="B1864" t="str">
        <f>"01243290012"</f>
        <v>01243290012</v>
      </c>
      <c r="C1864" t="s">
        <v>2219</v>
      </c>
      <c r="D1864" t="s">
        <v>52</v>
      </c>
      <c r="E1864">
        <v>47</v>
      </c>
      <c r="F1864">
        <v>740</v>
      </c>
      <c r="G1864" t="s">
        <v>2220</v>
      </c>
      <c r="H1864">
        <v>6</v>
      </c>
      <c r="I1864" t="s">
        <v>25</v>
      </c>
      <c r="J1864">
        <v>4</v>
      </c>
      <c r="K1864" t="s">
        <v>25</v>
      </c>
      <c r="L1864">
        <v>5</v>
      </c>
      <c r="M1864" t="s">
        <v>65</v>
      </c>
      <c r="N1864">
        <v>2</v>
      </c>
    </row>
    <row r="1865" spans="1:14" x14ac:dyDescent="0.2">
      <c r="A1865" s="3">
        <f t="shared" si="31"/>
        <v>124332</v>
      </c>
      <c r="B1865" t="str">
        <f>"01243320006"</f>
        <v>01243320006</v>
      </c>
      <c r="C1865" t="s">
        <v>2221</v>
      </c>
      <c r="D1865" t="s">
        <v>23</v>
      </c>
      <c r="E1865">
        <v>62</v>
      </c>
      <c r="F1865">
        <v>3796</v>
      </c>
      <c r="G1865" t="s">
        <v>24</v>
      </c>
      <c r="H1865">
        <v>6</v>
      </c>
      <c r="I1865" t="s">
        <v>25</v>
      </c>
      <c r="J1865">
        <v>4</v>
      </c>
      <c r="K1865" t="s">
        <v>25</v>
      </c>
      <c r="L1865">
        <v>8</v>
      </c>
      <c r="M1865">
        <v>71069</v>
      </c>
      <c r="N1865">
        <v>2</v>
      </c>
    </row>
    <row r="1866" spans="1:14" x14ac:dyDescent="0.2">
      <c r="A1866" s="3">
        <f t="shared" si="31"/>
        <v>124333</v>
      </c>
      <c r="B1866" t="str">
        <f>"01243330006"</f>
        <v>01243330006</v>
      </c>
      <c r="C1866" t="s">
        <v>2222</v>
      </c>
      <c r="D1866" t="s">
        <v>23</v>
      </c>
      <c r="E1866">
        <v>62</v>
      </c>
      <c r="F1866">
        <v>3796</v>
      </c>
      <c r="G1866" t="s">
        <v>24</v>
      </c>
      <c r="H1866">
        <v>6</v>
      </c>
      <c r="I1866" t="s">
        <v>25</v>
      </c>
      <c r="J1866">
        <v>4</v>
      </c>
      <c r="K1866" t="s">
        <v>25</v>
      </c>
      <c r="L1866">
        <v>8</v>
      </c>
      <c r="M1866">
        <v>71230</v>
      </c>
      <c r="N1866">
        <v>2</v>
      </c>
    </row>
    <row r="1867" spans="1:14" x14ac:dyDescent="0.2">
      <c r="A1867" s="3">
        <f t="shared" si="31"/>
        <v>124336</v>
      </c>
      <c r="B1867" t="str">
        <f>"01243360006"</f>
        <v>01243360006</v>
      </c>
      <c r="C1867" t="s">
        <v>2223</v>
      </c>
      <c r="D1867" t="s">
        <v>23</v>
      </c>
      <c r="E1867">
        <v>62</v>
      </c>
      <c r="F1867">
        <v>3796</v>
      </c>
      <c r="G1867" t="s">
        <v>24</v>
      </c>
      <c r="H1867">
        <v>6</v>
      </c>
      <c r="I1867" t="s">
        <v>25</v>
      </c>
      <c r="J1867">
        <v>4</v>
      </c>
      <c r="K1867" t="s">
        <v>25</v>
      </c>
      <c r="L1867">
        <v>8</v>
      </c>
      <c r="M1867">
        <v>71074</v>
      </c>
      <c r="N1867">
        <v>2</v>
      </c>
    </row>
    <row r="1868" spans="1:14" x14ac:dyDescent="0.2">
      <c r="A1868" s="3">
        <f t="shared" si="31"/>
        <v>124382</v>
      </c>
      <c r="B1868" t="str">
        <f>"01243820054"</f>
        <v>01243820054</v>
      </c>
      <c r="C1868" t="s">
        <v>2224</v>
      </c>
      <c r="D1868" t="s">
        <v>622</v>
      </c>
      <c r="E1868">
        <v>71</v>
      </c>
      <c r="F1868">
        <v>4366</v>
      </c>
      <c r="G1868" t="s">
        <v>625</v>
      </c>
      <c r="H1868">
        <v>12</v>
      </c>
      <c r="I1868" t="s">
        <v>25</v>
      </c>
      <c r="J1868">
        <v>9</v>
      </c>
      <c r="K1868" t="s">
        <v>25</v>
      </c>
      <c r="L1868">
        <v>8</v>
      </c>
      <c r="M1868">
        <v>74230</v>
      </c>
      <c r="N1868">
        <v>3</v>
      </c>
    </row>
    <row r="1869" spans="1:14" x14ac:dyDescent="0.2">
      <c r="A1869" s="3">
        <f t="shared" si="31"/>
        <v>124468</v>
      </c>
      <c r="B1869" t="str">
        <f>"01244680032"</f>
        <v>01244680032</v>
      </c>
      <c r="C1869" t="s">
        <v>2225</v>
      </c>
      <c r="D1869" t="s">
        <v>42</v>
      </c>
      <c r="E1869">
        <v>70</v>
      </c>
      <c r="F1869">
        <v>1647</v>
      </c>
      <c r="G1869" t="s">
        <v>557</v>
      </c>
      <c r="H1869">
        <v>6</v>
      </c>
      <c r="I1869" t="s">
        <v>25</v>
      </c>
      <c r="J1869">
        <v>4</v>
      </c>
      <c r="K1869" t="s">
        <v>25</v>
      </c>
      <c r="L1869">
        <v>8</v>
      </c>
      <c r="M1869">
        <v>74146</v>
      </c>
      <c r="N1869">
        <v>2</v>
      </c>
    </row>
    <row r="1870" spans="1:14" x14ac:dyDescent="0.2">
      <c r="A1870" s="3">
        <f t="shared" si="31"/>
        <v>124506</v>
      </c>
      <c r="B1870" t="str">
        <f>"01245060007"</f>
        <v>01245060007</v>
      </c>
      <c r="C1870" t="s">
        <v>2226</v>
      </c>
      <c r="D1870" t="s">
        <v>70</v>
      </c>
      <c r="E1870">
        <v>33</v>
      </c>
      <c r="F1870">
        <v>1655</v>
      </c>
      <c r="G1870" t="s">
        <v>1886</v>
      </c>
      <c r="H1870">
        <v>38</v>
      </c>
      <c r="I1870" t="s">
        <v>34</v>
      </c>
      <c r="J1870">
        <v>28</v>
      </c>
      <c r="K1870" t="s">
        <v>34</v>
      </c>
      <c r="L1870">
        <v>8</v>
      </c>
      <c r="M1870">
        <v>83226</v>
      </c>
      <c r="N1870">
        <v>10</v>
      </c>
    </row>
    <row r="1871" spans="1:14" x14ac:dyDescent="0.2">
      <c r="A1871" s="3">
        <f t="shared" si="31"/>
        <v>124564</v>
      </c>
      <c r="B1871" t="str">
        <f>"01245640016"</f>
        <v>01245640016</v>
      </c>
      <c r="C1871" t="s">
        <v>2227</v>
      </c>
      <c r="D1871" t="s">
        <v>42</v>
      </c>
      <c r="E1871">
        <v>70</v>
      </c>
      <c r="F1871">
        <v>703</v>
      </c>
      <c r="G1871" t="s">
        <v>562</v>
      </c>
      <c r="H1871">
        <v>6</v>
      </c>
      <c r="I1871" t="s">
        <v>25</v>
      </c>
      <c r="J1871">
        <v>4</v>
      </c>
      <c r="K1871" t="s">
        <v>25</v>
      </c>
      <c r="L1871">
        <v>8</v>
      </c>
      <c r="M1871">
        <v>74155</v>
      </c>
      <c r="N1871">
        <v>2</v>
      </c>
    </row>
    <row r="1872" spans="1:14" x14ac:dyDescent="0.2">
      <c r="A1872" s="3">
        <f t="shared" si="31"/>
        <v>124840</v>
      </c>
      <c r="B1872" t="str">
        <f>"01248400018"</f>
        <v>01248400018</v>
      </c>
      <c r="C1872" t="s">
        <v>2228</v>
      </c>
      <c r="D1872" t="s">
        <v>42</v>
      </c>
      <c r="E1872">
        <v>44</v>
      </c>
      <c r="F1872">
        <v>6916</v>
      </c>
      <c r="G1872" t="s">
        <v>60</v>
      </c>
      <c r="H1872">
        <v>18</v>
      </c>
      <c r="I1872" t="s">
        <v>25</v>
      </c>
      <c r="J1872">
        <v>14</v>
      </c>
      <c r="K1872" t="s">
        <v>25</v>
      </c>
      <c r="L1872">
        <v>8</v>
      </c>
      <c r="M1872">
        <v>66050</v>
      </c>
      <c r="N1872">
        <v>4</v>
      </c>
    </row>
    <row r="1873" spans="1:14" x14ac:dyDescent="0.2">
      <c r="A1873" s="3">
        <f t="shared" si="31"/>
        <v>125529</v>
      </c>
      <c r="B1873" t="str">
        <f>"01255290010"</f>
        <v>01255290010</v>
      </c>
      <c r="C1873" t="s">
        <v>2229</v>
      </c>
      <c r="D1873" t="s">
        <v>418</v>
      </c>
      <c r="E1873">
        <v>72</v>
      </c>
      <c r="F1873">
        <v>2165</v>
      </c>
      <c r="G1873" t="s">
        <v>2230</v>
      </c>
      <c r="H1873">
        <v>10</v>
      </c>
      <c r="I1873" t="s">
        <v>25</v>
      </c>
      <c r="J1873">
        <v>7</v>
      </c>
      <c r="K1873" t="s">
        <v>25</v>
      </c>
      <c r="L1873">
        <v>8</v>
      </c>
      <c r="M1873">
        <v>72120</v>
      </c>
      <c r="N1873">
        <v>3</v>
      </c>
    </row>
    <row r="1874" spans="1:14" x14ac:dyDescent="0.2">
      <c r="A1874" s="3">
        <f t="shared" si="31"/>
        <v>125620</v>
      </c>
      <c r="B1874" t="str">
        <f>"01256200002"</f>
        <v>01256200002</v>
      </c>
      <c r="C1874" t="s">
        <v>2231</v>
      </c>
      <c r="D1874" t="s">
        <v>115</v>
      </c>
      <c r="E1874">
        <v>63</v>
      </c>
      <c r="F1874">
        <v>5810</v>
      </c>
      <c r="G1874" t="s">
        <v>892</v>
      </c>
      <c r="H1874">
        <v>10</v>
      </c>
      <c r="I1874" t="s">
        <v>25</v>
      </c>
      <c r="J1874">
        <v>7</v>
      </c>
      <c r="K1874" t="s">
        <v>25</v>
      </c>
      <c r="L1874">
        <v>8</v>
      </c>
      <c r="M1874">
        <v>62171</v>
      </c>
      <c r="N1874">
        <v>3</v>
      </c>
    </row>
    <row r="1875" spans="1:14" x14ac:dyDescent="0.2">
      <c r="A1875" s="3">
        <f t="shared" si="31"/>
        <v>125704</v>
      </c>
      <c r="B1875" t="str">
        <f>"01257040001"</f>
        <v>01257040001</v>
      </c>
      <c r="C1875" t="s">
        <v>2232</v>
      </c>
      <c r="D1875" t="s">
        <v>52</v>
      </c>
      <c r="E1875">
        <v>12</v>
      </c>
      <c r="F1875">
        <v>3694</v>
      </c>
      <c r="G1875" t="s">
        <v>1614</v>
      </c>
      <c r="H1875" t="s">
        <v>44</v>
      </c>
      <c r="I1875" t="s">
        <v>45</v>
      </c>
      <c r="J1875" t="s">
        <v>44</v>
      </c>
      <c r="K1875" t="s">
        <v>45</v>
      </c>
      <c r="L1875">
        <v>5</v>
      </c>
      <c r="M1875" t="s">
        <v>65</v>
      </c>
      <c r="N1875" t="s">
        <v>46</v>
      </c>
    </row>
    <row r="1876" spans="1:14" x14ac:dyDescent="0.2">
      <c r="A1876" s="3">
        <f t="shared" si="31"/>
        <v>125709</v>
      </c>
      <c r="B1876" t="str">
        <f>"01257090001"</f>
        <v>01257090001</v>
      </c>
      <c r="C1876" t="s">
        <v>2233</v>
      </c>
      <c r="D1876" t="s">
        <v>52</v>
      </c>
      <c r="E1876">
        <v>12</v>
      </c>
      <c r="F1876">
        <v>2061</v>
      </c>
      <c r="G1876" t="s">
        <v>1552</v>
      </c>
      <c r="H1876" t="s">
        <v>44</v>
      </c>
      <c r="I1876" t="s">
        <v>45</v>
      </c>
      <c r="J1876" t="s">
        <v>44</v>
      </c>
      <c r="K1876" t="s">
        <v>45</v>
      </c>
      <c r="L1876">
        <v>5</v>
      </c>
      <c r="M1876" t="s">
        <v>65</v>
      </c>
      <c r="N1876" t="s">
        <v>46</v>
      </c>
    </row>
    <row r="1877" spans="1:14" x14ac:dyDescent="0.2">
      <c r="A1877" s="3">
        <f t="shared" si="31"/>
        <v>126009</v>
      </c>
      <c r="B1877" t="str">
        <f>"01260090020"</f>
        <v>01260090020</v>
      </c>
      <c r="C1877" t="s">
        <v>2234</v>
      </c>
      <c r="D1877" t="s">
        <v>421</v>
      </c>
      <c r="E1877">
        <v>52</v>
      </c>
      <c r="F1877">
        <v>1205</v>
      </c>
      <c r="G1877" t="s">
        <v>325</v>
      </c>
      <c r="H1877">
        <v>16</v>
      </c>
      <c r="I1877" t="s">
        <v>25</v>
      </c>
      <c r="J1877">
        <v>13</v>
      </c>
      <c r="K1877" t="s">
        <v>25</v>
      </c>
      <c r="L1877">
        <v>8</v>
      </c>
      <c r="M1877">
        <v>72166</v>
      </c>
      <c r="N1877">
        <v>3</v>
      </c>
    </row>
    <row r="1878" spans="1:14" x14ac:dyDescent="0.2">
      <c r="A1878" s="3">
        <f t="shared" si="31"/>
        <v>126047</v>
      </c>
      <c r="B1878" t="str">
        <f>"01260470006"</f>
        <v>01260470006</v>
      </c>
      <c r="C1878" t="s">
        <v>2235</v>
      </c>
      <c r="D1878" t="s">
        <v>32</v>
      </c>
      <c r="E1878">
        <v>31</v>
      </c>
      <c r="F1878">
        <v>723</v>
      </c>
      <c r="G1878" t="s">
        <v>1419</v>
      </c>
      <c r="H1878">
        <v>21</v>
      </c>
      <c r="I1878" t="s">
        <v>34</v>
      </c>
      <c r="J1878">
        <v>15</v>
      </c>
      <c r="K1878" t="s">
        <v>34</v>
      </c>
      <c r="L1878">
        <v>8</v>
      </c>
      <c r="M1878">
        <v>80072</v>
      </c>
      <c r="N1878">
        <v>6</v>
      </c>
    </row>
    <row r="1879" spans="1:14" x14ac:dyDescent="0.2">
      <c r="A1879" s="3">
        <f t="shared" si="31"/>
        <v>126255</v>
      </c>
      <c r="B1879" t="str">
        <f>"01262550008"</f>
        <v>01262550008</v>
      </c>
      <c r="C1879" t="s">
        <v>2236</v>
      </c>
      <c r="D1879" t="s">
        <v>52</v>
      </c>
      <c r="E1879">
        <v>31</v>
      </c>
      <c r="F1879">
        <v>2564</v>
      </c>
      <c r="G1879" t="s">
        <v>2237</v>
      </c>
      <c r="H1879">
        <v>26</v>
      </c>
      <c r="I1879" t="s">
        <v>34</v>
      </c>
      <c r="J1879">
        <v>19</v>
      </c>
      <c r="K1879" t="s">
        <v>34</v>
      </c>
      <c r="L1879">
        <v>9</v>
      </c>
      <c r="M1879">
        <v>85201</v>
      </c>
      <c r="N1879">
        <v>7</v>
      </c>
    </row>
    <row r="1880" spans="1:14" x14ac:dyDescent="0.2">
      <c r="A1880" s="3">
        <f t="shared" si="31"/>
        <v>126268</v>
      </c>
      <c r="B1880" t="str">
        <f>"01262680001"</f>
        <v>01262680001</v>
      </c>
      <c r="C1880" t="s">
        <v>2238</v>
      </c>
      <c r="D1880" t="s">
        <v>52</v>
      </c>
      <c r="E1880">
        <v>12</v>
      </c>
      <c r="F1880">
        <v>2237</v>
      </c>
      <c r="G1880" t="s">
        <v>1576</v>
      </c>
      <c r="H1880" t="s">
        <v>44</v>
      </c>
      <c r="I1880" t="s">
        <v>45</v>
      </c>
      <c r="J1880" t="s">
        <v>44</v>
      </c>
      <c r="K1880" t="s">
        <v>45</v>
      </c>
      <c r="L1880">
        <v>5</v>
      </c>
      <c r="M1880" t="s">
        <v>65</v>
      </c>
      <c r="N1880" t="s">
        <v>46</v>
      </c>
    </row>
    <row r="1881" spans="1:14" x14ac:dyDescent="0.2">
      <c r="A1881" s="3">
        <f t="shared" si="31"/>
        <v>126269</v>
      </c>
      <c r="B1881" t="str">
        <f>"01262690001"</f>
        <v>01262690001</v>
      </c>
      <c r="C1881" t="s">
        <v>2239</v>
      </c>
      <c r="D1881" t="s">
        <v>52</v>
      </c>
      <c r="E1881">
        <v>12</v>
      </c>
      <c r="F1881">
        <v>2237</v>
      </c>
      <c r="G1881" t="s">
        <v>1576</v>
      </c>
      <c r="H1881" t="s">
        <v>44</v>
      </c>
      <c r="I1881" t="s">
        <v>45</v>
      </c>
      <c r="J1881" t="s">
        <v>44</v>
      </c>
      <c r="K1881" t="s">
        <v>45</v>
      </c>
      <c r="L1881">
        <v>5</v>
      </c>
      <c r="M1881" t="s">
        <v>65</v>
      </c>
      <c r="N1881" t="s">
        <v>46</v>
      </c>
    </row>
    <row r="1882" spans="1:14" x14ac:dyDescent="0.2">
      <c r="A1882" s="3">
        <f t="shared" si="31"/>
        <v>126296</v>
      </c>
      <c r="B1882" t="str">
        <f>"01262960012"</f>
        <v>01262960012</v>
      </c>
      <c r="C1882" t="s">
        <v>2240</v>
      </c>
      <c r="D1882" t="s">
        <v>418</v>
      </c>
      <c r="E1882">
        <v>72</v>
      </c>
      <c r="F1882">
        <v>2413</v>
      </c>
      <c r="G1882" t="s">
        <v>1361</v>
      </c>
      <c r="H1882">
        <v>7</v>
      </c>
      <c r="I1882" t="s">
        <v>25</v>
      </c>
      <c r="J1882">
        <v>5</v>
      </c>
      <c r="K1882" t="s">
        <v>25</v>
      </c>
      <c r="L1882">
        <v>8</v>
      </c>
      <c r="M1882">
        <v>72182</v>
      </c>
      <c r="N1882">
        <v>2</v>
      </c>
    </row>
    <row r="1883" spans="1:14" x14ac:dyDescent="0.2">
      <c r="A1883" s="3">
        <f t="shared" si="31"/>
        <v>126348</v>
      </c>
      <c r="B1883" t="str">
        <f>"01263480006"</f>
        <v>01263480006</v>
      </c>
      <c r="C1883" t="s">
        <v>2241</v>
      </c>
      <c r="D1883" t="s">
        <v>32</v>
      </c>
      <c r="E1883">
        <v>31</v>
      </c>
      <c r="F1883">
        <v>723</v>
      </c>
      <c r="G1883" t="s">
        <v>1419</v>
      </c>
      <c r="H1883">
        <v>22</v>
      </c>
      <c r="I1883" t="s">
        <v>34</v>
      </c>
      <c r="J1883">
        <v>16</v>
      </c>
      <c r="K1883" t="s">
        <v>34</v>
      </c>
      <c r="L1883">
        <v>8</v>
      </c>
      <c r="M1883">
        <v>80094</v>
      </c>
      <c r="N1883">
        <v>6</v>
      </c>
    </row>
    <row r="1884" spans="1:14" x14ac:dyDescent="0.2">
      <c r="A1884" s="3">
        <f t="shared" si="31"/>
        <v>126581</v>
      </c>
      <c r="B1884" t="str">
        <f>"01265810012"</f>
        <v>01265810012</v>
      </c>
      <c r="C1884" t="s">
        <v>2242</v>
      </c>
      <c r="D1884" t="s">
        <v>320</v>
      </c>
      <c r="E1884">
        <v>20</v>
      </c>
      <c r="F1884">
        <v>8086</v>
      </c>
      <c r="G1884" t="s">
        <v>290</v>
      </c>
      <c r="H1884">
        <v>9</v>
      </c>
      <c r="I1884" t="s">
        <v>25</v>
      </c>
      <c r="J1884">
        <v>7</v>
      </c>
      <c r="K1884" t="s">
        <v>25</v>
      </c>
      <c r="L1884">
        <v>8</v>
      </c>
      <c r="M1884">
        <v>87073</v>
      </c>
      <c r="N1884">
        <v>2</v>
      </c>
    </row>
    <row r="1885" spans="1:14" x14ac:dyDescent="0.2">
      <c r="A1885" s="3">
        <f t="shared" si="31"/>
        <v>126581</v>
      </c>
      <c r="B1885" t="str">
        <f>"01265810012"</f>
        <v>01265810012</v>
      </c>
      <c r="C1885" t="s">
        <v>2242</v>
      </c>
      <c r="D1885" t="s">
        <v>320</v>
      </c>
      <c r="E1885">
        <v>20</v>
      </c>
      <c r="F1885">
        <v>4989</v>
      </c>
      <c r="G1885" t="s">
        <v>1650</v>
      </c>
      <c r="H1885">
        <v>9</v>
      </c>
      <c r="I1885" t="s">
        <v>25</v>
      </c>
      <c r="J1885">
        <v>7</v>
      </c>
      <c r="K1885" t="s">
        <v>25</v>
      </c>
      <c r="L1885">
        <v>8</v>
      </c>
      <c r="M1885">
        <v>87073</v>
      </c>
      <c r="N1885">
        <v>2</v>
      </c>
    </row>
    <row r="1886" spans="1:14" x14ac:dyDescent="0.2">
      <c r="A1886" s="3">
        <f t="shared" si="31"/>
        <v>126717</v>
      </c>
      <c r="B1886" t="str">
        <f>"01267170012"</f>
        <v>01267170012</v>
      </c>
      <c r="C1886" t="s">
        <v>2243</v>
      </c>
      <c r="D1886" t="s">
        <v>216</v>
      </c>
      <c r="E1886">
        <v>52</v>
      </c>
      <c r="F1886">
        <v>577</v>
      </c>
      <c r="G1886" t="s">
        <v>2244</v>
      </c>
      <c r="H1886">
        <v>6</v>
      </c>
      <c r="I1886" t="s">
        <v>25</v>
      </c>
      <c r="J1886">
        <v>4</v>
      </c>
      <c r="K1886" t="s">
        <v>25</v>
      </c>
      <c r="L1886">
        <v>8</v>
      </c>
      <c r="M1886">
        <v>72188</v>
      </c>
      <c r="N1886">
        <v>2</v>
      </c>
    </row>
    <row r="1887" spans="1:14" x14ac:dyDescent="0.2">
      <c r="A1887" s="3">
        <f t="shared" si="31"/>
        <v>126735</v>
      </c>
      <c r="B1887" t="str">
        <f>"01267350012"</f>
        <v>01267350012</v>
      </c>
      <c r="C1887" t="s">
        <v>2245</v>
      </c>
      <c r="D1887" t="s">
        <v>320</v>
      </c>
      <c r="E1887">
        <v>20</v>
      </c>
      <c r="F1887">
        <v>8086</v>
      </c>
      <c r="G1887" t="s">
        <v>290</v>
      </c>
      <c r="H1887">
        <v>12</v>
      </c>
      <c r="I1887" t="s">
        <v>25</v>
      </c>
      <c r="J1887">
        <v>9</v>
      </c>
      <c r="K1887" t="s">
        <v>25</v>
      </c>
      <c r="L1887">
        <v>8</v>
      </c>
      <c r="M1887">
        <v>88025</v>
      </c>
      <c r="N1887">
        <v>3</v>
      </c>
    </row>
    <row r="1888" spans="1:14" x14ac:dyDescent="0.2">
      <c r="A1888" s="3">
        <f t="shared" si="31"/>
        <v>126735</v>
      </c>
      <c r="B1888" t="str">
        <f>"01267350012"</f>
        <v>01267350012</v>
      </c>
      <c r="C1888" t="s">
        <v>2245</v>
      </c>
      <c r="D1888" t="s">
        <v>320</v>
      </c>
      <c r="E1888">
        <v>20</v>
      </c>
      <c r="F1888">
        <v>5930</v>
      </c>
      <c r="G1888" t="s">
        <v>747</v>
      </c>
      <c r="H1888">
        <v>12</v>
      </c>
      <c r="I1888" t="s">
        <v>25</v>
      </c>
      <c r="J1888">
        <v>9</v>
      </c>
      <c r="K1888" t="s">
        <v>25</v>
      </c>
      <c r="L1888">
        <v>8</v>
      </c>
      <c r="M1888">
        <v>88025</v>
      </c>
      <c r="N1888">
        <v>3</v>
      </c>
    </row>
    <row r="1889" spans="1:14" x14ac:dyDescent="0.2">
      <c r="A1889" s="3">
        <f t="shared" si="31"/>
        <v>126829</v>
      </c>
      <c r="B1889" t="str">
        <f>"01268290012"</f>
        <v>01268290012</v>
      </c>
      <c r="C1889" t="s">
        <v>2246</v>
      </c>
      <c r="D1889" t="s">
        <v>543</v>
      </c>
      <c r="E1889">
        <v>82</v>
      </c>
      <c r="F1889">
        <v>4320</v>
      </c>
      <c r="G1889" t="s">
        <v>1059</v>
      </c>
      <c r="H1889" t="s">
        <v>44</v>
      </c>
      <c r="I1889" t="s">
        <v>45</v>
      </c>
      <c r="J1889" t="s">
        <v>44</v>
      </c>
      <c r="K1889" t="s">
        <v>45</v>
      </c>
      <c r="L1889">
        <v>8</v>
      </c>
      <c r="M1889">
        <v>70241</v>
      </c>
      <c r="N1889" t="s">
        <v>46</v>
      </c>
    </row>
    <row r="1890" spans="1:14" x14ac:dyDescent="0.2">
      <c r="A1890" s="3">
        <f t="shared" si="31"/>
        <v>126946</v>
      </c>
      <c r="B1890" t="str">
        <f>"01269460001"</f>
        <v>01269460001</v>
      </c>
      <c r="C1890" t="s">
        <v>2247</v>
      </c>
      <c r="D1890" t="s">
        <v>337</v>
      </c>
      <c r="E1890">
        <v>92</v>
      </c>
      <c r="F1890">
        <v>1669</v>
      </c>
      <c r="G1890" t="s">
        <v>1986</v>
      </c>
      <c r="H1890">
        <v>5</v>
      </c>
      <c r="I1890" t="s">
        <v>34</v>
      </c>
      <c r="J1890">
        <v>3</v>
      </c>
      <c r="K1890" t="s">
        <v>34</v>
      </c>
      <c r="L1890">
        <v>8</v>
      </c>
      <c r="M1890">
        <v>91100</v>
      </c>
      <c r="N1890">
        <v>2</v>
      </c>
    </row>
    <row r="1891" spans="1:14" x14ac:dyDescent="0.2">
      <c r="A1891" s="3">
        <f t="shared" si="31"/>
        <v>127180</v>
      </c>
      <c r="B1891" t="str">
        <f>"01271800004"</f>
        <v>01271800004</v>
      </c>
      <c r="C1891" t="s">
        <v>2248</v>
      </c>
      <c r="D1891" t="s">
        <v>67</v>
      </c>
      <c r="E1891">
        <v>31</v>
      </c>
      <c r="F1891">
        <v>4937</v>
      </c>
      <c r="G1891" t="s">
        <v>68</v>
      </c>
      <c r="H1891">
        <v>18</v>
      </c>
      <c r="I1891" t="s">
        <v>34</v>
      </c>
      <c r="J1891">
        <v>13</v>
      </c>
      <c r="K1891" t="s">
        <v>34</v>
      </c>
      <c r="L1891">
        <v>8</v>
      </c>
      <c r="M1891">
        <v>81014</v>
      </c>
      <c r="N1891">
        <v>5</v>
      </c>
    </row>
    <row r="1892" spans="1:14" x14ac:dyDescent="0.2">
      <c r="A1892" s="3">
        <f t="shared" si="31"/>
        <v>127242</v>
      </c>
      <c r="B1892" t="str">
        <f>"01272420012"</f>
        <v>01272420012</v>
      </c>
      <c r="C1892" t="s">
        <v>2249</v>
      </c>
      <c r="D1892" t="s">
        <v>543</v>
      </c>
      <c r="E1892">
        <v>46</v>
      </c>
      <c r="F1892">
        <v>1517</v>
      </c>
      <c r="G1892" t="s">
        <v>654</v>
      </c>
      <c r="H1892">
        <v>24</v>
      </c>
      <c r="I1892" t="s">
        <v>25</v>
      </c>
      <c r="J1892">
        <v>20</v>
      </c>
      <c r="K1892" t="s">
        <v>25</v>
      </c>
      <c r="L1892">
        <v>8</v>
      </c>
      <c r="M1892">
        <v>73239</v>
      </c>
      <c r="N1892">
        <v>4</v>
      </c>
    </row>
    <row r="1893" spans="1:14" x14ac:dyDescent="0.2">
      <c r="A1893" s="3">
        <f t="shared" si="31"/>
        <v>127323</v>
      </c>
      <c r="B1893" t="str">
        <f>"01273230006"</f>
        <v>01273230006</v>
      </c>
      <c r="C1893" t="s">
        <v>2250</v>
      </c>
      <c r="D1893" t="s">
        <v>32</v>
      </c>
      <c r="E1893">
        <v>31</v>
      </c>
      <c r="F1893">
        <v>4248</v>
      </c>
      <c r="G1893" t="s">
        <v>96</v>
      </c>
      <c r="H1893">
        <v>19</v>
      </c>
      <c r="I1893" t="s">
        <v>34</v>
      </c>
      <c r="J1893">
        <v>14</v>
      </c>
      <c r="K1893" t="s">
        <v>34</v>
      </c>
      <c r="L1893">
        <v>8</v>
      </c>
      <c r="M1893">
        <v>80245</v>
      </c>
      <c r="N1893">
        <v>5</v>
      </c>
    </row>
    <row r="1894" spans="1:14" x14ac:dyDescent="0.2">
      <c r="A1894" s="3">
        <f t="shared" si="31"/>
        <v>127358</v>
      </c>
      <c r="B1894" t="str">
        <f>"01273580012"</f>
        <v>01273580012</v>
      </c>
      <c r="C1894" t="s">
        <v>2251</v>
      </c>
      <c r="D1894" t="s">
        <v>431</v>
      </c>
      <c r="E1894">
        <v>41</v>
      </c>
      <c r="F1894">
        <v>2480</v>
      </c>
      <c r="G1894" t="s">
        <v>2252</v>
      </c>
      <c r="H1894">
        <v>6</v>
      </c>
      <c r="I1894" t="s">
        <v>25</v>
      </c>
      <c r="J1894">
        <v>4</v>
      </c>
      <c r="K1894" t="s">
        <v>25</v>
      </c>
      <c r="L1894">
        <v>8</v>
      </c>
      <c r="M1894">
        <v>72201</v>
      </c>
      <c r="N1894">
        <v>2</v>
      </c>
    </row>
    <row r="1895" spans="1:14" x14ac:dyDescent="0.2">
      <c r="A1895" s="3">
        <f t="shared" si="31"/>
        <v>127360</v>
      </c>
      <c r="B1895" t="str">
        <f>"01273600001"</f>
        <v>01273600001</v>
      </c>
      <c r="C1895" t="s">
        <v>2253</v>
      </c>
      <c r="D1895" t="s">
        <v>23</v>
      </c>
      <c r="E1895">
        <v>84</v>
      </c>
      <c r="F1895">
        <v>5306</v>
      </c>
      <c r="G1895" t="s">
        <v>1109</v>
      </c>
      <c r="H1895" t="s">
        <v>44</v>
      </c>
      <c r="I1895" t="s">
        <v>45</v>
      </c>
      <c r="J1895" t="s">
        <v>44</v>
      </c>
      <c r="K1895" t="s">
        <v>45</v>
      </c>
      <c r="L1895">
        <v>8</v>
      </c>
      <c r="M1895">
        <v>95105</v>
      </c>
      <c r="N1895" t="s">
        <v>46</v>
      </c>
    </row>
    <row r="1896" spans="1:14" x14ac:dyDescent="0.2">
      <c r="A1896" s="3">
        <f t="shared" si="31"/>
        <v>127393</v>
      </c>
      <c r="B1896" t="str">
        <f>"01273930024"</f>
        <v>01273930024</v>
      </c>
      <c r="C1896" t="s">
        <v>2254</v>
      </c>
      <c r="D1896" t="s">
        <v>23</v>
      </c>
      <c r="E1896">
        <v>47</v>
      </c>
      <c r="F1896">
        <v>4616</v>
      </c>
      <c r="G1896" t="s">
        <v>449</v>
      </c>
      <c r="H1896">
        <v>20</v>
      </c>
      <c r="I1896" t="s">
        <v>25</v>
      </c>
      <c r="J1896">
        <v>16</v>
      </c>
      <c r="K1896" t="s">
        <v>25</v>
      </c>
      <c r="L1896">
        <v>8</v>
      </c>
      <c r="M1896">
        <v>72170</v>
      </c>
      <c r="N1896">
        <v>4</v>
      </c>
    </row>
    <row r="1897" spans="1:14" x14ac:dyDescent="0.2">
      <c r="A1897" s="3">
        <f t="shared" si="31"/>
        <v>127599</v>
      </c>
      <c r="B1897" t="str">
        <f>"01275990012"</f>
        <v>01275990012</v>
      </c>
      <c r="C1897" t="s">
        <v>2255</v>
      </c>
      <c r="D1897" t="s">
        <v>1124</v>
      </c>
      <c r="E1897">
        <v>20</v>
      </c>
      <c r="F1897">
        <v>8086</v>
      </c>
      <c r="G1897" t="s">
        <v>290</v>
      </c>
      <c r="H1897">
        <v>12</v>
      </c>
      <c r="I1897" t="s">
        <v>25</v>
      </c>
      <c r="J1897">
        <v>9</v>
      </c>
      <c r="K1897" t="s">
        <v>25</v>
      </c>
      <c r="L1897">
        <v>6</v>
      </c>
      <c r="M1897">
        <v>99160</v>
      </c>
      <c r="N1897">
        <v>3</v>
      </c>
    </row>
    <row r="1898" spans="1:14" x14ac:dyDescent="0.2">
      <c r="A1898" s="3">
        <f t="shared" si="31"/>
        <v>127608</v>
      </c>
      <c r="B1898" t="str">
        <f>"01276080030"</f>
        <v>01276080030</v>
      </c>
      <c r="C1898" t="s">
        <v>2256</v>
      </c>
      <c r="D1898" t="s">
        <v>216</v>
      </c>
      <c r="E1898">
        <v>71</v>
      </c>
      <c r="F1898">
        <v>2339</v>
      </c>
      <c r="G1898" t="s">
        <v>2257</v>
      </c>
      <c r="H1898">
        <v>120</v>
      </c>
      <c r="I1898" t="s">
        <v>34</v>
      </c>
      <c r="J1898">
        <v>88</v>
      </c>
      <c r="K1898" t="s">
        <v>34</v>
      </c>
      <c r="L1898">
        <v>8</v>
      </c>
      <c r="M1898">
        <v>76026</v>
      </c>
      <c r="N1898">
        <v>32</v>
      </c>
    </row>
    <row r="1899" spans="1:14" x14ac:dyDescent="0.2">
      <c r="A1899" s="3">
        <f t="shared" si="31"/>
        <v>127613</v>
      </c>
      <c r="B1899" t="str">
        <f>"01276130015"</f>
        <v>01276130015</v>
      </c>
      <c r="C1899" t="s">
        <v>2258</v>
      </c>
      <c r="D1899" t="s">
        <v>70</v>
      </c>
      <c r="E1899">
        <v>32</v>
      </c>
      <c r="F1899">
        <v>282</v>
      </c>
      <c r="G1899" t="s">
        <v>2259</v>
      </c>
      <c r="H1899">
        <v>56</v>
      </c>
      <c r="I1899" t="s">
        <v>34</v>
      </c>
      <c r="J1899">
        <v>41</v>
      </c>
      <c r="K1899" t="s">
        <v>34</v>
      </c>
      <c r="L1899">
        <v>9</v>
      </c>
      <c r="M1899">
        <v>81148</v>
      </c>
      <c r="N1899">
        <v>15</v>
      </c>
    </row>
    <row r="1900" spans="1:14" x14ac:dyDescent="0.2">
      <c r="A1900" s="3">
        <f t="shared" si="31"/>
        <v>127619</v>
      </c>
      <c r="B1900" t="str">
        <f>"01276190018"</f>
        <v>01276190018</v>
      </c>
      <c r="C1900" t="s">
        <v>2260</v>
      </c>
      <c r="D1900" t="s">
        <v>418</v>
      </c>
      <c r="E1900">
        <v>83</v>
      </c>
      <c r="F1900">
        <v>1899</v>
      </c>
      <c r="G1900" t="s">
        <v>2261</v>
      </c>
      <c r="H1900">
        <v>30</v>
      </c>
      <c r="I1900" t="s">
        <v>25</v>
      </c>
      <c r="J1900">
        <v>24</v>
      </c>
      <c r="K1900" t="s">
        <v>25</v>
      </c>
      <c r="L1900">
        <v>8</v>
      </c>
      <c r="M1900">
        <v>69030</v>
      </c>
      <c r="N1900">
        <v>6</v>
      </c>
    </row>
    <row r="1901" spans="1:14" x14ac:dyDescent="0.2">
      <c r="A1901" s="3">
        <f t="shared" si="31"/>
        <v>127644</v>
      </c>
      <c r="B1901" t="str">
        <f>"01276440025"</f>
        <v>01276440025</v>
      </c>
      <c r="C1901" t="s">
        <v>2262</v>
      </c>
      <c r="D1901" t="s">
        <v>289</v>
      </c>
      <c r="E1901">
        <v>74</v>
      </c>
      <c r="F1901">
        <v>8086</v>
      </c>
      <c r="G1901" t="s">
        <v>290</v>
      </c>
      <c r="H1901">
        <v>9</v>
      </c>
      <c r="I1901" t="s">
        <v>25</v>
      </c>
      <c r="J1901">
        <v>7</v>
      </c>
      <c r="K1901" t="s">
        <v>25</v>
      </c>
      <c r="L1901">
        <v>8</v>
      </c>
      <c r="M1901">
        <v>86005</v>
      </c>
      <c r="N1901">
        <v>1</v>
      </c>
    </row>
    <row r="1902" spans="1:14" x14ac:dyDescent="0.2">
      <c r="A1902" s="3">
        <f t="shared" si="31"/>
        <v>127644</v>
      </c>
      <c r="B1902" t="str">
        <f>"01276440025"</f>
        <v>01276440025</v>
      </c>
      <c r="C1902" t="s">
        <v>2262</v>
      </c>
      <c r="D1902" t="s">
        <v>289</v>
      </c>
      <c r="E1902">
        <v>74</v>
      </c>
      <c r="F1902">
        <v>2477</v>
      </c>
      <c r="G1902" t="s">
        <v>1426</v>
      </c>
      <c r="H1902">
        <v>9</v>
      </c>
      <c r="I1902" t="s">
        <v>25</v>
      </c>
      <c r="J1902">
        <v>7</v>
      </c>
      <c r="K1902" t="s">
        <v>25</v>
      </c>
      <c r="L1902">
        <v>8</v>
      </c>
      <c r="M1902">
        <v>86005</v>
      </c>
      <c r="N1902">
        <v>1</v>
      </c>
    </row>
    <row r="1903" spans="1:14" x14ac:dyDescent="0.2">
      <c r="A1903" s="3">
        <f t="shared" si="31"/>
        <v>127670</v>
      </c>
      <c r="B1903" t="str">
        <f>"01276700012"</f>
        <v>01276700012</v>
      </c>
      <c r="C1903" t="s">
        <v>2263</v>
      </c>
      <c r="D1903" t="s">
        <v>36</v>
      </c>
      <c r="E1903">
        <v>47</v>
      </c>
      <c r="F1903">
        <v>1909</v>
      </c>
      <c r="G1903" t="s">
        <v>2007</v>
      </c>
      <c r="H1903">
        <v>16</v>
      </c>
      <c r="I1903" t="s">
        <v>25</v>
      </c>
      <c r="J1903">
        <v>13</v>
      </c>
      <c r="K1903" t="s">
        <v>25</v>
      </c>
      <c r="L1903">
        <v>8</v>
      </c>
      <c r="M1903">
        <v>67027</v>
      </c>
      <c r="N1903">
        <v>3</v>
      </c>
    </row>
    <row r="1904" spans="1:14" x14ac:dyDescent="0.2">
      <c r="A1904" s="3">
        <f t="shared" si="31"/>
        <v>127674</v>
      </c>
      <c r="B1904" t="str">
        <f>"01276740024"</f>
        <v>01276740024</v>
      </c>
      <c r="C1904" t="s">
        <v>2264</v>
      </c>
      <c r="D1904" t="s">
        <v>289</v>
      </c>
      <c r="E1904">
        <v>20</v>
      </c>
      <c r="F1904">
        <v>8086</v>
      </c>
      <c r="G1904" t="s">
        <v>290</v>
      </c>
      <c r="H1904">
        <v>12</v>
      </c>
      <c r="I1904" t="s">
        <v>25</v>
      </c>
      <c r="J1904">
        <v>9</v>
      </c>
      <c r="K1904" t="s">
        <v>25</v>
      </c>
      <c r="L1904">
        <v>8</v>
      </c>
      <c r="M1904">
        <v>88011</v>
      </c>
      <c r="N1904">
        <v>3</v>
      </c>
    </row>
    <row r="1905" spans="1:14" x14ac:dyDescent="0.2">
      <c r="A1905" s="3">
        <f t="shared" si="31"/>
        <v>127674</v>
      </c>
      <c r="B1905" t="str">
        <f>"01276740024"</f>
        <v>01276740024</v>
      </c>
      <c r="C1905" t="s">
        <v>2264</v>
      </c>
      <c r="D1905" t="s">
        <v>289</v>
      </c>
      <c r="E1905">
        <v>20</v>
      </c>
      <c r="F1905">
        <v>2811</v>
      </c>
      <c r="G1905" t="s">
        <v>316</v>
      </c>
      <c r="H1905">
        <v>12</v>
      </c>
      <c r="I1905" t="s">
        <v>25</v>
      </c>
      <c r="J1905">
        <v>9</v>
      </c>
      <c r="K1905" t="s">
        <v>25</v>
      </c>
      <c r="L1905">
        <v>8</v>
      </c>
      <c r="M1905">
        <v>88011</v>
      </c>
      <c r="N1905">
        <v>3</v>
      </c>
    </row>
    <row r="1906" spans="1:14" x14ac:dyDescent="0.2">
      <c r="A1906" s="3">
        <f t="shared" si="31"/>
        <v>127746</v>
      </c>
      <c r="B1906" t="str">
        <f>"01277460006"</f>
        <v>01277460006</v>
      </c>
      <c r="C1906" t="s">
        <v>2265</v>
      </c>
      <c r="D1906" t="s">
        <v>52</v>
      </c>
      <c r="E1906">
        <v>31</v>
      </c>
      <c r="F1906">
        <v>4937</v>
      </c>
      <c r="G1906" t="s">
        <v>68</v>
      </c>
      <c r="H1906">
        <v>20</v>
      </c>
      <c r="I1906" t="s">
        <v>34</v>
      </c>
      <c r="J1906">
        <v>14</v>
      </c>
      <c r="K1906" t="s">
        <v>34</v>
      </c>
      <c r="L1906">
        <v>6</v>
      </c>
      <c r="M1906">
        <v>2501</v>
      </c>
      <c r="N1906">
        <v>6</v>
      </c>
    </row>
    <row r="1907" spans="1:14" x14ac:dyDescent="0.2">
      <c r="A1907" s="3">
        <f t="shared" si="31"/>
        <v>127747</v>
      </c>
      <c r="B1907" t="str">
        <f>"01277470008"</f>
        <v>01277470008</v>
      </c>
      <c r="C1907" t="s">
        <v>2266</v>
      </c>
      <c r="D1907" t="s">
        <v>67</v>
      </c>
      <c r="E1907">
        <v>31</v>
      </c>
      <c r="F1907">
        <v>4937</v>
      </c>
      <c r="G1907" t="s">
        <v>68</v>
      </c>
      <c r="H1907">
        <v>20</v>
      </c>
      <c r="I1907" t="s">
        <v>34</v>
      </c>
      <c r="J1907">
        <v>14</v>
      </c>
      <c r="K1907" t="s">
        <v>34</v>
      </c>
      <c r="L1907">
        <v>8</v>
      </c>
      <c r="M1907">
        <v>84155</v>
      </c>
      <c r="N1907">
        <v>6</v>
      </c>
    </row>
    <row r="1908" spans="1:14" x14ac:dyDescent="0.2">
      <c r="A1908" s="3">
        <f t="shared" si="31"/>
        <v>127748</v>
      </c>
      <c r="B1908" t="str">
        <f>"01277480012"</f>
        <v>01277480012</v>
      </c>
      <c r="C1908" t="s">
        <v>2267</v>
      </c>
      <c r="D1908" t="s">
        <v>67</v>
      </c>
      <c r="E1908">
        <v>31</v>
      </c>
      <c r="F1908">
        <v>4937</v>
      </c>
      <c r="G1908" t="s">
        <v>68</v>
      </c>
      <c r="H1908">
        <v>20</v>
      </c>
      <c r="I1908" t="s">
        <v>34</v>
      </c>
      <c r="J1908">
        <v>14</v>
      </c>
      <c r="K1908" t="s">
        <v>34</v>
      </c>
      <c r="L1908">
        <v>8</v>
      </c>
      <c r="M1908">
        <v>84120</v>
      </c>
      <c r="N1908">
        <v>6</v>
      </c>
    </row>
    <row r="1909" spans="1:14" x14ac:dyDescent="0.2">
      <c r="A1909" s="3">
        <f t="shared" si="31"/>
        <v>127749</v>
      </c>
      <c r="B1909" t="str">
        <f>"01277490006"</f>
        <v>01277490006</v>
      </c>
      <c r="C1909" t="s">
        <v>2268</v>
      </c>
      <c r="D1909" t="s">
        <v>67</v>
      </c>
      <c r="E1909">
        <v>31</v>
      </c>
      <c r="F1909">
        <v>4937</v>
      </c>
      <c r="G1909" t="s">
        <v>68</v>
      </c>
      <c r="H1909">
        <v>18</v>
      </c>
      <c r="I1909" t="s">
        <v>34</v>
      </c>
      <c r="J1909">
        <v>13</v>
      </c>
      <c r="K1909" t="s">
        <v>34</v>
      </c>
      <c r="L1909">
        <v>5</v>
      </c>
      <c r="M1909" t="s">
        <v>65</v>
      </c>
      <c r="N1909">
        <v>5</v>
      </c>
    </row>
    <row r="1910" spans="1:14" x14ac:dyDescent="0.2">
      <c r="A1910" s="3">
        <f t="shared" si="31"/>
        <v>127749</v>
      </c>
      <c r="B1910" t="str">
        <f>"01277490012"</f>
        <v>01277490012</v>
      </c>
      <c r="C1910" t="s">
        <v>2268</v>
      </c>
      <c r="D1910" t="s">
        <v>67</v>
      </c>
      <c r="E1910">
        <v>31</v>
      </c>
      <c r="F1910">
        <v>4937</v>
      </c>
      <c r="G1910" t="s">
        <v>68</v>
      </c>
      <c r="H1910">
        <v>18</v>
      </c>
      <c r="I1910" t="s">
        <v>34</v>
      </c>
      <c r="J1910">
        <v>13</v>
      </c>
      <c r="K1910" t="s">
        <v>34</v>
      </c>
      <c r="L1910">
        <v>9</v>
      </c>
      <c r="M1910">
        <v>84115</v>
      </c>
      <c r="N1910">
        <v>5</v>
      </c>
    </row>
    <row r="1911" spans="1:14" x14ac:dyDescent="0.2">
      <c r="A1911" s="3">
        <f t="shared" si="31"/>
        <v>127861</v>
      </c>
      <c r="B1911" t="str">
        <f>"01278610008"</f>
        <v>01278610008</v>
      </c>
      <c r="C1911" t="s">
        <v>2269</v>
      </c>
      <c r="D1911" t="s">
        <v>418</v>
      </c>
      <c r="E1911">
        <v>47</v>
      </c>
      <c r="F1911">
        <v>591</v>
      </c>
      <c r="G1911" t="s">
        <v>460</v>
      </c>
      <c r="H1911">
        <v>18</v>
      </c>
      <c r="I1911" t="s">
        <v>25</v>
      </c>
      <c r="J1911">
        <v>14</v>
      </c>
      <c r="K1911" t="s">
        <v>25</v>
      </c>
      <c r="L1911">
        <v>8</v>
      </c>
      <c r="M1911">
        <v>67036</v>
      </c>
      <c r="N1911">
        <v>4</v>
      </c>
    </row>
    <row r="1912" spans="1:14" x14ac:dyDescent="0.2">
      <c r="A1912" s="3">
        <f t="shared" si="31"/>
        <v>127901</v>
      </c>
      <c r="B1912" t="str">
        <f>"01279010012"</f>
        <v>01279010012</v>
      </c>
      <c r="C1912" t="s">
        <v>2270</v>
      </c>
      <c r="D1912" t="s">
        <v>421</v>
      </c>
      <c r="E1912">
        <v>49</v>
      </c>
      <c r="F1912">
        <v>1205</v>
      </c>
      <c r="G1912" t="s">
        <v>325</v>
      </c>
      <c r="H1912">
        <v>10</v>
      </c>
      <c r="I1912" t="s">
        <v>25</v>
      </c>
      <c r="J1912">
        <v>7</v>
      </c>
      <c r="K1912" t="s">
        <v>25</v>
      </c>
      <c r="L1912">
        <v>8</v>
      </c>
      <c r="M1912">
        <v>67119</v>
      </c>
      <c r="N1912">
        <v>3</v>
      </c>
    </row>
    <row r="1913" spans="1:14" x14ac:dyDescent="0.2">
      <c r="A1913" s="3">
        <f t="shared" si="31"/>
        <v>128019</v>
      </c>
      <c r="B1913" t="str">
        <f>"01280190001"</f>
        <v>01280190001</v>
      </c>
      <c r="C1913" t="s">
        <v>2271</v>
      </c>
      <c r="D1913" t="s">
        <v>52</v>
      </c>
      <c r="E1913">
        <v>12</v>
      </c>
      <c r="F1913">
        <v>3694</v>
      </c>
      <c r="G1913" t="s">
        <v>1614</v>
      </c>
      <c r="H1913" t="s">
        <v>44</v>
      </c>
      <c r="I1913" t="s">
        <v>45</v>
      </c>
      <c r="J1913" t="s">
        <v>44</v>
      </c>
      <c r="K1913" t="s">
        <v>45</v>
      </c>
      <c r="L1913">
        <v>5</v>
      </c>
      <c r="M1913" t="s">
        <v>65</v>
      </c>
      <c r="N1913" t="s">
        <v>46</v>
      </c>
    </row>
    <row r="1914" spans="1:14" x14ac:dyDescent="0.2">
      <c r="A1914" s="3">
        <f t="shared" si="31"/>
        <v>128019</v>
      </c>
      <c r="B1914" t="str">
        <f>"01280190016"</f>
        <v>01280190016</v>
      </c>
      <c r="C1914" t="s">
        <v>2271</v>
      </c>
      <c r="D1914" t="s">
        <v>52</v>
      </c>
      <c r="E1914">
        <v>12</v>
      </c>
      <c r="F1914">
        <v>3694</v>
      </c>
      <c r="G1914" t="s">
        <v>1614</v>
      </c>
      <c r="H1914" t="s">
        <v>44</v>
      </c>
      <c r="I1914" t="s">
        <v>45</v>
      </c>
      <c r="J1914" t="s">
        <v>44</v>
      </c>
      <c r="K1914" t="s">
        <v>45</v>
      </c>
      <c r="L1914">
        <v>6</v>
      </c>
      <c r="M1914">
        <v>92969</v>
      </c>
      <c r="N1914" t="s">
        <v>46</v>
      </c>
    </row>
    <row r="1915" spans="1:14" x14ac:dyDescent="0.2">
      <c r="A1915" s="3">
        <f t="shared" si="31"/>
        <v>128127</v>
      </c>
      <c r="B1915" t="str">
        <f>"01281270012"</f>
        <v>01281270012</v>
      </c>
      <c r="C1915" t="s">
        <v>2272</v>
      </c>
      <c r="D1915" t="s">
        <v>622</v>
      </c>
      <c r="E1915">
        <v>48</v>
      </c>
      <c r="F1915">
        <v>724</v>
      </c>
      <c r="G1915" t="s">
        <v>675</v>
      </c>
      <c r="H1915">
        <v>9</v>
      </c>
      <c r="I1915" t="s">
        <v>25</v>
      </c>
      <c r="J1915">
        <v>7</v>
      </c>
      <c r="K1915" t="s">
        <v>25</v>
      </c>
      <c r="L1915">
        <v>8</v>
      </c>
      <c r="M1915">
        <v>72193</v>
      </c>
      <c r="N1915">
        <v>2</v>
      </c>
    </row>
    <row r="1916" spans="1:14" x14ac:dyDescent="0.2">
      <c r="A1916" s="3">
        <f t="shared" si="31"/>
        <v>128255</v>
      </c>
      <c r="B1916" t="str">
        <f>"01282550020"</f>
        <v>01282550020</v>
      </c>
      <c r="C1916" t="s">
        <v>2273</v>
      </c>
      <c r="D1916" t="s">
        <v>604</v>
      </c>
      <c r="E1916">
        <v>82</v>
      </c>
      <c r="F1916">
        <v>907</v>
      </c>
      <c r="G1916" t="s">
        <v>1076</v>
      </c>
      <c r="H1916" t="s">
        <v>44</v>
      </c>
      <c r="I1916" t="s">
        <v>45</v>
      </c>
      <c r="J1916" t="s">
        <v>44</v>
      </c>
      <c r="K1916" t="s">
        <v>45</v>
      </c>
      <c r="L1916">
        <v>8</v>
      </c>
      <c r="M1916">
        <v>70128</v>
      </c>
      <c r="N1916" t="s">
        <v>46</v>
      </c>
    </row>
    <row r="1917" spans="1:14" x14ac:dyDescent="0.2">
      <c r="A1917" s="3">
        <f t="shared" si="31"/>
        <v>128286</v>
      </c>
      <c r="B1917" t="str">
        <f>"01282860024"</f>
        <v>01282860024</v>
      </c>
      <c r="C1917" t="s">
        <v>2274</v>
      </c>
      <c r="D1917" t="s">
        <v>622</v>
      </c>
      <c r="E1917">
        <v>82</v>
      </c>
      <c r="F1917">
        <v>1224</v>
      </c>
      <c r="G1917" t="s">
        <v>1014</v>
      </c>
      <c r="H1917" t="s">
        <v>44</v>
      </c>
      <c r="I1917" t="s">
        <v>45</v>
      </c>
      <c r="J1917" t="s">
        <v>44</v>
      </c>
      <c r="K1917" t="s">
        <v>45</v>
      </c>
      <c r="L1917">
        <v>8</v>
      </c>
      <c r="M1917">
        <v>70192</v>
      </c>
      <c r="N1917" t="s">
        <v>46</v>
      </c>
    </row>
    <row r="1918" spans="1:14" x14ac:dyDescent="0.2">
      <c r="A1918" s="3">
        <f t="shared" si="31"/>
        <v>128288</v>
      </c>
      <c r="B1918" t="str">
        <f>"01282880012"</f>
        <v>01282880012</v>
      </c>
      <c r="C1918" t="s">
        <v>2275</v>
      </c>
      <c r="D1918" t="s">
        <v>622</v>
      </c>
      <c r="E1918">
        <v>82</v>
      </c>
      <c r="F1918">
        <v>1224</v>
      </c>
      <c r="G1918" t="s">
        <v>1014</v>
      </c>
      <c r="H1918" t="s">
        <v>44</v>
      </c>
      <c r="I1918" t="s">
        <v>45</v>
      </c>
      <c r="J1918" t="s">
        <v>44</v>
      </c>
      <c r="K1918" t="s">
        <v>45</v>
      </c>
      <c r="L1918">
        <v>6</v>
      </c>
      <c r="M1918">
        <v>70236</v>
      </c>
      <c r="N1918" t="s">
        <v>46</v>
      </c>
    </row>
    <row r="1919" spans="1:14" x14ac:dyDescent="0.2">
      <c r="A1919" s="3">
        <f t="shared" si="31"/>
        <v>128289</v>
      </c>
      <c r="B1919" t="str">
        <f>"01282890012"</f>
        <v>01282890012</v>
      </c>
      <c r="C1919" t="s">
        <v>2276</v>
      </c>
      <c r="D1919" t="s">
        <v>622</v>
      </c>
      <c r="E1919">
        <v>82</v>
      </c>
      <c r="F1919">
        <v>1224</v>
      </c>
      <c r="G1919" t="s">
        <v>1014</v>
      </c>
      <c r="H1919" t="s">
        <v>44</v>
      </c>
      <c r="I1919" t="s">
        <v>45</v>
      </c>
      <c r="J1919" t="s">
        <v>44</v>
      </c>
      <c r="K1919" t="s">
        <v>45</v>
      </c>
      <c r="L1919">
        <v>8</v>
      </c>
      <c r="M1919">
        <v>70144</v>
      </c>
      <c r="N1919" t="s">
        <v>46</v>
      </c>
    </row>
    <row r="1920" spans="1:14" x14ac:dyDescent="0.2">
      <c r="A1920" s="3">
        <f t="shared" si="31"/>
        <v>128291</v>
      </c>
      <c r="B1920" t="str">
        <f>"01282910012"</f>
        <v>01282910012</v>
      </c>
      <c r="C1920" t="s">
        <v>2277</v>
      </c>
      <c r="D1920" t="s">
        <v>622</v>
      </c>
      <c r="E1920">
        <v>82</v>
      </c>
      <c r="F1920">
        <v>1224</v>
      </c>
      <c r="G1920" t="s">
        <v>1014</v>
      </c>
      <c r="H1920" t="s">
        <v>44</v>
      </c>
      <c r="I1920" t="s">
        <v>45</v>
      </c>
      <c r="J1920" t="s">
        <v>44</v>
      </c>
      <c r="K1920" t="s">
        <v>45</v>
      </c>
      <c r="L1920">
        <v>8</v>
      </c>
      <c r="M1920">
        <v>70162</v>
      </c>
      <c r="N1920" t="s">
        <v>46</v>
      </c>
    </row>
    <row r="1921" spans="1:14" x14ac:dyDescent="0.2">
      <c r="A1921" s="3">
        <f t="shared" si="31"/>
        <v>128293</v>
      </c>
      <c r="B1921" t="str">
        <f>"01282930012"</f>
        <v>01282930012</v>
      </c>
      <c r="C1921" t="s">
        <v>2278</v>
      </c>
      <c r="D1921" t="s">
        <v>622</v>
      </c>
      <c r="E1921">
        <v>82</v>
      </c>
      <c r="F1921">
        <v>1224</v>
      </c>
      <c r="G1921" t="s">
        <v>1014</v>
      </c>
      <c r="H1921" t="s">
        <v>44</v>
      </c>
      <c r="I1921" t="s">
        <v>45</v>
      </c>
      <c r="J1921" t="s">
        <v>44</v>
      </c>
      <c r="K1921" t="s">
        <v>45</v>
      </c>
      <c r="L1921">
        <v>8</v>
      </c>
      <c r="M1921">
        <v>70197</v>
      </c>
      <c r="N1921" t="s">
        <v>46</v>
      </c>
    </row>
    <row r="1922" spans="1:14" x14ac:dyDescent="0.2">
      <c r="A1922" s="3">
        <f t="shared" si="31"/>
        <v>128523</v>
      </c>
      <c r="B1922" t="str">
        <f>"01285230016"</f>
        <v>01285230016</v>
      </c>
      <c r="C1922" t="s">
        <v>2279</v>
      </c>
      <c r="D1922" t="s">
        <v>52</v>
      </c>
      <c r="E1922">
        <v>72</v>
      </c>
      <c r="F1922">
        <v>2301</v>
      </c>
      <c r="G1922" t="s">
        <v>2280</v>
      </c>
      <c r="H1922">
        <v>120</v>
      </c>
      <c r="I1922" t="s">
        <v>34</v>
      </c>
      <c r="J1922">
        <v>88</v>
      </c>
      <c r="K1922" t="s">
        <v>34</v>
      </c>
      <c r="L1922">
        <v>5</v>
      </c>
      <c r="M1922" t="s">
        <v>65</v>
      </c>
      <c r="N1922">
        <v>32</v>
      </c>
    </row>
    <row r="1923" spans="1:14" x14ac:dyDescent="0.2">
      <c r="A1923" s="3">
        <f t="shared" si="31"/>
        <v>128604</v>
      </c>
      <c r="B1923" t="str">
        <f>"01286040012"</f>
        <v>01286040012</v>
      </c>
      <c r="C1923" t="s">
        <v>2281</v>
      </c>
      <c r="D1923" t="s">
        <v>289</v>
      </c>
      <c r="E1923">
        <v>20</v>
      </c>
      <c r="F1923">
        <v>8086</v>
      </c>
      <c r="G1923" t="s">
        <v>290</v>
      </c>
      <c r="H1923">
        <v>12</v>
      </c>
      <c r="I1923" t="s">
        <v>25</v>
      </c>
      <c r="J1923">
        <v>9</v>
      </c>
      <c r="K1923" t="s">
        <v>25</v>
      </c>
      <c r="L1923">
        <v>6</v>
      </c>
      <c r="M1923">
        <v>99729</v>
      </c>
      <c r="N1923">
        <v>3</v>
      </c>
    </row>
    <row r="1924" spans="1:14" x14ac:dyDescent="0.2">
      <c r="A1924" s="3">
        <f t="shared" ref="A1924:A1987" si="32">(B1924-RIGHT(B1924,4))/10000</f>
        <v>128604</v>
      </c>
      <c r="B1924" t="str">
        <f>"01286040012"</f>
        <v>01286040012</v>
      </c>
      <c r="C1924" t="s">
        <v>2281</v>
      </c>
      <c r="D1924" t="s">
        <v>289</v>
      </c>
      <c r="E1924">
        <v>20</v>
      </c>
      <c r="F1924">
        <v>8130</v>
      </c>
      <c r="G1924" t="s">
        <v>318</v>
      </c>
      <c r="H1924">
        <v>12</v>
      </c>
      <c r="I1924" t="s">
        <v>25</v>
      </c>
      <c r="J1924">
        <v>9</v>
      </c>
      <c r="K1924" t="s">
        <v>25</v>
      </c>
      <c r="L1924">
        <v>6</v>
      </c>
      <c r="M1924">
        <v>99729</v>
      </c>
      <c r="N1924">
        <v>3</v>
      </c>
    </row>
    <row r="1925" spans="1:14" x14ac:dyDescent="0.2">
      <c r="A1925" s="3">
        <f t="shared" si="32"/>
        <v>128612</v>
      </c>
      <c r="B1925" t="str">
        <f>"01286120006"</f>
        <v>01286120006</v>
      </c>
      <c r="C1925" t="s">
        <v>2282</v>
      </c>
      <c r="D1925" t="s">
        <v>289</v>
      </c>
      <c r="E1925">
        <v>20</v>
      </c>
      <c r="F1925">
        <v>8086</v>
      </c>
      <c r="G1925" t="s">
        <v>290</v>
      </c>
      <c r="H1925">
        <v>6</v>
      </c>
      <c r="I1925" t="s">
        <v>25</v>
      </c>
      <c r="J1925">
        <v>4</v>
      </c>
      <c r="K1925" t="s">
        <v>25</v>
      </c>
      <c r="L1925">
        <v>8</v>
      </c>
      <c r="M1925">
        <v>87022</v>
      </c>
      <c r="N1925">
        <v>2</v>
      </c>
    </row>
    <row r="1926" spans="1:14" x14ac:dyDescent="0.2">
      <c r="A1926" s="3">
        <f t="shared" si="32"/>
        <v>128612</v>
      </c>
      <c r="B1926" t="str">
        <f>"01286120006"</f>
        <v>01286120006</v>
      </c>
      <c r="C1926" t="s">
        <v>2282</v>
      </c>
      <c r="D1926" t="s">
        <v>289</v>
      </c>
      <c r="E1926">
        <v>20</v>
      </c>
      <c r="F1926">
        <v>2077</v>
      </c>
      <c r="G1926" t="s">
        <v>2283</v>
      </c>
      <c r="H1926">
        <v>6</v>
      </c>
      <c r="I1926" t="s">
        <v>25</v>
      </c>
      <c r="J1926">
        <v>4</v>
      </c>
      <c r="K1926" t="s">
        <v>25</v>
      </c>
      <c r="L1926">
        <v>8</v>
      </c>
      <c r="M1926">
        <v>87022</v>
      </c>
      <c r="N1926">
        <v>2</v>
      </c>
    </row>
    <row r="1927" spans="1:14" x14ac:dyDescent="0.2">
      <c r="A1927" s="3">
        <f t="shared" si="32"/>
        <v>128614</v>
      </c>
      <c r="B1927" t="str">
        <f>"01286140012"</f>
        <v>01286140012</v>
      </c>
      <c r="C1927" t="s">
        <v>2284</v>
      </c>
      <c r="D1927" t="s">
        <v>36</v>
      </c>
      <c r="E1927">
        <v>46</v>
      </c>
      <c r="F1927">
        <v>431</v>
      </c>
      <c r="G1927" t="s">
        <v>2285</v>
      </c>
      <c r="H1927">
        <v>20</v>
      </c>
      <c r="I1927" t="s">
        <v>25</v>
      </c>
      <c r="J1927">
        <v>16</v>
      </c>
      <c r="K1927" t="s">
        <v>25</v>
      </c>
      <c r="L1927">
        <v>8</v>
      </c>
      <c r="M1927">
        <v>73245</v>
      </c>
      <c r="N1927">
        <v>4</v>
      </c>
    </row>
    <row r="1928" spans="1:14" x14ac:dyDescent="0.2">
      <c r="A1928" s="3">
        <f t="shared" si="32"/>
        <v>128626</v>
      </c>
      <c r="B1928" t="str">
        <f>"01286260024"</f>
        <v>01286260024</v>
      </c>
      <c r="C1928" t="s">
        <v>2286</v>
      </c>
      <c r="D1928" t="s">
        <v>604</v>
      </c>
      <c r="E1928">
        <v>82</v>
      </c>
      <c r="F1928">
        <v>3223</v>
      </c>
      <c r="G1928" t="s">
        <v>1057</v>
      </c>
      <c r="H1928" t="s">
        <v>44</v>
      </c>
      <c r="I1928" t="s">
        <v>45</v>
      </c>
      <c r="J1928" t="s">
        <v>44</v>
      </c>
      <c r="K1928" t="s">
        <v>45</v>
      </c>
      <c r="L1928">
        <v>8</v>
      </c>
      <c r="M1928">
        <v>70203</v>
      </c>
      <c r="N1928" t="s">
        <v>46</v>
      </c>
    </row>
    <row r="1929" spans="1:14" x14ac:dyDescent="0.2">
      <c r="A1929" s="3">
        <f t="shared" si="32"/>
        <v>128667</v>
      </c>
      <c r="B1929" t="str">
        <f>"01286670012"</f>
        <v>01286670012</v>
      </c>
      <c r="C1929" t="s">
        <v>2287</v>
      </c>
      <c r="D1929" t="s">
        <v>52</v>
      </c>
      <c r="E1929">
        <v>42</v>
      </c>
      <c r="F1929">
        <v>1605</v>
      </c>
      <c r="G1929" t="s">
        <v>128</v>
      </c>
      <c r="H1929">
        <v>9</v>
      </c>
      <c r="I1929" t="s">
        <v>25</v>
      </c>
      <c r="J1929">
        <v>7</v>
      </c>
      <c r="K1929" t="s">
        <v>25</v>
      </c>
      <c r="L1929">
        <v>6</v>
      </c>
      <c r="M1929">
        <v>2518</v>
      </c>
      <c r="N1929">
        <v>2</v>
      </c>
    </row>
    <row r="1930" spans="1:14" x14ac:dyDescent="0.2">
      <c r="A1930" s="3">
        <f t="shared" si="32"/>
        <v>128804</v>
      </c>
      <c r="B1930" t="str">
        <f>"01288040006"</f>
        <v>01288040006</v>
      </c>
      <c r="C1930" t="s">
        <v>2288</v>
      </c>
      <c r="D1930" t="s">
        <v>36</v>
      </c>
      <c r="E1930">
        <v>46</v>
      </c>
      <c r="F1930">
        <v>431</v>
      </c>
      <c r="G1930" t="s">
        <v>2285</v>
      </c>
      <c r="H1930">
        <v>20</v>
      </c>
      <c r="I1930" t="s">
        <v>25</v>
      </c>
      <c r="J1930">
        <v>16</v>
      </c>
      <c r="K1930" t="s">
        <v>25</v>
      </c>
      <c r="L1930">
        <v>8</v>
      </c>
      <c r="M1930">
        <v>73188</v>
      </c>
      <c r="N1930">
        <v>4</v>
      </c>
    </row>
    <row r="1931" spans="1:14" x14ac:dyDescent="0.2">
      <c r="A1931" s="3">
        <f t="shared" si="32"/>
        <v>128818</v>
      </c>
      <c r="B1931" t="str">
        <f>"01288180006"</f>
        <v>01288180006</v>
      </c>
      <c r="C1931" t="s">
        <v>2289</v>
      </c>
      <c r="D1931" t="s">
        <v>36</v>
      </c>
      <c r="E1931">
        <v>46</v>
      </c>
      <c r="F1931">
        <v>431</v>
      </c>
      <c r="G1931" t="s">
        <v>2285</v>
      </c>
      <c r="H1931">
        <v>14</v>
      </c>
      <c r="I1931" t="s">
        <v>25</v>
      </c>
      <c r="J1931">
        <v>11</v>
      </c>
      <c r="K1931" t="s">
        <v>25</v>
      </c>
      <c r="L1931">
        <v>8</v>
      </c>
      <c r="M1931">
        <v>73212</v>
      </c>
      <c r="N1931">
        <v>3</v>
      </c>
    </row>
    <row r="1932" spans="1:14" x14ac:dyDescent="0.2">
      <c r="A1932" s="3">
        <f t="shared" si="32"/>
        <v>128822</v>
      </c>
      <c r="B1932" t="str">
        <f>"01288220006"</f>
        <v>01288220006</v>
      </c>
      <c r="C1932" t="s">
        <v>2290</v>
      </c>
      <c r="D1932" t="s">
        <v>36</v>
      </c>
      <c r="E1932">
        <v>46</v>
      </c>
      <c r="F1932">
        <v>431</v>
      </c>
      <c r="G1932" t="s">
        <v>2285</v>
      </c>
      <c r="H1932">
        <v>20</v>
      </c>
      <c r="I1932" t="s">
        <v>25</v>
      </c>
      <c r="J1932">
        <v>16</v>
      </c>
      <c r="K1932" t="s">
        <v>25</v>
      </c>
      <c r="L1932">
        <v>8</v>
      </c>
      <c r="M1932">
        <v>73115</v>
      </c>
      <c r="N1932">
        <v>3</v>
      </c>
    </row>
    <row r="1933" spans="1:14" x14ac:dyDescent="0.2">
      <c r="A1933" s="3">
        <f t="shared" si="32"/>
        <v>128822</v>
      </c>
      <c r="B1933" t="str">
        <f>"01288220012"</f>
        <v>01288220012</v>
      </c>
      <c r="C1933" t="s">
        <v>2290</v>
      </c>
      <c r="D1933" t="s">
        <v>52</v>
      </c>
      <c r="E1933">
        <v>46</v>
      </c>
      <c r="F1933">
        <v>2047</v>
      </c>
      <c r="G1933" t="s">
        <v>2182</v>
      </c>
      <c r="H1933">
        <v>12</v>
      </c>
      <c r="I1933" t="s">
        <v>25</v>
      </c>
      <c r="J1933">
        <v>9</v>
      </c>
      <c r="K1933" t="s">
        <v>25</v>
      </c>
      <c r="L1933">
        <v>5</v>
      </c>
      <c r="M1933" t="s">
        <v>65</v>
      </c>
      <c r="N1933">
        <v>3</v>
      </c>
    </row>
    <row r="1934" spans="1:14" x14ac:dyDescent="0.2">
      <c r="A1934" s="3">
        <f t="shared" si="32"/>
        <v>128879</v>
      </c>
      <c r="B1934" t="str">
        <f>"01288790050"</f>
        <v>01288790050</v>
      </c>
      <c r="C1934" t="s">
        <v>2291</v>
      </c>
      <c r="D1934" t="s">
        <v>52</v>
      </c>
      <c r="E1934">
        <v>70</v>
      </c>
      <c r="F1934">
        <v>845</v>
      </c>
      <c r="G1934" t="s">
        <v>605</v>
      </c>
      <c r="H1934">
        <v>120</v>
      </c>
      <c r="I1934" t="s">
        <v>34</v>
      </c>
      <c r="J1934">
        <v>88</v>
      </c>
      <c r="K1934" t="s">
        <v>34</v>
      </c>
      <c r="L1934">
        <v>5</v>
      </c>
      <c r="M1934" t="s">
        <v>65</v>
      </c>
      <c r="N1934">
        <v>32</v>
      </c>
    </row>
    <row r="1935" spans="1:14" x14ac:dyDescent="0.2">
      <c r="A1935" s="3">
        <f t="shared" si="32"/>
        <v>128910</v>
      </c>
      <c r="B1935" t="str">
        <f>"01289100030"</f>
        <v>01289100030</v>
      </c>
      <c r="C1935" t="s">
        <v>2292</v>
      </c>
      <c r="D1935" t="s">
        <v>42</v>
      </c>
      <c r="E1935">
        <v>70</v>
      </c>
      <c r="F1935">
        <v>2405</v>
      </c>
      <c r="G1935" t="s">
        <v>609</v>
      </c>
      <c r="H1935">
        <v>7</v>
      </c>
      <c r="I1935" t="s">
        <v>25</v>
      </c>
      <c r="J1935">
        <v>5</v>
      </c>
      <c r="K1935" t="s">
        <v>25</v>
      </c>
      <c r="L1935">
        <v>7</v>
      </c>
      <c r="M1935">
        <v>72069</v>
      </c>
      <c r="N1935">
        <v>2</v>
      </c>
    </row>
    <row r="1936" spans="1:14" x14ac:dyDescent="0.2">
      <c r="A1936" s="3">
        <f t="shared" si="32"/>
        <v>128944</v>
      </c>
      <c r="B1936" t="str">
        <f>"01289440012"</f>
        <v>01289440012</v>
      </c>
      <c r="C1936" t="s">
        <v>2293</v>
      </c>
      <c r="D1936" t="s">
        <v>36</v>
      </c>
      <c r="E1936">
        <v>47</v>
      </c>
      <c r="F1936">
        <v>1909</v>
      </c>
      <c r="G1936" t="s">
        <v>2007</v>
      </c>
      <c r="H1936">
        <v>18</v>
      </c>
      <c r="I1936" t="s">
        <v>25</v>
      </c>
      <c r="J1936">
        <v>14</v>
      </c>
      <c r="K1936" t="s">
        <v>25</v>
      </c>
      <c r="L1936">
        <v>8</v>
      </c>
      <c r="M1936">
        <v>72212</v>
      </c>
      <c r="N1936">
        <v>4</v>
      </c>
    </row>
    <row r="1937" spans="1:14" x14ac:dyDescent="0.2">
      <c r="A1937" s="3">
        <f t="shared" si="32"/>
        <v>128974</v>
      </c>
      <c r="B1937" t="str">
        <f>"01289740072"</f>
        <v>01289740072</v>
      </c>
      <c r="C1937" t="s">
        <v>2294</v>
      </c>
      <c r="D1937" t="s">
        <v>289</v>
      </c>
      <c r="E1937">
        <v>74</v>
      </c>
      <c r="F1937">
        <v>8086</v>
      </c>
      <c r="G1937" t="s">
        <v>290</v>
      </c>
      <c r="H1937">
        <v>9</v>
      </c>
      <c r="I1937" t="s">
        <v>25</v>
      </c>
      <c r="J1937">
        <v>7</v>
      </c>
      <c r="K1937" t="s">
        <v>25</v>
      </c>
      <c r="L1937">
        <v>8</v>
      </c>
      <c r="M1937">
        <v>86051</v>
      </c>
      <c r="N1937">
        <v>1</v>
      </c>
    </row>
    <row r="1938" spans="1:14" x14ac:dyDescent="0.2">
      <c r="A1938" s="3">
        <f t="shared" si="32"/>
        <v>128974</v>
      </c>
      <c r="B1938" t="str">
        <f>"01289740072"</f>
        <v>01289740072</v>
      </c>
      <c r="C1938" t="s">
        <v>2294</v>
      </c>
      <c r="D1938" t="s">
        <v>289</v>
      </c>
      <c r="E1938">
        <v>74</v>
      </c>
      <c r="F1938">
        <v>2477</v>
      </c>
      <c r="G1938" t="s">
        <v>1426</v>
      </c>
      <c r="H1938">
        <v>9</v>
      </c>
      <c r="I1938" t="s">
        <v>25</v>
      </c>
      <c r="J1938">
        <v>7</v>
      </c>
      <c r="K1938" t="s">
        <v>25</v>
      </c>
      <c r="L1938">
        <v>8</v>
      </c>
      <c r="M1938">
        <v>86051</v>
      </c>
      <c r="N1938">
        <v>1</v>
      </c>
    </row>
    <row r="1939" spans="1:14" x14ac:dyDescent="0.2">
      <c r="A1939" s="3">
        <f t="shared" si="32"/>
        <v>128975</v>
      </c>
      <c r="B1939" t="str">
        <f>"01289750035"</f>
        <v>01289750035</v>
      </c>
      <c r="C1939" t="s">
        <v>2295</v>
      </c>
      <c r="D1939" t="s">
        <v>289</v>
      </c>
      <c r="E1939">
        <v>74</v>
      </c>
      <c r="F1939">
        <v>8086</v>
      </c>
      <c r="G1939" t="s">
        <v>290</v>
      </c>
      <c r="H1939">
        <v>9</v>
      </c>
      <c r="I1939" t="s">
        <v>25</v>
      </c>
      <c r="J1939">
        <v>7</v>
      </c>
      <c r="K1939" t="s">
        <v>25</v>
      </c>
      <c r="L1939">
        <v>8</v>
      </c>
      <c r="M1939">
        <v>86044</v>
      </c>
      <c r="N1939">
        <v>1</v>
      </c>
    </row>
    <row r="1940" spans="1:14" x14ac:dyDescent="0.2">
      <c r="A1940" s="3">
        <f t="shared" si="32"/>
        <v>128975</v>
      </c>
      <c r="B1940" t="str">
        <f>"01289750035"</f>
        <v>01289750035</v>
      </c>
      <c r="C1940" t="s">
        <v>2295</v>
      </c>
      <c r="D1940" t="s">
        <v>289</v>
      </c>
      <c r="E1940">
        <v>74</v>
      </c>
      <c r="F1940">
        <v>2477</v>
      </c>
      <c r="G1940" t="s">
        <v>1426</v>
      </c>
      <c r="H1940">
        <v>9</v>
      </c>
      <c r="I1940" t="s">
        <v>25</v>
      </c>
      <c r="J1940">
        <v>7</v>
      </c>
      <c r="K1940" t="s">
        <v>25</v>
      </c>
      <c r="L1940">
        <v>8</v>
      </c>
      <c r="M1940">
        <v>86044</v>
      </c>
      <c r="N1940">
        <v>1</v>
      </c>
    </row>
    <row r="1941" spans="1:14" x14ac:dyDescent="0.2">
      <c r="A1941" s="3">
        <f t="shared" si="32"/>
        <v>128986</v>
      </c>
      <c r="B1941" t="str">
        <f>"01289860023"</f>
        <v>01289860023</v>
      </c>
      <c r="C1941" t="s">
        <v>2296</v>
      </c>
      <c r="D1941" t="s">
        <v>289</v>
      </c>
      <c r="E1941">
        <v>74</v>
      </c>
      <c r="F1941">
        <v>8086</v>
      </c>
      <c r="G1941" t="s">
        <v>290</v>
      </c>
      <c r="H1941">
        <v>6</v>
      </c>
      <c r="I1941" t="s">
        <v>25</v>
      </c>
      <c r="J1941">
        <v>4</v>
      </c>
      <c r="K1941" t="s">
        <v>25</v>
      </c>
      <c r="L1941">
        <v>8</v>
      </c>
      <c r="M1941">
        <v>86009</v>
      </c>
      <c r="N1941">
        <v>1</v>
      </c>
    </row>
    <row r="1942" spans="1:14" x14ac:dyDescent="0.2">
      <c r="A1942" s="3">
        <f t="shared" si="32"/>
        <v>128986</v>
      </c>
      <c r="B1942" t="str">
        <f>"01289860023"</f>
        <v>01289860023</v>
      </c>
      <c r="C1942" t="s">
        <v>2296</v>
      </c>
      <c r="D1942" t="s">
        <v>289</v>
      </c>
      <c r="E1942">
        <v>74</v>
      </c>
      <c r="F1942">
        <v>564</v>
      </c>
      <c r="G1942" t="s">
        <v>1645</v>
      </c>
      <c r="H1942">
        <v>6</v>
      </c>
      <c r="I1942" t="s">
        <v>25</v>
      </c>
      <c r="J1942">
        <v>4</v>
      </c>
      <c r="K1942" t="s">
        <v>25</v>
      </c>
      <c r="L1942">
        <v>8</v>
      </c>
      <c r="M1942">
        <v>86009</v>
      </c>
      <c r="N1942">
        <v>1</v>
      </c>
    </row>
    <row r="1943" spans="1:14" x14ac:dyDescent="0.2">
      <c r="A1943" s="3">
        <f t="shared" si="32"/>
        <v>128990</v>
      </c>
      <c r="B1943" t="str">
        <f>"01289900020"</f>
        <v>01289900020</v>
      </c>
      <c r="C1943" t="s">
        <v>2297</v>
      </c>
      <c r="D1943" t="s">
        <v>622</v>
      </c>
      <c r="E1943">
        <v>71</v>
      </c>
      <c r="F1943">
        <v>8052</v>
      </c>
      <c r="G1943" t="s">
        <v>642</v>
      </c>
      <c r="H1943">
        <v>15</v>
      </c>
      <c r="I1943" t="s">
        <v>25</v>
      </c>
      <c r="J1943">
        <v>11</v>
      </c>
      <c r="K1943" t="s">
        <v>25</v>
      </c>
      <c r="L1943">
        <v>8</v>
      </c>
      <c r="M1943">
        <v>72003</v>
      </c>
      <c r="N1943">
        <v>4</v>
      </c>
    </row>
    <row r="1944" spans="1:14" x14ac:dyDescent="0.2">
      <c r="A1944" s="3">
        <f t="shared" si="32"/>
        <v>129042</v>
      </c>
      <c r="B1944" t="str">
        <f>"01290420024"</f>
        <v>01290420024</v>
      </c>
      <c r="C1944" t="s">
        <v>2298</v>
      </c>
      <c r="D1944" t="s">
        <v>216</v>
      </c>
      <c r="E1944">
        <v>70</v>
      </c>
      <c r="F1944">
        <v>2008</v>
      </c>
      <c r="G1944" t="s">
        <v>1440</v>
      </c>
      <c r="H1944">
        <v>120</v>
      </c>
      <c r="I1944" t="s">
        <v>34</v>
      </c>
      <c r="J1944">
        <v>88</v>
      </c>
      <c r="K1944" t="s">
        <v>34</v>
      </c>
      <c r="L1944">
        <v>8</v>
      </c>
      <c r="M1944">
        <v>73014</v>
      </c>
      <c r="N1944">
        <v>32</v>
      </c>
    </row>
    <row r="1945" spans="1:14" x14ac:dyDescent="0.2">
      <c r="A1945" s="3">
        <f t="shared" si="32"/>
        <v>129116</v>
      </c>
      <c r="B1945" t="str">
        <f>"01291160018"</f>
        <v>01291160018</v>
      </c>
      <c r="C1945" t="s">
        <v>2299</v>
      </c>
      <c r="D1945" t="s">
        <v>42</v>
      </c>
      <c r="E1945">
        <v>70</v>
      </c>
      <c r="F1945">
        <v>1647</v>
      </c>
      <c r="G1945" t="s">
        <v>557</v>
      </c>
      <c r="H1945">
        <v>150</v>
      </c>
      <c r="I1945" t="s">
        <v>34</v>
      </c>
      <c r="J1945">
        <v>118</v>
      </c>
      <c r="K1945" t="s">
        <v>34</v>
      </c>
      <c r="L1945">
        <v>8</v>
      </c>
      <c r="M1945">
        <v>74159</v>
      </c>
      <c r="N1945">
        <v>32</v>
      </c>
    </row>
    <row r="1946" spans="1:14" x14ac:dyDescent="0.2">
      <c r="A1946" s="3">
        <f t="shared" si="32"/>
        <v>129180</v>
      </c>
      <c r="B1946" t="str">
        <f>"01291800026"</f>
        <v>01291800026</v>
      </c>
      <c r="C1946" t="s">
        <v>2300</v>
      </c>
      <c r="D1946" t="s">
        <v>604</v>
      </c>
      <c r="E1946">
        <v>81</v>
      </c>
      <c r="F1946">
        <v>641</v>
      </c>
      <c r="G1946" t="s">
        <v>770</v>
      </c>
      <c r="H1946">
        <v>20</v>
      </c>
      <c r="I1946" t="s">
        <v>25</v>
      </c>
      <c r="J1946">
        <v>16</v>
      </c>
      <c r="K1946" t="s">
        <v>25</v>
      </c>
      <c r="L1946">
        <v>8</v>
      </c>
      <c r="M1946">
        <v>69168</v>
      </c>
      <c r="N1946">
        <v>4</v>
      </c>
    </row>
    <row r="1947" spans="1:14" x14ac:dyDescent="0.2">
      <c r="A1947" s="3">
        <f t="shared" si="32"/>
        <v>129259</v>
      </c>
      <c r="B1947" t="str">
        <f>"01292590012"</f>
        <v>01292590012</v>
      </c>
      <c r="C1947" t="s">
        <v>2301</v>
      </c>
      <c r="D1947" t="s">
        <v>1339</v>
      </c>
      <c r="E1947">
        <v>46</v>
      </c>
      <c r="F1947">
        <v>5809</v>
      </c>
      <c r="G1947" t="s">
        <v>2302</v>
      </c>
      <c r="H1947">
        <v>6</v>
      </c>
      <c r="I1947" t="s">
        <v>25</v>
      </c>
      <c r="J1947">
        <v>4</v>
      </c>
      <c r="K1947" t="s">
        <v>25</v>
      </c>
      <c r="L1947">
        <v>6</v>
      </c>
      <c r="M1947">
        <v>2652</v>
      </c>
      <c r="N1947">
        <v>2</v>
      </c>
    </row>
    <row r="1948" spans="1:14" x14ac:dyDescent="0.2">
      <c r="A1948" s="3">
        <f t="shared" si="32"/>
        <v>129273</v>
      </c>
      <c r="B1948" t="str">
        <f>"01292730036"</f>
        <v>01292730036</v>
      </c>
      <c r="C1948" t="s">
        <v>2303</v>
      </c>
      <c r="D1948" t="s">
        <v>622</v>
      </c>
      <c r="E1948">
        <v>71</v>
      </c>
      <c r="F1948">
        <v>4366</v>
      </c>
      <c r="G1948" t="s">
        <v>625</v>
      </c>
      <c r="H1948">
        <v>12</v>
      </c>
      <c r="I1948" t="s">
        <v>25</v>
      </c>
      <c r="J1948">
        <v>9</v>
      </c>
      <c r="K1948" t="s">
        <v>25</v>
      </c>
      <c r="L1948">
        <v>8</v>
      </c>
      <c r="M1948">
        <v>74223</v>
      </c>
      <c r="N1948">
        <v>3</v>
      </c>
    </row>
    <row r="1949" spans="1:14" x14ac:dyDescent="0.2">
      <c r="A1949" s="3">
        <f t="shared" si="32"/>
        <v>129297</v>
      </c>
      <c r="B1949" t="str">
        <f>"01292970010"</f>
        <v>01292970010</v>
      </c>
      <c r="C1949" t="s">
        <v>2304</v>
      </c>
      <c r="D1949" t="s">
        <v>101</v>
      </c>
      <c r="E1949">
        <v>32</v>
      </c>
      <c r="F1949">
        <v>2094</v>
      </c>
      <c r="G1949" t="s">
        <v>122</v>
      </c>
      <c r="H1949">
        <v>50</v>
      </c>
      <c r="I1949" t="s">
        <v>34</v>
      </c>
      <c r="J1949">
        <v>37</v>
      </c>
      <c r="K1949" t="s">
        <v>34</v>
      </c>
      <c r="L1949">
        <v>8</v>
      </c>
      <c r="M1949">
        <v>84159</v>
      </c>
      <c r="N1949">
        <v>13</v>
      </c>
    </row>
    <row r="1950" spans="1:14" x14ac:dyDescent="0.2">
      <c r="A1950" s="3">
        <f t="shared" si="32"/>
        <v>129381</v>
      </c>
      <c r="B1950" t="str">
        <f>"01293810001"</f>
        <v>01293810001</v>
      </c>
      <c r="C1950" t="s">
        <v>329</v>
      </c>
      <c r="D1950" t="s">
        <v>23</v>
      </c>
      <c r="E1950">
        <v>62</v>
      </c>
      <c r="F1950">
        <v>3796</v>
      </c>
      <c r="G1950" t="s">
        <v>24</v>
      </c>
      <c r="H1950">
        <v>8</v>
      </c>
      <c r="I1950" t="s">
        <v>25</v>
      </c>
      <c r="J1950">
        <v>6</v>
      </c>
      <c r="K1950" t="s">
        <v>25</v>
      </c>
      <c r="L1950">
        <v>8</v>
      </c>
      <c r="M1950">
        <v>95409</v>
      </c>
      <c r="N1950">
        <v>2</v>
      </c>
    </row>
    <row r="1951" spans="1:14" x14ac:dyDescent="0.2">
      <c r="A1951" s="3">
        <f t="shared" si="32"/>
        <v>129437</v>
      </c>
      <c r="B1951" t="str">
        <f>"01294370096"</f>
        <v>01294370096</v>
      </c>
      <c r="C1951" t="s">
        <v>2305</v>
      </c>
      <c r="D1951" t="s">
        <v>52</v>
      </c>
      <c r="E1951">
        <v>71</v>
      </c>
      <c r="F1951">
        <v>848</v>
      </c>
      <c r="G1951" t="s">
        <v>2306</v>
      </c>
      <c r="H1951">
        <v>12</v>
      </c>
      <c r="I1951" t="s">
        <v>25</v>
      </c>
      <c r="J1951">
        <v>9</v>
      </c>
      <c r="K1951" t="s">
        <v>25</v>
      </c>
      <c r="L1951">
        <v>5</v>
      </c>
      <c r="M1951" t="s">
        <v>65</v>
      </c>
      <c r="N1951">
        <v>3</v>
      </c>
    </row>
    <row r="1952" spans="1:14" x14ac:dyDescent="0.2">
      <c r="A1952" s="3">
        <f t="shared" si="32"/>
        <v>129459</v>
      </c>
      <c r="B1952" t="str">
        <f>"01294590012"</f>
        <v>01294590012</v>
      </c>
      <c r="C1952" t="s">
        <v>2307</v>
      </c>
      <c r="D1952" t="s">
        <v>42</v>
      </c>
      <c r="E1952">
        <v>46</v>
      </c>
      <c r="F1952">
        <v>1100</v>
      </c>
      <c r="G1952" t="s">
        <v>2308</v>
      </c>
      <c r="H1952">
        <v>15</v>
      </c>
      <c r="I1952" t="s">
        <v>25</v>
      </c>
      <c r="J1952">
        <v>11</v>
      </c>
      <c r="K1952" t="s">
        <v>25</v>
      </c>
      <c r="L1952">
        <v>8</v>
      </c>
      <c r="M1952">
        <v>73201</v>
      </c>
      <c r="N1952">
        <v>4</v>
      </c>
    </row>
    <row r="1953" spans="1:14" x14ac:dyDescent="0.2">
      <c r="A1953" s="3">
        <f t="shared" si="32"/>
        <v>129531</v>
      </c>
      <c r="B1953" t="str">
        <f>"01295310024"</f>
        <v>01295310024</v>
      </c>
      <c r="C1953" t="s">
        <v>2309</v>
      </c>
      <c r="D1953" t="s">
        <v>543</v>
      </c>
      <c r="E1953">
        <v>46</v>
      </c>
      <c r="F1953">
        <v>1517</v>
      </c>
      <c r="G1953" t="s">
        <v>654</v>
      </c>
      <c r="H1953">
        <v>18</v>
      </c>
      <c r="I1953" t="s">
        <v>25</v>
      </c>
      <c r="J1953">
        <v>14</v>
      </c>
      <c r="K1953" t="s">
        <v>25</v>
      </c>
      <c r="L1953">
        <v>8</v>
      </c>
      <c r="M1953">
        <v>73223</v>
      </c>
      <c r="N1953">
        <v>4</v>
      </c>
    </row>
    <row r="1954" spans="1:14" x14ac:dyDescent="0.2">
      <c r="A1954" s="3">
        <f t="shared" si="32"/>
        <v>129540</v>
      </c>
      <c r="B1954" t="str">
        <f>"01295400006"</f>
        <v>01295400006</v>
      </c>
      <c r="C1954" t="s">
        <v>2310</v>
      </c>
      <c r="D1954" t="s">
        <v>622</v>
      </c>
      <c r="E1954">
        <v>61</v>
      </c>
      <c r="F1954">
        <v>1205</v>
      </c>
      <c r="G1954" t="s">
        <v>325</v>
      </c>
      <c r="H1954" t="s">
        <v>44</v>
      </c>
      <c r="I1954" t="s">
        <v>45</v>
      </c>
      <c r="J1954" t="s">
        <v>44</v>
      </c>
      <c r="K1954" t="s">
        <v>45</v>
      </c>
      <c r="L1954">
        <v>8</v>
      </c>
      <c r="M1954">
        <v>62014</v>
      </c>
      <c r="N1954" t="s">
        <v>46</v>
      </c>
    </row>
    <row r="1955" spans="1:14" x14ac:dyDescent="0.2">
      <c r="A1955" s="3">
        <f t="shared" si="32"/>
        <v>129741</v>
      </c>
      <c r="B1955" t="str">
        <f>"01297410030"</f>
        <v>01297410030</v>
      </c>
      <c r="C1955" t="s">
        <v>2311</v>
      </c>
      <c r="D1955" t="s">
        <v>216</v>
      </c>
      <c r="E1955">
        <v>71</v>
      </c>
      <c r="F1955">
        <v>1478</v>
      </c>
      <c r="G1955" t="s">
        <v>2312</v>
      </c>
      <c r="H1955">
        <v>10</v>
      </c>
      <c r="I1955" t="s">
        <v>25</v>
      </c>
      <c r="J1955">
        <v>7</v>
      </c>
      <c r="K1955" t="s">
        <v>25</v>
      </c>
      <c r="L1955">
        <v>8</v>
      </c>
      <c r="M1955">
        <v>76028</v>
      </c>
      <c r="N1955">
        <v>3</v>
      </c>
    </row>
    <row r="1956" spans="1:14" x14ac:dyDescent="0.2">
      <c r="A1956" s="3">
        <f t="shared" si="32"/>
        <v>129945</v>
      </c>
      <c r="B1956" t="str">
        <f>"01299450016"</f>
        <v>01299450016</v>
      </c>
      <c r="C1956" t="s">
        <v>2313</v>
      </c>
      <c r="D1956" t="s">
        <v>52</v>
      </c>
      <c r="E1956">
        <v>30</v>
      </c>
      <c r="F1956">
        <v>804</v>
      </c>
      <c r="G1956" t="s">
        <v>2314</v>
      </c>
      <c r="H1956">
        <v>40</v>
      </c>
      <c r="I1956" t="s">
        <v>34</v>
      </c>
      <c r="J1956">
        <v>30</v>
      </c>
      <c r="K1956" t="s">
        <v>34</v>
      </c>
      <c r="L1956">
        <v>6</v>
      </c>
      <c r="M1956">
        <v>3517</v>
      </c>
      <c r="N1956">
        <v>10</v>
      </c>
    </row>
    <row r="1957" spans="1:14" x14ac:dyDescent="0.2">
      <c r="A1957" s="3">
        <f t="shared" si="32"/>
        <v>129978</v>
      </c>
      <c r="B1957" t="str">
        <f>"01299780030"</f>
        <v>01299780030</v>
      </c>
      <c r="C1957" t="s">
        <v>2315</v>
      </c>
      <c r="D1957" t="s">
        <v>604</v>
      </c>
      <c r="E1957">
        <v>70</v>
      </c>
      <c r="F1957">
        <v>655</v>
      </c>
      <c r="G1957" t="s">
        <v>1352</v>
      </c>
      <c r="H1957">
        <v>6</v>
      </c>
      <c r="I1957" t="s">
        <v>25</v>
      </c>
      <c r="J1957">
        <v>4</v>
      </c>
      <c r="K1957" t="s">
        <v>25</v>
      </c>
      <c r="L1957">
        <v>8</v>
      </c>
      <c r="M1957">
        <v>72067</v>
      </c>
      <c r="N1957">
        <v>2</v>
      </c>
    </row>
    <row r="1958" spans="1:14" x14ac:dyDescent="0.2">
      <c r="A1958" s="3">
        <f t="shared" si="32"/>
        <v>130092</v>
      </c>
      <c r="B1958" t="str">
        <f>"01300920025"</f>
        <v>01300920025</v>
      </c>
      <c r="C1958" t="s">
        <v>2316</v>
      </c>
      <c r="D1958" t="s">
        <v>289</v>
      </c>
      <c r="E1958">
        <v>74</v>
      </c>
      <c r="F1958">
        <v>8086</v>
      </c>
      <c r="G1958" t="s">
        <v>290</v>
      </c>
      <c r="H1958">
        <v>9</v>
      </c>
      <c r="I1958" t="s">
        <v>25</v>
      </c>
      <c r="J1958">
        <v>7</v>
      </c>
      <c r="K1958" t="s">
        <v>25</v>
      </c>
      <c r="L1958">
        <v>8</v>
      </c>
      <c r="M1958">
        <v>86013</v>
      </c>
      <c r="N1958">
        <v>1</v>
      </c>
    </row>
    <row r="1959" spans="1:14" x14ac:dyDescent="0.2">
      <c r="A1959" s="3">
        <f t="shared" si="32"/>
        <v>130092</v>
      </c>
      <c r="B1959" t="str">
        <f>"01300920025"</f>
        <v>01300920025</v>
      </c>
      <c r="C1959" t="s">
        <v>2316</v>
      </c>
      <c r="D1959" t="s">
        <v>289</v>
      </c>
      <c r="E1959">
        <v>74</v>
      </c>
      <c r="F1959">
        <v>2477</v>
      </c>
      <c r="G1959" t="s">
        <v>1426</v>
      </c>
      <c r="H1959">
        <v>9</v>
      </c>
      <c r="I1959" t="s">
        <v>25</v>
      </c>
      <c r="J1959">
        <v>7</v>
      </c>
      <c r="K1959" t="s">
        <v>25</v>
      </c>
      <c r="L1959">
        <v>8</v>
      </c>
      <c r="M1959">
        <v>86013</v>
      </c>
      <c r="N1959">
        <v>1</v>
      </c>
    </row>
    <row r="1960" spans="1:14" x14ac:dyDescent="0.2">
      <c r="A1960" s="3">
        <f t="shared" si="32"/>
        <v>130149</v>
      </c>
      <c r="B1960" t="str">
        <f>"01301490008"</f>
        <v>01301490008</v>
      </c>
      <c r="C1960" t="s">
        <v>2317</v>
      </c>
      <c r="D1960" t="s">
        <v>386</v>
      </c>
      <c r="E1960">
        <v>60</v>
      </c>
      <c r="F1960">
        <v>3304</v>
      </c>
      <c r="G1960" t="s">
        <v>807</v>
      </c>
      <c r="H1960" t="s">
        <v>44</v>
      </c>
      <c r="I1960" t="s">
        <v>45</v>
      </c>
      <c r="J1960" t="s">
        <v>44</v>
      </c>
      <c r="K1960" t="s">
        <v>45</v>
      </c>
      <c r="L1960">
        <v>8</v>
      </c>
      <c r="M1960">
        <v>62131</v>
      </c>
      <c r="N1960" t="s">
        <v>46</v>
      </c>
    </row>
    <row r="1961" spans="1:14" x14ac:dyDescent="0.2">
      <c r="A1961" s="3">
        <f t="shared" si="32"/>
        <v>130200</v>
      </c>
      <c r="B1961" t="str">
        <f>"01302000006"</f>
        <v>01302000006</v>
      </c>
      <c r="C1961" t="s">
        <v>2318</v>
      </c>
      <c r="D1961" t="s">
        <v>23</v>
      </c>
      <c r="E1961">
        <v>62</v>
      </c>
      <c r="F1961">
        <v>3796</v>
      </c>
      <c r="G1961" t="s">
        <v>24</v>
      </c>
      <c r="H1961">
        <v>8</v>
      </c>
      <c r="I1961" t="s">
        <v>25</v>
      </c>
      <c r="J1961">
        <v>6</v>
      </c>
      <c r="K1961" t="s">
        <v>25</v>
      </c>
      <c r="L1961">
        <v>8</v>
      </c>
      <c r="M1961">
        <v>95156</v>
      </c>
      <c r="N1961">
        <v>2</v>
      </c>
    </row>
    <row r="1962" spans="1:14" x14ac:dyDescent="0.2">
      <c r="A1962" s="3">
        <f t="shared" si="32"/>
        <v>130200</v>
      </c>
      <c r="B1962" t="str">
        <f>"01302000312"</f>
        <v>01302000312</v>
      </c>
      <c r="C1962" t="s">
        <v>2318</v>
      </c>
      <c r="D1962" t="s">
        <v>52</v>
      </c>
      <c r="E1962">
        <v>62</v>
      </c>
      <c r="F1962">
        <v>3796</v>
      </c>
      <c r="G1962" t="s">
        <v>24</v>
      </c>
      <c r="H1962">
        <v>8</v>
      </c>
      <c r="I1962" t="s">
        <v>25</v>
      </c>
      <c r="J1962">
        <v>6</v>
      </c>
      <c r="K1962" t="s">
        <v>25</v>
      </c>
      <c r="L1962">
        <v>5</v>
      </c>
      <c r="M1962" t="s">
        <v>65</v>
      </c>
      <c r="N1962">
        <v>2</v>
      </c>
    </row>
    <row r="1963" spans="1:14" x14ac:dyDescent="0.2">
      <c r="A1963" s="3">
        <f t="shared" si="32"/>
        <v>130339</v>
      </c>
      <c r="B1963" t="str">
        <f>"01303390016"</f>
        <v>01303390016</v>
      </c>
      <c r="C1963" t="s">
        <v>2242</v>
      </c>
      <c r="D1963" t="s">
        <v>320</v>
      </c>
      <c r="E1963">
        <v>20</v>
      </c>
      <c r="F1963">
        <v>8086</v>
      </c>
      <c r="G1963" t="s">
        <v>290</v>
      </c>
      <c r="H1963">
        <v>10</v>
      </c>
      <c r="I1963" t="s">
        <v>25</v>
      </c>
      <c r="J1963">
        <v>7</v>
      </c>
      <c r="K1963" t="s">
        <v>25</v>
      </c>
      <c r="L1963">
        <v>8</v>
      </c>
      <c r="M1963">
        <v>87065</v>
      </c>
      <c r="N1963">
        <v>3</v>
      </c>
    </row>
    <row r="1964" spans="1:14" x14ac:dyDescent="0.2">
      <c r="A1964" s="3">
        <f t="shared" si="32"/>
        <v>130339</v>
      </c>
      <c r="B1964" t="str">
        <f>"01303390016"</f>
        <v>01303390016</v>
      </c>
      <c r="C1964" t="s">
        <v>2242</v>
      </c>
      <c r="D1964" t="s">
        <v>320</v>
      </c>
      <c r="E1964">
        <v>20</v>
      </c>
      <c r="F1964">
        <v>540</v>
      </c>
      <c r="G1964" t="s">
        <v>2078</v>
      </c>
      <c r="H1964">
        <v>10</v>
      </c>
      <c r="I1964" t="s">
        <v>25</v>
      </c>
      <c r="J1964">
        <v>7</v>
      </c>
      <c r="K1964" t="s">
        <v>25</v>
      </c>
      <c r="L1964">
        <v>8</v>
      </c>
      <c r="M1964">
        <v>87065</v>
      </c>
      <c r="N1964">
        <v>3</v>
      </c>
    </row>
    <row r="1965" spans="1:14" x14ac:dyDescent="0.2">
      <c r="A1965" s="3">
        <f t="shared" si="32"/>
        <v>130422</v>
      </c>
      <c r="B1965" t="str">
        <f>"01304220009"</f>
        <v>01304220009</v>
      </c>
      <c r="C1965" t="s">
        <v>2319</v>
      </c>
      <c r="D1965" t="s">
        <v>604</v>
      </c>
      <c r="E1965">
        <v>41</v>
      </c>
      <c r="F1965">
        <v>385</v>
      </c>
      <c r="G1965" t="s">
        <v>2169</v>
      </c>
      <c r="H1965">
        <v>90</v>
      </c>
      <c r="I1965" t="s">
        <v>34</v>
      </c>
      <c r="J1965">
        <v>69</v>
      </c>
      <c r="K1965" t="s">
        <v>34</v>
      </c>
      <c r="L1965">
        <v>8</v>
      </c>
      <c r="M1965">
        <v>69223</v>
      </c>
      <c r="N1965">
        <v>21</v>
      </c>
    </row>
    <row r="1966" spans="1:14" x14ac:dyDescent="0.2">
      <c r="A1966" s="3">
        <f t="shared" si="32"/>
        <v>130471</v>
      </c>
      <c r="B1966" t="str">
        <f>"01304710008"</f>
        <v>01304710008</v>
      </c>
      <c r="C1966" t="s">
        <v>2320</v>
      </c>
      <c r="D1966" t="s">
        <v>52</v>
      </c>
      <c r="E1966">
        <v>79</v>
      </c>
      <c r="F1966">
        <v>254</v>
      </c>
      <c r="G1966" t="s">
        <v>1105</v>
      </c>
      <c r="H1966">
        <v>13</v>
      </c>
      <c r="I1966" t="s">
        <v>25</v>
      </c>
      <c r="J1966">
        <v>10</v>
      </c>
      <c r="K1966" t="s">
        <v>25</v>
      </c>
      <c r="L1966">
        <v>8</v>
      </c>
      <c r="M1966">
        <v>73006</v>
      </c>
      <c r="N1966">
        <v>3</v>
      </c>
    </row>
    <row r="1967" spans="1:14" x14ac:dyDescent="0.2">
      <c r="A1967" s="3">
        <f t="shared" si="32"/>
        <v>130486</v>
      </c>
      <c r="B1967" t="str">
        <f>"01304860036"</f>
        <v>01304860036</v>
      </c>
      <c r="C1967" t="s">
        <v>2321</v>
      </c>
      <c r="D1967" t="s">
        <v>622</v>
      </c>
      <c r="E1967">
        <v>71</v>
      </c>
      <c r="F1967">
        <v>4366</v>
      </c>
      <c r="G1967" t="s">
        <v>625</v>
      </c>
      <c r="H1967">
        <v>6</v>
      </c>
      <c r="I1967" t="s">
        <v>25</v>
      </c>
      <c r="J1967">
        <v>4</v>
      </c>
      <c r="K1967" t="s">
        <v>25</v>
      </c>
      <c r="L1967">
        <v>9</v>
      </c>
      <c r="M1967">
        <v>74239</v>
      </c>
      <c r="N1967">
        <v>2</v>
      </c>
    </row>
    <row r="1968" spans="1:14" x14ac:dyDescent="0.2">
      <c r="A1968" s="3">
        <f t="shared" si="32"/>
        <v>130585</v>
      </c>
      <c r="B1968" t="str">
        <f>"01305850006"</f>
        <v>01305850006</v>
      </c>
      <c r="C1968" t="s">
        <v>2322</v>
      </c>
      <c r="D1968" t="s">
        <v>604</v>
      </c>
      <c r="E1968">
        <v>81</v>
      </c>
      <c r="F1968">
        <v>732</v>
      </c>
      <c r="G1968" t="s">
        <v>756</v>
      </c>
      <c r="H1968">
        <v>12</v>
      </c>
      <c r="I1968" t="s">
        <v>25</v>
      </c>
      <c r="J1968">
        <v>9</v>
      </c>
      <c r="K1968" t="s">
        <v>25</v>
      </c>
      <c r="L1968">
        <v>8</v>
      </c>
      <c r="M1968">
        <v>69175</v>
      </c>
      <c r="N1968">
        <v>3</v>
      </c>
    </row>
    <row r="1969" spans="1:14" x14ac:dyDescent="0.2">
      <c r="A1969" s="3">
        <f t="shared" si="32"/>
        <v>130774</v>
      </c>
      <c r="B1969" t="str">
        <f>"01307740028"</f>
        <v>01307740028</v>
      </c>
      <c r="C1969" t="s">
        <v>2323</v>
      </c>
      <c r="D1969" t="s">
        <v>604</v>
      </c>
      <c r="E1969">
        <v>84</v>
      </c>
      <c r="F1969">
        <v>3640</v>
      </c>
      <c r="G1969" t="s">
        <v>1035</v>
      </c>
      <c r="H1969">
        <v>25</v>
      </c>
      <c r="I1969" t="s">
        <v>25</v>
      </c>
      <c r="J1969">
        <v>21</v>
      </c>
      <c r="K1969" t="s">
        <v>25</v>
      </c>
      <c r="L1969">
        <v>8</v>
      </c>
      <c r="M1969">
        <v>70023</v>
      </c>
      <c r="N1969">
        <v>4</v>
      </c>
    </row>
    <row r="1970" spans="1:14" x14ac:dyDescent="0.2">
      <c r="A1970" s="3">
        <f t="shared" si="32"/>
        <v>130809</v>
      </c>
      <c r="B1970" t="str">
        <f>"01308090024"</f>
        <v>01308090024</v>
      </c>
      <c r="C1970" t="s">
        <v>2324</v>
      </c>
      <c r="D1970" t="s">
        <v>604</v>
      </c>
      <c r="E1970">
        <v>81</v>
      </c>
      <c r="F1970">
        <v>641</v>
      </c>
      <c r="G1970" t="s">
        <v>770</v>
      </c>
      <c r="H1970">
        <v>20</v>
      </c>
      <c r="I1970" t="s">
        <v>25</v>
      </c>
      <c r="J1970">
        <v>16</v>
      </c>
      <c r="K1970" t="s">
        <v>25</v>
      </c>
      <c r="L1970">
        <v>8</v>
      </c>
      <c r="M1970">
        <v>69155</v>
      </c>
      <c r="N1970">
        <v>4</v>
      </c>
    </row>
    <row r="1971" spans="1:14" x14ac:dyDescent="0.2">
      <c r="A1971" s="3">
        <f t="shared" si="32"/>
        <v>130820</v>
      </c>
      <c r="B1971" t="str">
        <f>"01308200022"</f>
        <v>01308200022</v>
      </c>
      <c r="C1971" t="s">
        <v>2325</v>
      </c>
      <c r="D1971" t="s">
        <v>604</v>
      </c>
      <c r="E1971">
        <v>81</v>
      </c>
      <c r="F1971">
        <v>641</v>
      </c>
      <c r="G1971" t="s">
        <v>770</v>
      </c>
      <c r="H1971">
        <v>20</v>
      </c>
      <c r="I1971" t="s">
        <v>25</v>
      </c>
      <c r="J1971">
        <v>16</v>
      </c>
      <c r="K1971" t="s">
        <v>25</v>
      </c>
      <c r="L1971">
        <v>6</v>
      </c>
      <c r="M1971" t="s">
        <v>65</v>
      </c>
      <c r="N1971">
        <v>4</v>
      </c>
    </row>
    <row r="1972" spans="1:14" x14ac:dyDescent="0.2">
      <c r="A1972" s="3">
        <f t="shared" si="32"/>
        <v>130913</v>
      </c>
      <c r="B1972" t="str">
        <f>"01309130008"</f>
        <v>01309130008</v>
      </c>
      <c r="C1972" t="s">
        <v>2326</v>
      </c>
      <c r="D1972" t="s">
        <v>52</v>
      </c>
      <c r="E1972">
        <v>30</v>
      </c>
      <c r="F1972">
        <v>540</v>
      </c>
      <c r="G1972" t="s">
        <v>2078</v>
      </c>
      <c r="H1972">
        <v>17</v>
      </c>
      <c r="I1972" t="s">
        <v>34</v>
      </c>
      <c r="J1972">
        <v>11</v>
      </c>
      <c r="K1972" t="s">
        <v>34</v>
      </c>
      <c r="L1972">
        <v>6</v>
      </c>
      <c r="M1972">
        <v>3534</v>
      </c>
      <c r="N1972">
        <v>6</v>
      </c>
    </row>
    <row r="1973" spans="1:14" x14ac:dyDescent="0.2">
      <c r="A1973" s="3">
        <f t="shared" si="32"/>
        <v>130926</v>
      </c>
      <c r="B1973" t="str">
        <f>"01309260006"</f>
        <v>01309260006</v>
      </c>
      <c r="C1973" t="s">
        <v>2327</v>
      </c>
      <c r="D1973" t="s">
        <v>52</v>
      </c>
      <c r="E1973">
        <v>47</v>
      </c>
      <c r="F1973">
        <v>1909</v>
      </c>
      <c r="G1973" t="s">
        <v>2007</v>
      </c>
      <c r="H1973">
        <v>12</v>
      </c>
      <c r="I1973" t="s">
        <v>25</v>
      </c>
      <c r="J1973">
        <v>9</v>
      </c>
      <c r="K1973" t="s">
        <v>25</v>
      </c>
      <c r="L1973">
        <v>6</v>
      </c>
      <c r="M1973">
        <v>1613</v>
      </c>
      <c r="N1973">
        <v>3</v>
      </c>
    </row>
    <row r="1974" spans="1:14" x14ac:dyDescent="0.2">
      <c r="A1974" s="3">
        <f t="shared" si="32"/>
        <v>130927</v>
      </c>
      <c r="B1974" t="str">
        <f>"01309270006"</f>
        <v>01309270006</v>
      </c>
      <c r="C1974" t="s">
        <v>2328</v>
      </c>
      <c r="D1974" t="s">
        <v>52</v>
      </c>
      <c r="E1974">
        <v>47</v>
      </c>
      <c r="F1974">
        <v>1909</v>
      </c>
      <c r="G1974" t="s">
        <v>2007</v>
      </c>
      <c r="H1974">
        <v>12</v>
      </c>
      <c r="I1974" t="s">
        <v>25</v>
      </c>
      <c r="J1974">
        <v>9</v>
      </c>
      <c r="K1974" t="s">
        <v>25</v>
      </c>
      <c r="L1974">
        <v>6</v>
      </c>
      <c r="M1974">
        <v>1614</v>
      </c>
      <c r="N1974">
        <v>3</v>
      </c>
    </row>
    <row r="1975" spans="1:14" x14ac:dyDescent="0.2">
      <c r="A1975" s="3">
        <f t="shared" si="32"/>
        <v>130962</v>
      </c>
      <c r="B1975" t="str">
        <f>"01309620016"</f>
        <v>01309620016</v>
      </c>
      <c r="C1975" t="s">
        <v>2329</v>
      </c>
      <c r="D1975" t="s">
        <v>543</v>
      </c>
      <c r="E1975">
        <v>82</v>
      </c>
      <c r="F1975">
        <v>4320</v>
      </c>
      <c r="G1975" t="s">
        <v>1059</v>
      </c>
      <c r="H1975" t="s">
        <v>44</v>
      </c>
      <c r="I1975" t="s">
        <v>45</v>
      </c>
      <c r="J1975" t="s">
        <v>44</v>
      </c>
      <c r="K1975" t="s">
        <v>45</v>
      </c>
      <c r="L1975">
        <v>8</v>
      </c>
      <c r="M1975">
        <v>70087</v>
      </c>
      <c r="N1975" t="s">
        <v>46</v>
      </c>
    </row>
    <row r="1976" spans="1:14" x14ac:dyDescent="0.2">
      <c r="A1976" s="3">
        <f t="shared" si="32"/>
        <v>130994</v>
      </c>
      <c r="B1976" t="str">
        <f>"01309940012"</f>
        <v>01309940012</v>
      </c>
      <c r="C1976" t="s">
        <v>2330</v>
      </c>
      <c r="D1976" t="s">
        <v>604</v>
      </c>
      <c r="E1976">
        <v>84</v>
      </c>
      <c r="F1976">
        <v>5998</v>
      </c>
      <c r="G1976" t="s">
        <v>2064</v>
      </c>
      <c r="H1976" t="s">
        <v>44</v>
      </c>
      <c r="I1976" t="s">
        <v>45</v>
      </c>
      <c r="J1976" t="s">
        <v>44</v>
      </c>
      <c r="K1976" t="s">
        <v>45</v>
      </c>
      <c r="L1976">
        <v>8</v>
      </c>
      <c r="M1976">
        <v>69243</v>
      </c>
      <c r="N1976" t="s">
        <v>46</v>
      </c>
    </row>
    <row r="1977" spans="1:14" x14ac:dyDescent="0.2">
      <c r="A1977" s="3">
        <f t="shared" si="32"/>
        <v>131100</v>
      </c>
      <c r="B1977" t="str">
        <f>"01311000004"</f>
        <v>01311000004</v>
      </c>
      <c r="C1977" t="s">
        <v>2331</v>
      </c>
      <c r="D1977" t="s">
        <v>36</v>
      </c>
      <c r="E1977">
        <v>84</v>
      </c>
      <c r="F1977">
        <v>2373</v>
      </c>
      <c r="G1977" t="s">
        <v>1085</v>
      </c>
      <c r="H1977" t="s">
        <v>44</v>
      </c>
      <c r="I1977" t="s">
        <v>45</v>
      </c>
      <c r="J1977" t="s">
        <v>44</v>
      </c>
      <c r="K1977" t="s">
        <v>45</v>
      </c>
      <c r="L1977">
        <v>8</v>
      </c>
      <c r="M1977">
        <v>95725</v>
      </c>
      <c r="N1977" t="s">
        <v>46</v>
      </c>
    </row>
    <row r="1978" spans="1:14" x14ac:dyDescent="0.2">
      <c r="A1978" s="3">
        <f t="shared" si="32"/>
        <v>131101</v>
      </c>
      <c r="B1978" t="str">
        <f>"01311010004"</f>
        <v>01311010004</v>
      </c>
      <c r="C1978" t="s">
        <v>2332</v>
      </c>
      <c r="D1978" t="s">
        <v>36</v>
      </c>
      <c r="E1978">
        <v>84</v>
      </c>
      <c r="F1978">
        <v>2373</v>
      </c>
      <c r="G1978" t="s">
        <v>1085</v>
      </c>
      <c r="H1978" t="s">
        <v>44</v>
      </c>
      <c r="I1978" t="s">
        <v>45</v>
      </c>
      <c r="J1978" t="s">
        <v>44</v>
      </c>
      <c r="K1978" t="s">
        <v>45</v>
      </c>
      <c r="L1978">
        <v>8</v>
      </c>
      <c r="M1978">
        <v>95720</v>
      </c>
      <c r="N1978" t="s">
        <v>46</v>
      </c>
    </row>
    <row r="1979" spans="1:14" x14ac:dyDescent="0.2">
      <c r="A1979" s="3">
        <f t="shared" si="32"/>
        <v>131111</v>
      </c>
      <c r="B1979" t="str">
        <f>"01311110004"</f>
        <v>01311110004</v>
      </c>
      <c r="C1979" t="s">
        <v>2333</v>
      </c>
      <c r="D1979" t="s">
        <v>36</v>
      </c>
      <c r="E1979">
        <v>84</v>
      </c>
      <c r="F1979">
        <v>2373</v>
      </c>
      <c r="G1979" t="s">
        <v>1085</v>
      </c>
      <c r="H1979" t="s">
        <v>44</v>
      </c>
      <c r="I1979" t="s">
        <v>45</v>
      </c>
      <c r="J1979" t="s">
        <v>44</v>
      </c>
      <c r="K1979" t="s">
        <v>45</v>
      </c>
      <c r="L1979">
        <v>8</v>
      </c>
      <c r="M1979">
        <v>70025</v>
      </c>
      <c r="N1979" t="s">
        <v>46</v>
      </c>
    </row>
    <row r="1980" spans="1:14" x14ac:dyDescent="0.2">
      <c r="A1980" s="3">
        <f t="shared" si="32"/>
        <v>131112</v>
      </c>
      <c r="B1980" t="str">
        <f>"01311120006"</f>
        <v>01311120006</v>
      </c>
      <c r="C1980" t="s">
        <v>2334</v>
      </c>
      <c r="D1980" t="s">
        <v>36</v>
      </c>
      <c r="E1980">
        <v>84</v>
      </c>
      <c r="F1980">
        <v>2373</v>
      </c>
      <c r="G1980" t="s">
        <v>1085</v>
      </c>
      <c r="H1980" t="s">
        <v>44</v>
      </c>
      <c r="I1980" t="s">
        <v>45</v>
      </c>
      <c r="J1980" t="s">
        <v>44</v>
      </c>
      <c r="K1980" t="s">
        <v>45</v>
      </c>
      <c r="L1980">
        <v>8</v>
      </c>
      <c r="M1980">
        <v>70032</v>
      </c>
      <c r="N1980" t="s">
        <v>46</v>
      </c>
    </row>
    <row r="1981" spans="1:14" x14ac:dyDescent="0.2">
      <c r="A1981" s="3">
        <f t="shared" si="32"/>
        <v>131113</v>
      </c>
      <c r="B1981" t="str">
        <f>"01311130004"</f>
        <v>01311130004</v>
      </c>
      <c r="C1981" t="s">
        <v>2335</v>
      </c>
      <c r="D1981" t="s">
        <v>36</v>
      </c>
      <c r="E1981">
        <v>84</v>
      </c>
      <c r="F1981">
        <v>2373</v>
      </c>
      <c r="G1981" t="s">
        <v>1085</v>
      </c>
      <c r="H1981" t="s">
        <v>44</v>
      </c>
      <c r="I1981" t="s">
        <v>45</v>
      </c>
      <c r="J1981" t="s">
        <v>44</v>
      </c>
      <c r="K1981" t="s">
        <v>45</v>
      </c>
      <c r="L1981">
        <v>8</v>
      </c>
      <c r="M1981">
        <v>95723</v>
      </c>
      <c r="N1981" t="s">
        <v>46</v>
      </c>
    </row>
    <row r="1982" spans="1:14" x14ac:dyDescent="0.2">
      <c r="A1982" s="3">
        <f t="shared" si="32"/>
        <v>131114</v>
      </c>
      <c r="B1982" t="str">
        <f>"01311140004"</f>
        <v>01311140004</v>
      </c>
      <c r="C1982" t="s">
        <v>2336</v>
      </c>
      <c r="D1982" t="s">
        <v>36</v>
      </c>
      <c r="E1982">
        <v>84</v>
      </c>
      <c r="F1982">
        <v>2373</v>
      </c>
      <c r="G1982" t="s">
        <v>1085</v>
      </c>
      <c r="H1982" t="s">
        <v>44</v>
      </c>
      <c r="I1982" t="s">
        <v>45</v>
      </c>
      <c r="J1982" t="s">
        <v>44</v>
      </c>
      <c r="K1982" t="s">
        <v>45</v>
      </c>
      <c r="L1982">
        <v>8</v>
      </c>
      <c r="M1982">
        <v>95729</v>
      </c>
      <c r="N1982" t="s">
        <v>46</v>
      </c>
    </row>
    <row r="1983" spans="1:14" x14ac:dyDescent="0.2">
      <c r="A1983" s="3">
        <f t="shared" si="32"/>
        <v>131115</v>
      </c>
      <c r="B1983" t="str">
        <f>"01311150004"</f>
        <v>01311150004</v>
      </c>
      <c r="C1983" t="s">
        <v>2337</v>
      </c>
      <c r="D1983" t="s">
        <v>36</v>
      </c>
      <c r="E1983">
        <v>84</v>
      </c>
      <c r="F1983">
        <v>2373</v>
      </c>
      <c r="G1983" t="s">
        <v>1085</v>
      </c>
      <c r="H1983" t="s">
        <v>44</v>
      </c>
      <c r="I1983" t="s">
        <v>45</v>
      </c>
      <c r="J1983" t="s">
        <v>44</v>
      </c>
      <c r="K1983" t="s">
        <v>45</v>
      </c>
      <c r="L1983">
        <v>8</v>
      </c>
      <c r="M1983">
        <v>95740</v>
      </c>
      <c r="N1983" t="s">
        <v>46</v>
      </c>
    </row>
    <row r="1984" spans="1:14" x14ac:dyDescent="0.2">
      <c r="A1984" s="3">
        <f t="shared" si="32"/>
        <v>131117</v>
      </c>
      <c r="B1984" t="str">
        <f>"01311170003"</f>
        <v>01311170003</v>
      </c>
      <c r="C1984" t="s">
        <v>2338</v>
      </c>
      <c r="D1984" t="s">
        <v>36</v>
      </c>
      <c r="E1984">
        <v>84</v>
      </c>
      <c r="F1984">
        <v>2373</v>
      </c>
      <c r="G1984" t="s">
        <v>1085</v>
      </c>
      <c r="H1984" t="s">
        <v>44</v>
      </c>
      <c r="I1984" t="s">
        <v>45</v>
      </c>
      <c r="J1984" t="s">
        <v>44</v>
      </c>
      <c r="K1984" t="s">
        <v>45</v>
      </c>
      <c r="L1984">
        <v>8</v>
      </c>
      <c r="M1984">
        <v>69248</v>
      </c>
      <c r="N1984" t="s">
        <v>46</v>
      </c>
    </row>
    <row r="1985" spans="1:14" x14ac:dyDescent="0.2">
      <c r="A1985" s="3">
        <f t="shared" si="32"/>
        <v>131118</v>
      </c>
      <c r="B1985" t="str">
        <f>"01311180001"</f>
        <v>01311180001</v>
      </c>
      <c r="C1985" t="s">
        <v>2339</v>
      </c>
      <c r="D1985" t="s">
        <v>52</v>
      </c>
      <c r="E1985">
        <v>84</v>
      </c>
      <c r="F1985">
        <v>2373</v>
      </c>
      <c r="G1985" t="s">
        <v>1085</v>
      </c>
      <c r="H1985" t="s">
        <v>44</v>
      </c>
      <c r="I1985" t="s">
        <v>45</v>
      </c>
      <c r="J1985" t="s">
        <v>44</v>
      </c>
      <c r="K1985" t="s">
        <v>45</v>
      </c>
      <c r="L1985">
        <v>6</v>
      </c>
      <c r="M1985">
        <v>2653</v>
      </c>
      <c r="N1985" t="s">
        <v>46</v>
      </c>
    </row>
    <row r="1986" spans="1:14" x14ac:dyDescent="0.2">
      <c r="A1986" s="3">
        <f t="shared" si="32"/>
        <v>131119</v>
      </c>
      <c r="B1986" t="str">
        <f>"01311190001"</f>
        <v>01311190001</v>
      </c>
      <c r="C1986" t="s">
        <v>2340</v>
      </c>
      <c r="D1986" t="s">
        <v>52</v>
      </c>
      <c r="E1986">
        <v>84</v>
      </c>
      <c r="F1986">
        <v>2373</v>
      </c>
      <c r="G1986" t="s">
        <v>1085</v>
      </c>
      <c r="H1986" t="s">
        <v>44</v>
      </c>
      <c r="I1986" t="s">
        <v>45</v>
      </c>
      <c r="J1986" t="s">
        <v>44</v>
      </c>
      <c r="K1986" t="s">
        <v>45</v>
      </c>
      <c r="L1986">
        <v>6</v>
      </c>
      <c r="M1986">
        <v>2654</v>
      </c>
      <c r="N1986" t="s">
        <v>46</v>
      </c>
    </row>
    <row r="1987" spans="1:14" x14ac:dyDescent="0.2">
      <c r="A1987" s="3">
        <f t="shared" si="32"/>
        <v>131120</v>
      </c>
      <c r="B1987" t="str">
        <f>"01311200001"</f>
        <v>01311200001</v>
      </c>
      <c r="C1987" t="s">
        <v>2341</v>
      </c>
      <c r="D1987" t="s">
        <v>52</v>
      </c>
      <c r="E1987">
        <v>84</v>
      </c>
      <c r="F1987">
        <v>2373</v>
      </c>
      <c r="G1987" t="s">
        <v>1085</v>
      </c>
      <c r="H1987" t="s">
        <v>44</v>
      </c>
      <c r="I1987" t="s">
        <v>45</v>
      </c>
      <c r="J1987" t="s">
        <v>44</v>
      </c>
      <c r="K1987" t="s">
        <v>45</v>
      </c>
      <c r="L1987">
        <v>6</v>
      </c>
      <c r="M1987">
        <v>2655</v>
      </c>
      <c r="N1987" t="s">
        <v>46</v>
      </c>
    </row>
    <row r="1988" spans="1:14" x14ac:dyDescent="0.2">
      <c r="A1988" s="3">
        <f t="shared" ref="A1988:A2051" si="33">(B1988-RIGHT(B1988,4))/10000</f>
        <v>131178</v>
      </c>
      <c r="B1988" t="str">
        <f>"01311780010"</f>
        <v>01311780010</v>
      </c>
      <c r="C1988" t="s">
        <v>2342</v>
      </c>
      <c r="D1988" t="s">
        <v>216</v>
      </c>
      <c r="E1988">
        <v>47</v>
      </c>
      <c r="F1988">
        <v>211</v>
      </c>
      <c r="G1988" t="s">
        <v>1976</v>
      </c>
      <c r="H1988">
        <v>9</v>
      </c>
      <c r="I1988" t="s">
        <v>25</v>
      </c>
      <c r="J1988">
        <v>7</v>
      </c>
      <c r="K1988" t="s">
        <v>25</v>
      </c>
      <c r="L1988">
        <v>8</v>
      </c>
      <c r="M1988">
        <v>72206</v>
      </c>
      <c r="N1988">
        <v>2</v>
      </c>
    </row>
    <row r="1989" spans="1:14" x14ac:dyDescent="0.2">
      <c r="A1989" s="3">
        <f t="shared" si="33"/>
        <v>131234</v>
      </c>
      <c r="B1989" t="str">
        <f>"01312340012"</f>
        <v>01312340012</v>
      </c>
      <c r="C1989" t="s">
        <v>2343</v>
      </c>
      <c r="D1989" t="s">
        <v>52</v>
      </c>
      <c r="E1989">
        <v>13</v>
      </c>
      <c r="F1989">
        <v>526</v>
      </c>
      <c r="G1989" t="s">
        <v>2344</v>
      </c>
      <c r="H1989" t="s">
        <v>44</v>
      </c>
      <c r="I1989" t="s">
        <v>45</v>
      </c>
      <c r="J1989" t="s">
        <v>44</v>
      </c>
      <c r="K1989" t="s">
        <v>45</v>
      </c>
      <c r="L1989">
        <v>6</v>
      </c>
      <c r="M1989" t="s">
        <v>65</v>
      </c>
      <c r="N1989" t="s">
        <v>46</v>
      </c>
    </row>
    <row r="1990" spans="1:14" x14ac:dyDescent="0.2">
      <c r="A1990" s="3">
        <f t="shared" si="33"/>
        <v>131268</v>
      </c>
      <c r="B1990" t="str">
        <f>"01312680001"</f>
        <v>01312680001</v>
      </c>
      <c r="C1990" t="s">
        <v>2345</v>
      </c>
      <c r="D1990" t="s">
        <v>52</v>
      </c>
      <c r="E1990">
        <v>12</v>
      </c>
      <c r="F1990">
        <v>3694</v>
      </c>
      <c r="G1990" t="s">
        <v>1614</v>
      </c>
      <c r="H1990" t="s">
        <v>44</v>
      </c>
      <c r="I1990" t="s">
        <v>45</v>
      </c>
      <c r="J1990" t="s">
        <v>44</v>
      </c>
      <c r="K1990" t="s">
        <v>45</v>
      </c>
      <c r="L1990">
        <v>5</v>
      </c>
      <c r="M1990" t="s">
        <v>65</v>
      </c>
      <c r="N1990" t="s">
        <v>46</v>
      </c>
    </row>
    <row r="1991" spans="1:14" x14ac:dyDescent="0.2">
      <c r="A1991" s="3">
        <f t="shared" si="33"/>
        <v>131271</v>
      </c>
      <c r="B1991" t="str">
        <f>"01312710001"</f>
        <v>01312710001</v>
      </c>
      <c r="C1991" t="s">
        <v>2346</v>
      </c>
      <c r="D1991" t="s">
        <v>52</v>
      </c>
      <c r="E1991">
        <v>12</v>
      </c>
      <c r="F1991">
        <v>3694</v>
      </c>
      <c r="G1991" t="s">
        <v>1614</v>
      </c>
      <c r="H1991" t="s">
        <v>44</v>
      </c>
      <c r="I1991" t="s">
        <v>45</v>
      </c>
      <c r="J1991" t="s">
        <v>44</v>
      </c>
      <c r="K1991" t="s">
        <v>45</v>
      </c>
      <c r="L1991">
        <v>5</v>
      </c>
      <c r="M1991" t="s">
        <v>65</v>
      </c>
      <c r="N1991" t="s">
        <v>46</v>
      </c>
    </row>
    <row r="1992" spans="1:14" x14ac:dyDescent="0.2">
      <c r="A1992" s="3">
        <f t="shared" si="33"/>
        <v>131271</v>
      </c>
      <c r="B1992" t="str">
        <f>"01312710013"</f>
        <v>01312710013</v>
      </c>
      <c r="C1992" t="s">
        <v>2346</v>
      </c>
      <c r="D1992" t="s">
        <v>52</v>
      </c>
      <c r="E1992">
        <v>12</v>
      </c>
      <c r="F1992">
        <v>3694</v>
      </c>
      <c r="G1992" t="s">
        <v>1614</v>
      </c>
      <c r="H1992" t="s">
        <v>44</v>
      </c>
      <c r="I1992" t="s">
        <v>45</v>
      </c>
      <c r="J1992" t="s">
        <v>44</v>
      </c>
      <c r="K1992" t="s">
        <v>45</v>
      </c>
      <c r="L1992">
        <v>6</v>
      </c>
      <c r="M1992">
        <v>93375</v>
      </c>
      <c r="N1992" t="s">
        <v>46</v>
      </c>
    </row>
    <row r="1993" spans="1:14" x14ac:dyDescent="0.2">
      <c r="A1993" s="3">
        <f t="shared" si="33"/>
        <v>131273</v>
      </c>
      <c r="B1993" t="str">
        <f>"01312730001"</f>
        <v>01312730001</v>
      </c>
      <c r="C1993" t="s">
        <v>2347</v>
      </c>
      <c r="D1993" t="s">
        <v>52</v>
      </c>
      <c r="E1993">
        <v>12</v>
      </c>
      <c r="F1993">
        <v>2237</v>
      </c>
      <c r="G1993" t="s">
        <v>1576</v>
      </c>
      <c r="H1993" t="s">
        <v>44</v>
      </c>
      <c r="I1993" t="s">
        <v>45</v>
      </c>
      <c r="J1993" t="s">
        <v>44</v>
      </c>
      <c r="K1993" t="s">
        <v>45</v>
      </c>
      <c r="L1993">
        <v>5</v>
      </c>
      <c r="M1993" t="s">
        <v>65</v>
      </c>
      <c r="N1993" t="s">
        <v>46</v>
      </c>
    </row>
    <row r="1994" spans="1:14" x14ac:dyDescent="0.2">
      <c r="A1994" s="3">
        <f t="shared" si="33"/>
        <v>131276</v>
      </c>
      <c r="B1994" t="str">
        <f>"01312760022"</f>
        <v>01312760022</v>
      </c>
      <c r="C1994" t="s">
        <v>2348</v>
      </c>
      <c r="D1994" t="s">
        <v>52</v>
      </c>
      <c r="E1994">
        <v>12</v>
      </c>
      <c r="F1994">
        <v>2061</v>
      </c>
      <c r="G1994" t="s">
        <v>1552</v>
      </c>
      <c r="H1994" t="s">
        <v>44</v>
      </c>
      <c r="I1994" t="s">
        <v>45</v>
      </c>
      <c r="J1994" t="s">
        <v>44</v>
      </c>
      <c r="K1994" t="s">
        <v>45</v>
      </c>
      <c r="L1994">
        <v>5</v>
      </c>
      <c r="M1994">
        <v>93369</v>
      </c>
      <c r="N1994" t="s">
        <v>46</v>
      </c>
    </row>
    <row r="1995" spans="1:14" x14ac:dyDescent="0.2">
      <c r="A1995" s="3">
        <f t="shared" si="33"/>
        <v>131314</v>
      </c>
      <c r="B1995" t="str">
        <f>"01313140016"</f>
        <v>01313140016</v>
      </c>
      <c r="C1995" t="s">
        <v>2349</v>
      </c>
      <c r="D1995" t="s">
        <v>52</v>
      </c>
      <c r="E1995">
        <v>20</v>
      </c>
      <c r="F1995">
        <v>8086</v>
      </c>
      <c r="G1995" t="s">
        <v>290</v>
      </c>
      <c r="H1995">
        <v>12</v>
      </c>
      <c r="I1995" t="s">
        <v>25</v>
      </c>
      <c r="J1995">
        <v>9</v>
      </c>
      <c r="K1995" t="s">
        <v>25</v>
      </c>
      <c r="L1995">
        <v>6</v>
      </c>
      <c r="M1995">
        <v>99149</v>
      </c>
      <c r="N1995">
        <v>3</v>
      </c>
    </row>
    <row r="1996" spans="1:14" x14ac:dyDescent="0.2">
      <c r="A1996" s="3">
        <f t="shared" si="33"/>
        <v>131355</v>
      </c>
      <c r="B1996" t="str">
        <f>"01313550012"</f>
        <v>01313550012</v>
      </c>
      <c r="C1996" t="s">
        <v>2350</v>
      </c>
      <c r="D1996" t="s">
        <v>686</v>
      </c>
      <c r="E1996">
        <v>47</v>
      </c>
      <c r="F1996">
        <v>1417</v>
      </c>
      <c r="G1996" t="s">
        <v>687</v>
      </c>
      <c r="H1996">
        <v>7</v>
      </c>
      <c r="I1996" t="s">
        <v>25</v>
      </c>
      <c r="J1996">
        <v>5</v>
      </c>
      <c r="K1996" t="s">
        <v>25</v>
      </c>
      <c r="L1996">
        <v>8</v>
      </c>
      <c r="M1996">
        <v>76100</v>
      </c>
      <c r="N1996">
        <v>2</v>
      </c>
    </row>
    <row r="1997" spans="1:14" x14ac:dyDescent="0.2">
      <c r="A1997" s="3">
        <f t="shared" si="33"/>
        <v>131393</v>
      </c>
      <c r="B1997" t="str">
        <f>"01313930008"</f>
        <v>01313930008</v>
      </c>
      <c r="C1997" t="s">
        <v>2351</v>
      </c>
      <c r="D1997" t="s">
        <v>70</v>
      </c>
      <c r="E1997">
        <v>30</v>
      </c>
      <c r="F1997">
        <v>540</v>
      </c>
      <c r="G1997" t="s">
        <v>2078</v>
      </c>
      <c r="H1997">
        <v>17</v>
      </c>
      <c r="I1997" t="s">
        <v>34</v>
      </c>
      <c r="J1997">
        <v>11</v>
      </c>
      <c r="K1997" t="s">
        <v>34</v>
      </c>
      <c r="L1997">
        <v>8</v>
      </c>
      <c r="M1997">
        <v>82190</v>
      </c>
      <c r="N1997">
        <v>6</v>
      </c>
    </row>
    <row r="1998" spans="1:14" x14ac:dyDescent="0.2">
      <c r="A1998" s="3">
        <f t="shared" si="33"/>
        <v>131497</v>
      </c>
      <c r="B1998" t="str">
        <f>"01314970024"</f>
        <v>01314970024</v>
      </c>
      <c r="C1998" t="s">
        <v>2352</v>
      </c>
      <c r="D1998" t="s">
        <v>604</v>
      </c>
      <c r="E1998">
        <v>83</v>
      </c>
      <c r="F1998">
        <v>1515</v>
      </c>
      <c r="G1998" t="s">
        <v>1655</v>
      </c>
      <c r="H1998" t="s">
        <v>44</v>
      </c>
      <c r="I1998" t="s">
        <v>45</v>
      </c>
      <c r="J1998" t="s">
        <v>44</v>
      </c>
      <c r="K1998" t="s">
        <v>45</v>
      </c>
      <c r="L1998">
        <v>8</v>
      </c>
      <c r="M1998">
        <v>69016</v>
      </c>
      <c r="N1998" t="s">
        <v>46</v>
      </c>
    </row>
    <row r="1999" spans="1:14" x14ac:dyDescent="0.2">
      <c r="A1999" s="3">
        <f t="shared" si="33"/>
        <v>131622</v>
      </c>
      <c r="B1999" t="str">
        <f>"01316220004"</f>
        <v>01316220004</v>
      </c>
      <c r="C1999" t="s">
        <v>2353</v>
      </c>
      <c r="D1999" t="s">
        <v>622</v>
      </c>
      <c r="E1999">
        <v>46</v>
      </c>
      <c r="F1999">
        <v>1205</v>
      </c>
      <c r="G1999" t="s">
        <v>325</v>
      </c>
      <c r="H1999">
        <v>8</v>
      </c>
      <c r="I1999" t="s">
        <v>25</v>
      </c>
      <c r="J1999">
        <v>6</v>
      </c>
      <c r="K1999" t="s">
        <v>25</v>
      </c>
      <c r="L1999">
        <v>8</v>
      </c>
      <c r="M1999">
        <v>73215</v>
      </c>
      <c r="N1999">
        <v>2</v>
      </c>
    </row>
    <row r="2000" spans="1:14" x14ac:dyDescent="0.2">
      <c r="A2000" s="3">
        <f t="shared" si="33"/>
        <v>131624</v>
      </c>
      <c r="B2000" t="str">
        <f>"01316240004"</f>
        <v>01316240004</v>
      </c>
      <c r="C2000" t="s">
        <v>2354</v>
      </c>
      <c r="D2000" t="s">
        <v>622</v>
      </c>
      <c r="E2000">
        <v>46</v>
      </c>
      <c r="F2000">
        <v>1205</v>
      </c>
      <c r="G2000" t="s">
        <v>325</v>
      </c>
      <c r="H2000">
        <v>8</v>
      </c>
      <c r="I2000" t="s">
        <v>25</v>
      </c>
      <c r="J2000">
        <v>6</v>
      </c>
      <c r="K2000" t="s">
        <v>25</v>
      </c>
      <c r="L2000">
        <v>8</v>
      </c>
      <c r="M2000">
        <v>73204</v>
      </c>
      <c r="N2000">
        <v>2</v>
      </c>
    </row>
    <row r="2001" spans="1:14" x14ac:dyDescent="0.2">
      <c r="A2001" s="3">
        <f t="shared" si="33"/>
        <v>131627</v>
      </c>
      <c r="B2001" t="str">
        <f>"01316270004"</f>
        <v>01316270004</v>
      </c>
      <c r="C2001" t="s">
        <v>2355</v>
      </c>
      <c r="D2001" t="s">
        <v>622</v>
      </c>
      <c r="E2001">
        <v>46</v>
      </c>
      <c r="F2001">
        <v>1205</v>
      </c>
      <c r="G2001" t="s">
        <v>325</v>
      </c>
      <c r="H2001">
        <v>8</v>
      </c>
      <c r="I2001" t="s">
        <v>25</v>
      </c>
      <c r="J2001">
        <v>6</v>
      </c>
      <c r="K2001" t="s">
        <v>25</v>
      </c>
      <c r="L2001">
        <v>8</v>
      </c>
      <c r="M2001">
        <v>73208</v>
      </c>
      <c r="N2001">
        <v>2</v>
      </c>
    </row>
    <row r="2002" spans="1:14" x14ac:dyDescent="0.2">
      <c r="A2002" s="3">
        <f t="shared" si="33"/>
        <v>131753</v>
      </c>
      <c r="B2002" t="str">
        <f>"01317530001"</f>
        <v>01317530001</v>
      </c>
      <c r="C2002" t="s">
        <v>2356</v>
      </c>
      <c r="D2002" t="s">
        <v>52</v>
      </c>
      <c r="E2002">
        <v>12</v>
      </c>
      <c r="F2002">
        <v>2237</v>
      </c>
      <c r="G2002" t="s">
        <v>1576</v>
      </c>
      <c r="H2002" t="s">
        <v>44</v>
      </c>
      <c r="I2002" t="s">
        <v>45</v>
      </c>
      <c r="J2002" t="s">
        <v>44</v>
      </c>
      <c r="K2002" t="s">
        <v>45</v>
      </c>
      <c r="L2002">
        <v>5</v>
      </c>
      <c r="M2002" t="s">
        <v>65</v>
      </c>
      <c r="N2002" t="s">
        <v>46</v>
      </c>
    </row>
    <row r="2003" spans="1:14" x14ac:dyDescent="0.2">
      <c r="A2003" s="3">
        <f t="shared" si="33"/>
        <v>131930</v>
      </c>
      <c r="B2003" t="str">
        <f>"01319300024"</f>
        <v>01319300024</v>
      </c>
      <c r="C2003" t="s">
        <v>2357</v>
      </c>
      <c r="D2003" t="s">
        <v>42</v>
      </c>
      <c r="E2003">
        <v>50</v>
      </c>
      <c r="F2003">
        <v>3647</v>
      </c>
      <c r="G2003" t="s">
        <v>467</v>
      </c>
      <c r="H2003">
        <v>32</v>
      </c>
      <c r="I2003" t="s">
        <v>25</v>
      </c>
      <c r="J2003">
        <v>26</v>
      </c>
      <c r="K2003" t="s">
        <v>25</v>
      </c>
      <c r="L2003">
        <v>8</v>
      </c>
      <c r="M2003">
        <v>65170</v>
      </c>
      <c r="N2003">
        <v>6</v>
      </c>
    </row>
    <row r="2004" spans="1:14" x14ac:dyDescent="0.2">
      <c r="A2004" s="3">
        <f t="shared" si="33"/>
        <v>132041</v>
      </c>
      <c r="B2004" t="str">
        <f>"01320410012"</f>
        <v>01320410012</v>
      </c>
      <c r="C2004" t="s">
        <v>2358</v>
      </c>
      <c r="D2004" t="s">
        <v>216</v>
      </c>
      <c r="E2004">
        <v>72</v>
      </c>
      <c r="F2004">
        <v>1128</v>
      </c>
      <c r="G2004" t="s">
        <v>1719</v>
      </c>
      <c r="H2004">
        <v>42</v>
      </c>
      <c r="I2004" t="s">
        <v>34</v>
      </c>
      <c r="J2004">
        <v>32</v>
      </c>
      <c r="K2004" t="s">
        <v>34</v>
      </c>
      <c r="L2004">
        <v>8</v>
      </c>
      <c r="M2004">
        <v>76191</v>
      </c>
      <c r="N2004">
        <v>10</v>
      </c>
    </row>
    <row r="2005" spans="1:14" x14ac:dyDescent="0.2">
      <c r="A2005" s="3">
        <f t="shared" si="33"/>
        <v>132114</v>
      </c>
      <c r="B2005" t="str">
        <f>"01321140036"</f>
        <v>01321140036</v>
      </c>
      <c r="C2005" t="s">
        <v>2359</v>
      </c>
      <c r="D2005" t="s">
        <v>320</v>
      </c>
      <c r="E2005">
        <v>74</v>
      </c>
      <c r="F2005">
        <v>8086</v>
      </c>
      <c r="G2005" t="s">
        <v>290</v>
      </c>
      <c r="H2005">
        <v>9</v>
      </c>
      <c r="I2005" t="s">
        <v>25</v>
      </c>
      <c r="J2005">
        <v>7</v>
      </c>
      <c r="K2005" t="s">
        <v>25</v>
      </c>
      <c r="L2005">
        <v>8</v>
      </c>
      <c r="M2005">
        <v>86054</v>
      </c>
      <c r="N2005">
        <v>1</v>
      </c>
    </row>
    <row r="2006" spans="1:14" x14ac:dyDescent="0.2">
      <c r="A2006" s="3">
        <f t="shared" si="33"/>
        <v>132114</v>
      </c>
      <c r="B2006" t="str">
        <f>"01321140036"</f>
        <v>01321140036</v>
      </c>
      <c r="C2006" t="s">
        <v>2359</v>
      </c>
      <c r="D2006" t="s">
        <v>320</v>
      </c>
      <c r="E2006">
        <v>74</v>
      </c>
      <c r="F2006">
        <v>1087</v>
      </c>
      <c r="G2006" t="s">
        <v>2000</v>
      </c>
      <c r="H2006">
        <v>9</v>
      </c>
      <c r="I2006" t="s">
        <v>25</v>
      </c>
      <c r="J2006">
        <v>7</v>
      </c>
      <c r="K2006" t="s">
        <v>25</v>
      </c>
      <c r="L2006">
        <v>8</v>
      </c>
      <c r="M2006">
        <v>86054</v>
      </c>
      <c r="N2006">
        <v>1</v>
      </c>
    </row>
    <row r="2007" spans="1:14" x14ac:dyDescent="0.2">
      <c r="A2007" s="3">
        <f t="shared" si="33"/>
        <v>132312</v>
      </c>
      <c r="B2007" t="str">
        <f>"01323120024"</f>
        <v>01323120024</v>
      </c>
      <c r="C2007" t="s">
        <v>2360</v>
      </c>
      <c r="D2007" t="s">
        <v>543</v>
      </c>
      <c r="E2007">
        <v>82</v>
      </c>
      <c r="F2007">
        <v>3413</v>
      </c>
      <c r="G2007" t="s">
        <v>1069</v>
      </c>
      <c r="H2007" t="s">
        <v>44</v>
      </c>
      <c r="I2007" t="s">
        <v>45</v>
      </c>
      <c r="J2007" t="s">
        <v>44</v>
      </c>
      <c r="K2007" t="s">
        <v>45</v>
      </c>
      <c r="L2007">
        <v>8</v>
      </c>
      <c r="M2007">
        <v>70166</v>
      </c>
      <c r="N2007" t="s">
        <v>46</v>
      </c>
    </row>
    <row r="2008" spans="1:14" x14ac:dyDescent="0.2">
      <c r="A2008" s="3">
        <f t="shared" si="33"/>
        <v>132650</v>
      </c>
      <c r="B2008" t="str">
        <f>"01326500024"</f>
        <v>01326500024</v>
      </c>
      <c r="C2008" t="s">
        <v>2361</v>
      </c>
      <c r="D2008" t="s">
        <v>42</v>
      </c>
      <c r="E2008">
        <v>83</v>
      </c>
      <c r="F2008">
        <v>1463</v>
      </c>
      <c r="G2008" t="s">
        <v>1052</v>
      </c>
      <c r="H2008" t="s">
        <v>44</v>
      </c>
      <c r="I2008" t="s">
        <v>45</v>
      </c>
      <c r="J2008" t="s">
        <v>44</v>
      </c>
      <c r="K2008" t="s">
        <v>45</v>
      </c>
      <c r="L2008">
        <v>8</v>
      </c>
      <c r="M2008">
        <v>69001</v>
      </c>
      <c r="N2008" t="s">
        <v>46</v>
      </c>
    </row>
    <row r="2009" spans="1:14" x14ac:dyDescent="0.2">
      <c r="A2009" s="3">
        <f t="shared" si="33"/>
        <v>132674</v>
      </c>
      <c r="B2009" t="str">
        <f>"01326740010"</f>
        <v>01326740010</v>
      </c>
      <c r="C2009" t="s">
        <v>2362</v>
      </c>
      <c r="D2009" t="s">
        <v>115</v>
      </c>
      <c r="E2009">
        <v>70</v>
      </c>
      <c r="F2009">
        <v>1890</v>
      </c>
      <c r="G2009" t="s">
        <v>1410</v>
      </c>
      <c r="H2009">
        <v>90</v>
      </c>
      <c r="I2009" t="s">
        <v>34</v>
      </c>
      <c r="J2009">
        <v>69</v>
      </c>
      <c r="K2009" t="s">
        <v>34</v>
      </c>
      <c r="L2009">
        <v>6</v>
      </c>
      <c r="M2009">
        <v>66241</v>
      </c>
      <c r="N2009">
        <v>21</v>
      </c>
    </row>
    <row r="2010" spans="1:14" x14ac:dyDescent="0.2">
      <c r="A2010" s="3">
        <f t="shared" si="33"/>
        <v>132682</v>
      </c>
      <c r="B2010" t="str">
        <f>"01326820006"</f>
        <v>01326820006</v>
      </c>
      <c r="C2010" t="s">
        <v>2363</v>
      </c>
      <c r="D2010" t="s">
        <v>386</v>
      </c>
      <c r="E2010">
        <v>60</v>
      </c>
      <c r="F2010">
        <v>1138</v>
      </c>
      <c r="G2010" t="s">
        <v>2364</v>
      </c>
      <c r="H2010" t="s">
        <v>44</v>
      </c>
      <c r="I2010" t="s">
        <v>45</v>
      </c>
      <c r="J2010" t="s">
        <v>44</v>
      </c>
      <c r="K2010" t="s">
        <v>45</v>
      </c>
      <c r="L2010">
        <v>8</v>
      </c>
      <c r="M2010">
        <v>61083</v>
      </c>
      <c r="N2010" t="s">
        <v>46</v>
      </c>
    </row>
    <row r="2011" spans="1:14" x14ac:dyDescent="0.2">
      <c r="A2011" s="3">
        <f t="shared" si="33"/>
        <v>132718</v>
      </c>
      <c r="B2011" t="str">
        <f>"01327180024"</f>
        <v>01327180024</v>
      </c>
      <c r="C2011" t="s">
        <v>2365</v>
      </c>
      <c r="D2011" t="s">
        <v>543</v>
      </c>
      <c r="E2011">
        <v>47</v>
      </c>
      <c r="F2011">
        <v>1478</v>
      </c>
      <c r="G2011" t="s">
        <v>2312</v>
      </c>
      <c r="H2011">
        <v>20</v>
      </c>
      <c r="I2011" t="s">
        <v>25</v>
      </c>
      <c r="J2011">
        <v>16</v>
      </c>
      <c r="K2011" t="s">
        <v>25</v>
      </c>
      <c r="L2011">
        <v>8</v>
      </c>
      <c r="M2011">
        <v>66093</v>
      </c>
      <c r="N2011">
        <v>4</v>
      </c>
    </row>
    <row r="2012" spans="1:14" x14ac:dyDescent="0.2">
      <c r="A2012" s="3">
        <f t="shared" si="33"/>
        <v>132741</v>
      </c>
      <c r="B2012" t="str">
        <f>"01327410012"</f>
        <v>01327410012</v>
      </c>
      <c r="C2012" t="s">
        <v>2366</v>
      </c>
      <c r="D2012" t="s">
        <v>32</v>
      </c>
      <c r="E2012">
        <v>31</v>
      </c>
      <c r="F2012">
        <v>4248</v>
      </c>
      <c r="G2012" t="s">
        <v>96</v>
      </c>
      <c r="H2012">
        <v>18</v>
      </c>
      <c r="I2012" t="s">
        <v>34</v>
      </c>
      <c r="J2012">
        <v>13</v>
      </c>
      <c r="K2012" t="s">
        <v>34</v>
      </c>
      <c r="L2012">
        <v>8</v>
      </c>
      <c r="M2012">
        <v>80115</v>
      </c>
      <c r="N2012">
        <v>5</v>
      </c>
    </row>
    <row r="2013" spans="1:14" x14ac:dyDescent="0.2">
      <c r="A2013" s="3">
        <f t="shared" si="33"/>
        <v>132742</v>
      </c>
      <c r="B2013" t="str">
        <f>"01327420004"</f>
        <v>01327420004</v>
      </c>
      <c r="C2013" t="s">
        <v>2367</v>
      </c>
      <c r="D2013" t="s">
        <v>604</v>
      </c>
      <c r="E2013">
        <v>81</v>
      </c>
      <c r="F2013">
        <v>641</v>
      </c>
      <c r="G2013" t="s">
        <v>770</v>
      </c>
      <c r="H2013" t="s">
        <v>44</v>
      </c>
      <c r="I2013" t="s">
        <v>45</v>
      </c>
      <c r="J2013" t="s">
        <v>44</v>
      </c>
      <c r="K2013" t="s">
        <v>45</v>
      </c>
      <c r="L2013">
        <v>8</v>
      </c>
      <c r="M2013">
        <v>69122</v>
      </c>
      <c r="N2013" t="s">
        <v>46</v>
      </c>
    </row>
    <row r="2014" spans="1:14" x14ac:dyDescent="0.2">
      <c r="A2014" s="3">
        <f t="shared" si="33"/>
        <v>132760</v>
      </c>
      <c r="B2014" t="str">
        <f>"01327600030"</f>
        <v>01327600030</v>
      </c>
      <c r="C2014" t="s">
        <v>2368</v>
      </c>
      <c r="D2014" t="s">
        <v>42</v>
      </c>
      <c r="E2014">
        <v>70</v>
      </c>
      <c r="F2014">
        <v>2405</v>
      </c>
      <c r="G2014" t="s">
        <v>609</v>
      </c>
      <c r="H2014">
        <v>6</v>
      </c>
      <c r="I2014" t="s">
        <v>25</v>
      </c>
      <c r="J2014">
        <v>4</v>
      </c>
      <c r="K2014" t="s">
        <v>25</v>
      </c>
      <c r="L2014">
        <v>6</v>
      </c>
      <c r="M2014">
        <v>72071</v>
      </c>
      <c r="N2014">
        <v>2</v>
      </c>
    </row>
    <row r="2015" spans="1:14" x14ac:dyDescent="0.2">
      <c r="A2015" s="3">
        <f t="shared" si="33"/>
        <v>132838</v>
      </c>
      <c r="B2015" t="str">
        <f>"01328380015"</f>
        <v>01328380015</v>
      </c>
      <c r="C2015" t="s">
        <v>1920</v>
      </c>
      <c r="D2015" t="s">
        <v>543</v>
      </c>
      <c r="E2015">
        <v>85</v>
      </c>
      <c r="F2015">
        <v>495</v>
      </c>
      <c r="G2015" t="s">
        <v>2369</v>
      </c>
      <c r="H2015" t="s">
        <v>44</v>
      </c>
      <c r="I2015" t="s">
        <v>45</v>
      </c>
      <c r="J2015" t="s">
        <v>44</v>
      </c>
      <c r="K2015" t="s">
        <v>45</v>
      </c>
      <c r="L2015">
        <v>8</v>
      </c>
      <c r="M2015">
        <v>73032</v>
      </c>
      <c r="N2015" t="s">
        <v>46</v>
      </c>
    </row>
    <row r="2016" spans="1:14" x14ac:dyDescent="0.2">
      <c r="A2016" s="3">
        <f t="shared" si="33"/>
        <v>133014</v>
      </c>
      <c r="B2016" t="str">
        <f>"01330140016"</f>
        <v>01330140016</v>
      </c>
      <c r="C2016" t="s">
        <v>2370</v>
      </c>
      <c r="D2016" t="s">
        <v>622</v>
      </c>
      <c r="E2016">
        <v>82</v>
      </c>
      <c r="F2016">
        <v>1224</v>
      </c>
      <c r="G2016" t="s">
        <v>1014</v>
      </c>
      <c r="H2016" t="s">
        <v>44</v>
      </c>
      <c r="I2016" t="s">
        <v>45</v>
      </c>
      <c r="J2016" t="s">
        <v>44</v>
      </c>
      <c r="K2016" t="s">
        <v>45</v>
      </c>
      <c r="L2016">
        <v>8</v>
      </c>
      <c r="M2016">
        <v>70168</v>
      </c>
      <c r="N2016" t="s">
        <v>46</v>
      </c>
    </row>
    <row r="2017" spans="1:14" x14ac:dyDescent="0.2">
      <c r="A2017" s="3">
        <f t="shared" si="33"/>
        <v>133026</v>
      </c>
      <c r="B2017" t="str">
        <f>"01330260016"</f>
        <v>01330260016</v>
      </c>
      <c r="C2017" t="s">
        <v>2371</v>
      </c>
      <c r="D2017" t="s">
        <v>622</v>
      </c>
      <c r="E2017">
        <v>82</v>
      </c>
      <c r="F2017">
        <v>1224</v>
      </c>
      <c r="G2017" t="s">
        <v>1014</v>
      </c>
      <c r="H2017" t="s">
        <v>44</v>
      </c>
      <c r="I2017" t="s">
        <v>45</v>
      </c>
      <c r="J2017" t="s">
        <v>44</v>
      </c>
      <c r="K2017" t="s">
        <v>45</v>
      </c>
      <c r="L2017">
        <v>8</v>
      </c>
      <c r="M2017">
        <v>70089</v>
      </c>
      <c r="N2017" t="s">
        <v>46</v>
      </c>
    </row>
    <row r="2018" spans="1:14" x14ac:dyDescent="0.2">
      <c r="A2018" s="3">
        <f t="shared" si="33"/>
        <v>133064</v>
      </c>
      <c r="B2018" t="str">
        <f>"01330640007"</f>
        <v>01330640007</v>
      </c>
      <c r="C2018" t="s">
        <v>2372</v>
      </c>
      <c r="D2018" t="s">
        <v>604</v>
      </c>
      <c r="E2018">
        <v>81</v>
      </c>
      <c r="F2018">
        <v>732</v>
      </c>
      <c r="G2018" t="s">
        <v>756</v>
      </c>
      <c r="H2018">
        <v>12</v>
      </c>
      <c r="I2018" t="s">
        <v>25</v>
      </c>
      <c r="J2018">
        <v>9</v>
      </c>
      <c r="K2018" t="s">
        <v>25</v>
      </c>
      <c r="L2018">
        <v>8</v>
      </c>
      <c r="M2018">
        <v>69184</v>
      </c>
      <c r="N2018">
        <v>3</v>
      </c>
    </row>
    <row r="2019" spans="1:14" x14ac:dyDescent="0.2">
      <c r="A2019" s="3">
        <f t="shared" si="33"/>
        <v>133116</v>
      </c>
      <c r="B2019" t="str">
        <f>"01331160016"</f>
        <v>01331160016</v>
      </c>
      <c r="C2019" t="s">
        <v>2373</v>
      </c>
      <c r="D2019" t="s">
        <v>289</v>
      </c>
      <c r="E2019">
        <v>20</v>
      </c>
      <c r="F2019">
        <v>8086</v>
      </c>
      <c r="G2019" t="s">
        <v>290</v>
      </c>
      <c r="H2019">
        <v>12</v>
      </c>
      <c r="I2019" t="s">
        <v>25</v>
      </c>
      <c r="J2019">
        <v>9</v>
      </c>
      <c r="K2019" t="s">
        <v>25</v>
      </c>
      <c r="L2019">
        <v>8</v>
      </c>
      <c r="M2019">
        <v>89049</v>
      </c>
      <c r="N2019">
        <v>3</v>
      </c>
    </row>
    <row r="2020" spans="1:14" x14ac:dyDescent="0.2">
      <c r="A2020" s="3">
        <f t="shared" si="33"/>
        <v>133116</v>
      </c>
      <c r="B2020" t="str">
        <f>"01331160016"</f>
        <v>01331160016</v>
      </c>
      <c r="C2020" t="s">
        <v>2373</v>
      </c>
      <c r="D2020" t="s">
        <v>289</v>
      </c>
      <c r="E2020">
        <v>20</v>
      </c>
      <c r="F2020">
        <v>236</v>
      </c>
      <c r="G2020" t="s">
        <v>2374</v>
      </c>
      <c r="H2020">
        <v>12</v>
      </c>
      <c r="I2020" t="s">
        <v>25</v>
      </c>
      <c r="J2020">
        <v>9</v>
      </c>
      <c r="K2020" t="s">
        <v>25</v>
      </c>
      <c r="L2020">
        <v>8</v>
      </c>
      <c r="M2020">
        <v>89049</v>
      </c>
      <c r="N2020">
        <v>3</v>
      </c>
    </row>
    <row r="2021" spans="1:14" x14ac:dyDescent="0.2">
      <c r="A2021" s="3">
        <f t="shared" si="33"/>
        <v>133222</v>
      </c>
      <c r="B2021" t="str">
        <f>"01332220008"</f>
        <v>01332220008</v>
      </c>
      <c r="C2021" t="s">
        <v>2375</v>
      </c>
      <c r="D2021" t="s">
        <v>70</v>
      </c>
      <c r="E2021">
        <v>31</v>
      </c>
      <c r="F2021">
        <v>8093</v>
      </c>
      <c r="G2021" t="s">
        <v>1639</v>
      </c>
      <c r="H2021">
        <v>30</v>
      </c>
      <c r="I2021" t="s">
        <v>34</v>
      </c>
      <c r="J2021">
        <v>20</v>
      </c>
      <c r="K2021" t="s">
        <v>34</v>
      </c>
      <c r="L2021">
        <v>8</v>
      </c>
      <c r="M2021">
        <v>80193</v>
      </c>
      <c r="N2021">
        <v>10</v>
      </c>
    </row>
    <row r="2022" spans="1:14" x14ac:dyDescent="0.2">
      <c r="A2022" s="3">
        <f t="shared" si="33"/>
        <v>133241</v>
      </c>
      <c r="B2022" t="str">
        <f>"01332410030"</f>
        <v>01332410030</v>
      </c>
      <c r="C2022" t="s">
        <v>2376</v>
      </c>
      <c r="D2022" t="s">
        <v>622</v>
      </c>
      <c r="E2022">
        <v>71</v>
      </c>
      <c r="F2022">
        <v>8052</v>
      </c>
      <c r="G2022" t="s">
        <v>642</v>
      </c>
      <c r="H2022">
        <v>15</v>
      </c>
      <c r="I2022" t="s">
        <v>25</v>
      </c>
      <c r="J2022">
        <v>11</v>
      </c>
      <c r="K2022" t="s">
        <v>25</v>
      </c>
      <c r="L2022">
        <v>8</v>
      </c>
      <c r="M2022">
        <v>72006</v>
      </c>
      <c r="N2022">
        <v>4</v>
      </c>
    </row>
    <row r="2023" spans="1:14" x14ac:dyDescent="0.2">
      <c r="A2023" s="3">
        <f t="shared" si="33"/>
        <v>133293</v>
      </c>
      <c r="B2023" t="str">
        <f>"01332930003"</f>
        <v>01332930003</v>
      </c>
      <c r="C2023" t="s">
        <v>2377</v>
      </c>
      <c r="D2023" t="s">
        <v>418</v>
      </c>
      <c r="E2023">
        <v>84</v>
      </c>
      <c r="F2023">
        <v>937</v>
      </c>
      <c r="G2023" t="s">
        <v>1949</v>
      </c>
      <c r="H2023" t="s">
        <v>44</v>
      </c>
      <c r="I2023" t="s">
        <v>45</v>
      </c>
      <c r="J2023" t="s">
        <v>44</v>
      </c>
      <c r="K2023" t="s">
        <v>45</v>
      </c>
      <c r="L2023">
        <v>8</v>
      </c>
      <c r="M2023">
        <v>71036</v>
      </c>
      <c r="N2023" t="s">
        <v>46</v>
      </c>
    </row>
    <row r="2024" spans="1:14" x14ac:dyDescent="0.2">
      <c r="A2024" s="3">
        <f t="shared" si="33"/>
        <v>133346</v>
      </c>
      <c r="B2024" t="str">
        <f>"01333460020"</f>
        <v>01333460020</v>
      </c>
      <c r="C2024" t="s">
        <v>2378</v>
      </c>
      <c r="D2024" t="s">
        <v>216</v>
      </c>
      <c r="E2024">
        <v>71</v>
      </c>
      <c r="F2024">
        <v>4366</v>
      </c>
      <c r="G2024" t="s">
        <v>625</v>
      </c>
      <c r="H2024">
        <v>150</v>
      </c>
      <c r="I2024" t="s">
        <v>34</v>
      </c>
      <c r="J2024">
        <v>118</v>
      </c>
      <c r="K2024" t="s">
        <v>34</v>
      </c>
      <c r="L2024">
        <v>8</v>
      </c>
      <c r="M2024">
        <v>74252</v>
      </c>
      <c r="N2024">
        <v>32</v>
      </c>
    </row>
    <row r="2025" spans="1:14" x14ac:dyDescent="0.2">
      <c r="A2025" s="3">
        <f t="shared" si="33"/>
        <v>133358</v>
      </c>
      <c r="B2025" t="str">
        <f>"01333580018"</f>
        <v>01333580018</v>
      </c>
      <c r="C2025" t="s">
        <v>2379</v>
      </c>
      <c r="D2025" t="s">
        <v>42</v>
      </c>
      <c r="E2025">
        <v>70</v>
      </c>
      <c r="F2025">
        <v>1647</v>
      </c>
      <c r="G2025" t="s">
        <v>557</v>
      </c>
      <c r="H2025">
        <v>6</v>
      </c>
      <c r="I2025" t="s">
        <v>25</v>
      </c>
      <c r="J2025">
        <v>4</v>
      </c>
      <c r="K2025" t="s">
        <v>25</v>
      </c>
      <c r="L2025">
        <v>8</v>
      </c>
      <c r="M2025">
        <v>74096</v>
      </c>
      <c r="N2025">
        <v>2</v>
      </c>
    </row>
    <row r="2026" spans="1:14" x14ac:dyDescent="0.2">
      <c r="A2026" s="3">
        <f t="shared" si="33"/>
        <v>133398</v>
      </c>
      <c r="B2026" t="str">
        <f>"01333980012"</f>
        <v>01333980012</v>
      </c>
      <c r="C2026" t="s">
        <v>2380</v>
      </c>
      <c r="D2026" t="s">
        <v>604</v>
      </c>
      <c r="E2026">
        <v>84</v>
      </c>
      <c r="F2026">
        <v>3640</v>
      </c>
      <c r="G2026" t="s">
        <v>1035</v>
      </c>
      <c r="H2026">
        <v>25</v>
      </c>
      <c r="I2026" t="s">
        <v>25</v>
      </c>
      <c r="J2026">
        <v>21</v>
      </c>
      <c r="K2026" t="s">
        <v>25</v>
      </c>
      <c r="L2026">
        <v>8</v>
      </c>
      <c r="M2026">
        <v>69237</v>
      </c>
      <c r="N2026">
        <v>4</v>
      </c>
    </row>
    <row r="2027" spans="1:14" x14ac:dyDescent="0.2">
      <c r="A2027" s="3">
        <f t="shared" si="33"/>
        <v>133489</v>
      </c>
      <c r="B2027" t="str">
        <f>"01334890024"</f>
        <v>01334890024</v>
      </c>
      <c r="C2027" t="s">
        <v>2381</v>
      </c>
      <c r="D2027" t="s">
        <v>604</v>
      </c>
      <c r="E2027">
        <v>84</v>
      </c>
      <c r="F2027">
        <v>3640</v>
      </c>
      <c r="G2027" t="s">
        <v>1035</v>
      </c>
      <c r="H2027" t="s">
        <v>44</v>
      </c>
      <c r="I2027" t="s">
        <v>45</v>
      </c>
      <c r="J2027" t="s">
        <v>44</v>
      </c>
      <c r="K2027" t="s">
        <v>45</v>
      </c>
      <c r="L2027">
        <v>8</v>
      </c>
      <c r="M2027">
        <v>70021</v>
      </c>
      <c r="N2027" t="s">
        <v>46</v>
      </c>
    </row>
    <row r="2028" spans="1:14" x14ac:dyDescent="0.2">
      <c r="A2028" s="3">
        <f t="shared" si="33"/>
        <v>133531</v>
      </c>
      <c r="B2028" t="str">
        <f>"01335310008"</f>
        <v>01335310008</v>
      </c>
      <c r="C2028" t="s">
        <v>2382</v>
      </c>
      <c r="D2028" t="s">
        <v>32</v>
      </c>
      <c r="E2028">
        <v>31</v>
      </c>
      <c r="F2028">
        <v>4248</v>
      </c>
      <c r="G2028" t="s">
        <v>96</v>
      </c>
      <c r="H2028">
        <v>22</v>
      </c>
      <c r="I2028" t="s">
        <v>34</v>
      </c>
      <c r="J2028">
        <v>16</v>
      </c>
      <c r="K2028" t="s">
        <v>34</v>
      </c>
      <c r="L2028">
        <v>8</v>
      </c>
      <c r="M2028">
        <v>80252</v>
      </c>
      <c r="N2028">
        <v>6</v>
      </c>
    </row>
    <row r="2029" spans="1:14" x14ac:dyDescent="0.2">
      <c r="A2029" s="3">
        <f t="shared" si="33"/>
        <v>133951</v>
      </c>
      <c r="B2029" t="str">
        <f>"01339510012"</f>
        <v>01339510012</v>
      </c>
      <c r="C2029" t="s">
        <v>2383</v>
      </c>
      <c r="D2029" t="s">
        <v>1339</v>
      </c>
      <c r="E2029">
        <v>84</v>
      </c>
      <c r="F2029">
        <v>3640</v>
      </c>
      <c r="G2029" t="s">
        <v>1035</v>
      </c>
      <c r="H2029">
        <v>25</v>
      </c>
      <c r="I2029" t="s">
        <v>25</v>
      </c>
      <c r="J2029">
        <v>21</v>
      </c>
      <c r="K2029" t="s">
        <v>25</v>
      </c>
      <c r="L2029">
        <v>6</v>
      </c>
      <c r="M2029">
        <v>2660</v>
      </c>
      <c r="N2029">
        <v>4</v>
      </c>
    </row>
    <row r="2030" spans="1:14" x14ac:dyDescent="0.2">
      <c r="A2030" s="3">
        <f t="shared" si="33"/>
        <v>134084</v>
      </c>
      <c r="B2030" t="str">
        <f>"01340840012"</f>
        <v>01340840012</v>
      </c>
      <c r="C2030" t="s">
        <v>2384</v>
      </c>
      <c r="D2030" t="s">
        <v>52</v>
      </c>
      <c r="E2030">
        <v>70</v>
      </c>
      <c r="F2030">
        <v>919</v>
      </c>
      <c r="G2030" t="s">
        <v>623</v>
      </c>
      <c r="H2030">
        <v>6</v>
      </c>
      <c r="I2030" t="s">
        <v>25</v>
      </c>
      <c r="J2030">
        <v>4</v>
      </c>
      <c r="K2030" t="s">
        <v>25</v>
      </c>
      <c r="L2030">
        <v>6</v>
      </c>
      <c r="M2030">
        <v>2656</v>
      </c>
      <c r="N2030">
        <v>2</v>
      </c>
    </row>
    <row r="2031" spans="1:14" x14ac:dyDescent="0.2">
      <c r="A2031" s="3">
        <f t="shared" si="33"/>
        <v>134137</v>
      </c>
      <c r="B2031" t="str">
        <f>"01341370024"</f>
        <v>01341370024</v>
      </c>
      <c r="C2031" t="s">
        <v>2385</v>
      </c>
      <c r="D2031" t="s">
        <v>543</v>
      </c>
      <c r="E2031">
        <v>46</v>
      </c>
      <c r="F2031">
        <v>1517</v>
      </c>
      <c r="G2031" t="s">
        <v>654</v>
      </c>
      <c r="H2031">
        <v>18</v>
      </c>
      <c r="I2031" t="s">
        <v>25</v>
      </c>
      <c r="J2031">
        <v>14</v>
      </c>
      <c r="K2031" t="s">
        <v>25</v>
      </c>
      <c r="L2031">
        <v>8</v>
      </c>
      <c r="M2031">
        <v>73225</v>
      </c>
      <c r="N2031">
        <v>4</v>
      </c>
    </row>
    <row r="2032" spans="1:14" x14ac:dyDescent="0.2">
      <c r="A2032" s="3">
        <f t="shared" si="33"/>
        <v>134245</v>
      </c>
      <c r="B2032" t="str">
        <f>"01342450012"</f>
        <v>01342450012</v>
      </c>
      <c r="C2032" t="s">
        <v>2386</v>
      </c>
      <c r="D2032" t="s">
        <v>42</v>
      </c>
      <c r="E2032">
        <v>46</v>
      </c>
      <c r="F2032">
        <v>902</v>
      </c>
      <c r="G2032" t="s">
        <v>651</v>
      </c>
      <c r="H2032">
        <v>9</v>
      </c>
      <c r="I2032" t="s">
        <v>25</v>
      </c>
      <c r="J2032">
        <v>7</v>
      </c>
      <c r="K2032" t="s">
        <v>25</v>
      </c>
      <c r="L2032">
        <v>8</v>
      </c>
      <c r="M2032">
        <v>73160</v>
      </c>
      <c r="N2032">
        <v>2</v>
      </c>
    </row>
    <row r="2033" spans="1:14" x14ac:dyDescent="0.2">
      <c r="A2033" s="3">
        <f t="shared" si="33"/>
        <v>134249</v>
      </c>
      <c r="B2033" t="str">
        <f>"01342490012"</f>
        <v>01342490012</v>
      </c>
      <c r="C2033" t="s">
        <v>2387</v>
      </c>
      <c r="D2033" t="s">
        <v>42</v>
      </c>
      <c r="E2033">
        <v>46</v>
      </c>
      <c r="F2033">
        <v>902</v>
      </c>
      <c r="G2033" t="s">
        <v>651</v>
      </c>
      <c r="H2033">
        <v>9</v>
      </c>
      <c r="I2033" t="s">
        <v>25</v>
      </c>
      <c r="J2033">
        <v>7</v>
      </c>
      <c r="K2033" t="s">
        <v>25</v>
      </c>
      <c r="L2033">
        <v>8</v>
      </c>
      <c r="M2033">
        <v>73182</v>
      </c>
      <c r="N2033">
        <v>2</v>
      </c>
    </row>
    <row r="2034" spans="1:14" x14ac:dyDescent="0.2">
      <c r="A2034" s="3">
        <f t="shared" si="33"/>
        <v>134260</v>
      </c>
      <c r="B2034" t="str">
        <f>"01342600012"</f>
        <v>01342600012</v>
      </c>
      <c r="C2034" t="s">
        <v>2388</v>
      </c>
      <c r="D2034" t="s">
        <v>42</v>
      </c>
      <c r="E2034">
        <v>46</v>
      </c>
      <c r="F2034">
        <v>902</v>
      </c>
      <c r="G2034" t="s">
        <v>651</v>
      </c>
      <c r="H2034">
        <v>9</v>
      </c>
      <c r="I2034" t="s">
        <v>25</v>
      </c>
      <c r="J2034">
        <v>7</v>
      </c>
      <c r="K2034" t="s">
        <v>25</v>
      </c>
      <c r="L2034">
        <v>8</v>
      </c>
      <c r="M2034">
        <v>73171</v>
      </c>
      <c r="N2034">
        <v>2</v>
      </c>
    </row>
    <row r="2035" spans="1:14" x14ac:dyDescent="0.2">
      <c r="A2035" s="3">
        <f t="shared" si="33"/>
        <v>134365</v>
      </c>
      <c r="B2035" t="str">
        <f>"01343650006"</f>
        <v>01343650006</v>
      </c>
      <c r="C2035" t="s">
        <v>2389</v>
      </c>
      <c r="D2035" t="s">
        <v>52</v>
      </c>
      <c r="E2035">
        <v>12</v>
      </c>
      <c r="F2035">
        <v>2237</v>
      </c>
      <c r="G2035" t="s">
        <v>1576</v>
      </c>
      <c r="H2035" t="s">
        <v>44</v>
      </c>
      <c r="I2035" t="s">
        <v>45</v>
      </c>
      <c r="J2035" t="s">
        <v>44</v>
      </c>
      <c r="K2035" t="s">
        <v>45</v>
      </c>
      <c r="L2035">
        <v>7</v>
      </c>
      <c r="M2035">
        <v>92947</v>
      </c>
      <c r="N2035" t="s">
        <v>46</v>
      </c>
    </row>
    <row r="2036" spans="1:14" x14ac:dyDescent="0.2">
      <c r="A2036" s="3">
        <f t="shared" si="33"/>
        <v>134414</v>
      </c>
      <c r="B2036" t="str">
        <f>"01344140012"</f>
        <v>01344140012</v>
      </c>
      <c r="C2036" t="s">
        <v>2390</v>
      </c>
      <c r="D2036" t="s">
        <v>421</v>
      </c>
      <c r="E2036">
        <v>52</v>
      </c>
      <c r="F2036">
        <v>3253</v>
      </c>
      <c r="G2036" t="s">
        <v>511</v>
      </c>
      <c r="H2036">
        <v>18</v>
      </c>
      <c r="I2036" t="s">
        <v>25</v>
      </c>
      <c r="J2036">
        <v>14</v>
      </c>
      <c r="K2036" t="s">
        <v>25</v>
      </c>
      <c r="L2036">
        <v>8</v>
      </c>
      <c r="M2036">
        <v>62241</v>
      </c>
      <c r="N2036">
        <v>4</v>
      </c>
    </row>
    <row r="2037" spans="1:14" x14ac:dyDescent="0.2">
      <c r="A2037" s="3">
        <f t="shared" si="33"/>
        <v>134415</v>
      </c>
      <c r="B2037" t="str">
        <f>"01344150012"</f>
        <v>01344150012</v>
      </c>
      <c r="C2037" t="s">
        <v>2391</v>
      </c>
      <c r="D2037" t="s">
        <v>421</v>
      </c>
      <c r="E2037">
        <v>52</v>
      </c>
      <c r="F2037">
        <v>3253</v>
      </c>
      <c r="G2037" t="s">
        <v>511</v>
      </c>
      <c r="H2037">
        <v>24</v>
      </c>
      <c r="I2037" t="s">
        <v>25</v>
      </c>
      <c r="J2037">
        <v>20</v>
      </c>
      <c r="K2037" t="s">
        <v>25</v>
      </c>
      <c r="L2037">
        <v>8</v>
      </c>
      <c r="M2037">
        <v>62245</v>
      </c>
      <c r="N2037">
        <v>4</v>
      </c>
    </row>
    <row r="2038" spans="1:14" x14ac:dyDescent="0.2">
      <c r="A2038" s="3">
        <f t="shared" si="33"/>
        <v>134425</v>
      </c>
      <c r="B2038" t="str">
        <f>"01344250036"</f>
        <v>01344250036</v>
      </c>
      <c r="C2038" t="s">
        <v>2392</v>
      </c>
      <c r="D2038" t="s">
        <v>622</v>
      </c>
      <c r="E2038">
        <v>71</v>
      </c>
      <c r="F2038">
        <v>4366</v>
      </c>
      <c r="G2038" t="s">
        <v>625</v>
      </c>
      <c r="H2038">
        <v>12</v>
      </c>
      <c r="I2038" t="s">
        <v>25</v>
      </c>
      <c r="J2038">
        <v>9</v>
      </c>
      <c r="K2038" t="s">
        <v>25</v>
      </c>
      <c r="L2038">
        <v>8</v>
      </c>
      <c r="M2038">
        <v>76050</v>
      </c>
      <c r="N2038">
        <v>3</v>
      </c>
    </row>
    <row r="2039" spans="1:14" x14ac:dyDescent="0.2">
      <c r="A2039" s="3">
        <f t="shared" si="33"/>
        <v>134431</v>
      </c>
      <c r="B2039" t="str">
        <f>"01344310024"</f>
        <v>01344310024</v>
      </c>
      <c r="C2039" t="s">
        <v>2393</v>
      </c>
      <c r="D2039" t="s">
        <v>543</v>
      </c>
      <c r="E2039">
        <v>46</v>
      </c>
      <c r="F2039">
        <v>1517</v>
      </c>
      <c r="G2039" t="s">
        <v>654</v>
      </c>
      <c r="H2039">
        <v>18</v>
      </c>
      <c r="I2039" t="s">
        <v>25</v>
      </c>
      <c r="J2039">
        <v>14</v>
      </c>
      <c r="K2039" t="s">
        <v>25</v>
      </c>
      <c r="L2039">
        <v>8</v>
      </c>
      <c r="M2039">
        <v>73237</v>
      </c>
      <c r="N2039">
        <v>4</v>
      </c>
    </row>
    <row r="2040" spans="1:14" x14ac:dyDescent="0.2">
      <c r="A2040" s="3">
        <f t="shared" si="33"/>
        <v>134828</v>
      </c>
      <c r="B2040" t="str">
        <f>"01348280010"</f>
        <v>01348280010</v>
      </c>
      <c r="C2040" t="s">
        <v>2394</v>
      </c>
      <c r="D2040" t="s">
        <v>289</v>
      </c>
      <c r="E2040">
        <v>20</v>
      </c>
      <c r="F2040">
        <v>8086</v>
      </c>
      <c r="G2040" t="s">
        <v>290</v>
      </c>
      <c r="H2040">
        <v>12</v>
      </c>
      <c r="I2040" t="s">
        <v>25</v>
      </c>
      <c r="J2040">
        <v>9</v>
      </c>
      <c r="K2040" t="s">
        <v>25</v>
      </c>
      <c r="L2040">
        <v>8</v>
      </c>
      <c r="M2040">
        <v>89018</v>
      </c>
      <c r="N2040">
        <v>3</v>
      </c>
    </row>
    <row r="2041" spans="1:14" x14ac:dyDescent="0.2">
      <c r="A2041" s="3">
        <f t="shared" si="33"/>
        <v>134828</v>
      </c>
      <c r="B2041" t="str">
        <f>"01348280010"</f>
        <v>01348280010</v>
      </c>
      <c r="C2041" t="s">
        <v>2394</v>
      </c>
      <c r="D2041" t="s">
        <v>289</v>
      </c>
      <c r="E2041">
        <v>20</v>
      </c>
      <c r="F2041">
        <v>2044</v>
      </c>
      <c r="G2041" t="s">
        <v>741</v>
      </c>
      <c r="H2041">
        <v>12</v>
      </c>
      <c r="I2041" t="s">
        <v>25</v>
      </c>
      <c r="J2041">
        <v>9</v>
      </c>
      <c r="K2041" t="s">
        <v>25</v>
      </c>
      <c r="L2041">
        <v>8</v>
      </c>
      <c r="M2041">
        <v>89018</v>
      </c>
      <c r="N2041">
        <v>3</v>
      </c>
    </row>
    <row r="2042" spans="1:14" x14ac:dyDescent="0.2">
      <c r="A2042" s="3">
        <f t="shared" si="33"/>
        <v>134829</v>
      </c>
      <c r="B2042" t="str">
        <f>"01348290010"</f>
        <v>01348290010</v>
      </c>
      <c r="C2042" t="s">
        <v>2395</v>
      </c>
      <c r="D2042" t="s">
        <v>289</v>
      </c>
      <c r="E2042">
        <v>20</v>
      </c>
      <c r="F2042">
        <v>8086</v>
      </c>
      <c r="G2042" t="s">
        <v>290</v>
      </c>
      <c r="H2042">
        <v>12</v>
      </c>
      <c r="I2042" t="s">
        <v>25</v>
      </c>
      <c r="J2042">
        <v>9</v>
      </c>
      <c r="K2042" t="s">
        <v>25</v>
      </c>
      <c r="L2042">
        <v>8</v>
      </c>
      <c r="M2042">
        <v>89024</v>
      </c>
      <c r="N2042">
        <v>3</v>
      </c>
    </row>
    <row r="2043" spans="1:14" x14ac:dyDescent="0.2">
      <c r="A2043" s="3">
        <f t="shared" si="33"/>
        <v>134829</v>
      </c>
      <c r="B2043" t="str">
        <f>"01348290010"</f>
        <v>01348290010</v>
      </c>
      <c r="C2043" t="s">
        <v>2395</v>
      </c>
      <c r="D2043" t="s">
        <v>289</v>
      </c>
      <c r="E2043">
        <v>20</v>
      </c>
      <c r="F2043">
        <v>2044</v>
      </c>
      <c r="G2043" t="s">
        <v>741</v>
      </c>
      <c r="H2043">
        <v>12</v>
      </c>
      <c r="I2043" t="s">
        <v>25</v>
      </c>
      <c r="J2043">
        <v>9</v>
      </c>
      <c r="K2043" t="s">
        <v>25</v>
      </c>
      <c r="L2043">
        <v>8</v>
      </c>
      <c r="M2043">
        <v>89024</v>
      </c>
      <c r="N2043">
        <v>3</v>
      </c>
    </row>
    <row r="2044" spans="1:14" x14ac:dyDescent="0.2">
      <c r="A2044" s="3">
        <f t="shared" si="33"/>
        <v>134830</v>
      </c>
      <c r="B2044" t="str">
        <f>"01348300010"</f>
        <v>01348300010</v>
      </c>
      <c r="C2044" t="s">
        <v>2396</v>
      </c>
      <c r="D2044" t="s">
        <v>289</v>
      </c>
      <c r="E2044">
        <v>20</v>
      </c>
      <c r="F2044">
        <v>8086</v>
      </c>
      <c r="G2044" t="s">
        <v>290</v>
      </c>
      <c r="H2044">
        <v>12</v>
      </c>
      <c r="I2044" t="s">
        <v>25</v>
      </c>
      <c r="J2044">
        <v>9</v>
      </c>
      <c r="K2044" t="s">
        <v>25</v>
      </c>
      <c r="L2044">
        <v>8</v>
      </c>
      <c r="M2044">
        <v>89017</v>
      </c>
      <c r="N2044">
        <v>3</v>
      </c>
    </row>
    <row r="2045" spans="1:14" x14ac:dyDescent="0.2">
      <c r="A2045" s="3">
        <f t="shared" si="33"/>
        <v>134830</v>
      </c>
      <c r="B2045" t="str">
        <f>"01348300010"</f>
        <v>01348300010</v>
      </c>
      <c r="C2045" t="s">
        <v>2396</v>
      </c>
      <c r="D2045" t="s">
        <v>289</v>
      </c>
      <c r="E2045">
        <v>20</v>
      </c>
      <c r="F2045">
        <v>2044</v>
      </c>
      <c r="G2045" t="s">
        <v>741</v>
      </c>
      <c r="H2045">
        <v>12</v>
      </c>
      <c r="I2045" t="s">
        <v>25</v>
      </c>
      <c r="J2045">
        <v>9</v>
      </c>
      <c r="K2045" t="s">
        <v>25</v>
      </c>
      <c r="L2045">
        <v>8</v>
      </c>
      <c r="M2045">
        <v>89017</v>
      </c>
      <c r="N2045">
        <v>3</v>
      </c>
    </row>
    <row r="2046" spans="1:14" x14ac:dyDescent="0.2">
      <c r="A2046" s="3">
        <f t="shared" si="33"/>
        <v>134891</v>
      </c>
      <c r="B2046" t="str">
        <f>"01348910010"</f>
        <v>01348910010</v>
      </c>
      <c r="C2046" t="s">
        <v>396</v>
      </c>
      <c r="D2046" t="s">
        <v>320</v>
      </c>
      <c r="E2046">
        <v>20</v>
      </c>
      <c r="F2046">
        <v>8086</v>
      </c>
      <c r="G2046" t="s">
        <v>290</v>
      </c>
      <c r="H2046">
        <v>10</v>
      </c>
      <c r="I2046" t="s">
        <v>25</v>
      </c>
      <c r="J2046">
        <v>7</v>
      </c>
      <c r="K2046" t="s">
        <v>25</v>
      </c>
      <c r="L2046">
        <v>8</v>
      </c>
      <c r="M2046">
        <v>87068</v>
      </c>
      <c r="N2046">
        <v>3</v>
      </c>
    </row>
    <row r="2047" spans="1:14" x14ac:dyDescent="0.2">
      <c r="A2047" s="3">
        <f t="shared" si="33"/>
        <v>134891</v>
      </c>
      <c r="B2047" t="str">
        <f>"01348910010"</f>
        <v>01348910010</v>
      </c>
      <c r="C2047" t="s">
        <v>396</v>
      </c>
      <c r="D2047" t="s">
        <v>320</v>
      </c>
      <c r="E2047">
        <v>20</v>
      </c>
      <c r="F2047">
        <v>3741</v>
      </c>
      <c r="G2047" t="s">
        <v>2036</v>
      </c>
      <c r="H2047">
        <v>10</v>
      </c>
      <c r="I2047" t="s">
        <v>25</v>
      </c>
      <c r="J2047">
        <v>7</v>
      </c>
      <c r="K2047" t="s">
        <v>25</v>
      </c>
      <c r="L2047">
        <v>8</v>
      </c>
      <c r="M2047">
        <v>87068</v>
      </c>
      <c r="N2047">
        <v>3</v>
      </c>
    </row>
    <row r="2048" spans="1:14" x14ac:dyDescent="0.2">
      <c r="A2048" s="3">
        <f t="shared" si="33"/>
        <v>134953</v>
      </c>
      <c r="B2048" t="str">
        <f>"01349530012"</f>
        <v>01349530012</v>
      </c>
      <c r="C2048" t="s">
        <v>2397</v>
      </c>
      <c r="D2048" t="s">
        <v>622</v>
      </c>
      <c r="E2048">
        <v>71</v>
      </c>
      <c r="F2048">
        <v>8052</v>
      </c>
      <c r="G2048" t="s">
        <v>642</v>
      </c>
      <c r="H2048">
        <v>9</v>
      </c>
      <c r="I2048" t="s">
        <v>25</v>
      </c>
      <c r="J2048">
        <v>7</v>
      </c>
      <c r="K2048" t="s">
        <v>25</v>
      </c>
      <c r="L2048">
        <v>8</v>
      </c>
      <c r="M2048">
        <v>72025</v>
      </c>
      <c r="N2048">
        <v>2</v>
      </c>
    </row>
    <row r="2049" spans="1:14" x14ac:dyDescent="0.2">
      <c r="A2049" s="3">
        <f t="shared" si="33"/>
        <v>135006</v>
      </c>
      <c r="B2049" t="str">
        <f>"01350060020"</f>
        <v>01350060020</v>
      </c>
      <c r="C2049" t="s">
        <v>2398</v>
      </c>
      <c r="D2049" t="s">
        <v>543</v>
      </c>
      <c r="E2049">
        <v>82</v>
      </c>
      <c r="F2049">
        <v>2442</v>
      </c>
      <c r="G2049" t="s">
        <v>2399</v>
      </c>
      <c r="H2049" t="s">
        <v>44</v>
      </c>
      <c r="I2049" t="s">
        <v>45</v>
      </c>
      <c r="J2049" t="s">
        <v>44</v>
      </c>
      <c r="K2049" t="s">
        <v>45</v>
      </c>
      <c r="L2049">
        <v>8</v>
      </c>
      <c r="M2049">
        <v>70223</v>
      </c>
      <c r="N2049" t="s">
        <v>46</v>
      </c>
    </row>
    <row r="2050" spans="1:14" x14ac:dyDescent="0.2">
      <c r="A2050" s="3">
        <f t="shared" si="33"/>
        <v>135106</v>
      </c>
      <c r="B2050" t="str">
        <f>"01351060013"</f>
        <v>01351060013</v>
      </c>
      <c r="C2050" t="s">
        <v>2400</v>
      </c>
      <c r="D2050" t="s">
        <v>622</v>
      </c>
      <c r="E2050">
        <v>82</v>
      </c>
      <c r="F2050">
        <v>1224</v>
      </c>
      <c r="G2050" t="s">
        <v>1014</v>
      </c>
      <c r="H2050" t="s">
        <v>44</v>
      </c>
      <c r="I2050" t="s">
        <v>45</v>
      </c>
      <c r="J2050" t="s">
        <v>44</v>
      </c>
      <c r="K2050" t="s">
        <v>45</v>
      </c>
      <c r="L2050">
        <v>8</v>
      </c>
      <c r="M2050">
        <v>70274</v>
      </c>
      <c r="N2050" t="s">
        <v>46</v>
      </c>
    </row>
    <row r="2051" spans="1:14" x14ac:dyDescent="0.2">
      <c r="A2051" s="3">
        <f t="shared" si="33"/>
        <v>135134</v>
      </c>
      <c r="B2051" t="str">
        <f>"01351340006"</f>
        <v>01351340006</v>
      </c>
      <c r="C2051" t="s">
        <v>2401</v>
      </c>
      <c r="D2051" t="s">
        <v>216</v>
      </c>
      <c r="E2051">
        <v>61</v>
      </c>
      <c r="F2051">
        <v>565</v>
      </c>
      <c r="G2051" t="s">
        <v>984</v>
      </c>
      <c r="H2051" t="s">
        <v>44</v>
      </c>
      <c r="I2051" t="s">
        <v>45</v>
      </c>
      <c r="J2051" t="s">
        <v>44</v>
      </c>
      <c r="K2051" t="s">
        <v>45</v>
      </c>
      <c r="L2051">
        <v>8</v>
      </c>
      <c r="M2051">
        <v>62025</v>
      </c>
      <c r="N2051" t="s">
        <v>46</v>
      </c>
    </row>
    <row r="2052" spans="1:14" x14ac:dyDescent="0.2">
      <c r="A2052" s="3">
        <f t="shared" ref="A2052:A2115" si="34">(B2052-RIGHT(B2052,4))/10000</f>
        <v>135242</v>
      </c>
      <c r="B2052" t="str">
        <f>"01352420020"</f>
        <v>01352420020</v>
      </c>
      <c r="C2052" t="s">
        <v>2402</v>
      </c>
      <c r="D2052" t="s">
        <v>604</v>
      </c>
      <c r="E2052">
        <v>82</v>
      </c>
      <c r="F2052">
        <v>907</v>
      </c>
      <c r="G2052" t="s">
        <v>1076</v>
      </c>
      <c r="H2052" t="s">
        <v>44</v>
      </c>
      <c r="I2052" t="s">
        <v>45</v>
      </c>
      <c r="J2052" t="s">
        <v>44</v>
      </c>
      <c r="K2052" t="s">
        <v>45</v>
      </c>
      <c r="L2052">
        <v>8</v>
      </c>
      <c r="M2052">
        <v>72256</v>
      </c>
      <c r="N2052" t="s">
        <v>46</v>
      </c>
    </row>
    <row r="2053" spans="1:14" x14ac:dyDescent="0.2">
      <c r="A2053" s="3">
        <f t="shared" si="34"/>
        <v>135389</v>
      </c>
      <c r="B2053" t="str">
        <f>"01353890012"</f>
        <v>01353890012</v>
      </c>
      <c r="C2053" t="s">
        <v>2403</v>
      </c>
      <c r="D2053" t="s">
        <v>622</v>
      </c>
      <c r="E2053">
        <v>71</v>
      </c>
      <c r="F2053">
        <v>8052</v>
      </c>
      <c r="G2053" t="s">
        <v>642</v>
      </c>
      <c r="H2053">
        <v>11</v>
      </c>
      <c r="I2053" t="s">
        <v>25</v>
      </c>
      <c r="J2053">
        <v>8</v>
      </c>
      <c r="K2053" t="s">
        <v>25</v>
      </c>
      <c r="L2053">
        <v>8</v>
      </c>
      <c r="M2053">
        <v>72014</v>
      </c>
      <c r="N2053">
        <v>3</v>
      </c>
    </row>
    <row r="2054" spans="1:14" x14ac:dyDescent="0.2">
      <c r="A2054" s="3">
        <f t="shared" si="34"/>
        <v>135636</v>
      </c>
      <c r="B2054" t="str">
        <f>"01356360010"</f>
        <v>01356360010</v>
      </c>
      <c r="C2054" t="s">
        <v>2404</v>
      </c>
      <c r="D2054" t="s">
        <v>686</v>
      </c>
      <c r="E2054">
        <v>47</v>
      </c>
      <c r="F2054">
        <v>1417</v>
      </c>
      <c r="G2054" t="s">
        <v>687</v>
      </c>
      <c r="H2054">
        <v>9</v>
      </c>
      <c r="I2054" t="s">
        <v>25</v>
      </c>
      <c r="J2054">
        <v>7</v>
      </c>
      <c r="K2054" t="s">
        <v>25</v>
      </c>
      <c r="L2054">
        <v>8</v>
      </c>
      <c r="M2054">
        <v>76085</v>
      </c>
      <c r="N2054">
        <v>2</v>
      </c>
    </row>
    <row r="2055" spans="1:14" x14ac:dyDescent="0.2">
      <c r="A2055" s="3">
        <f t="shared" si="34"/>
        <v>135638</v>
      </c>
      <c r="B2055" t="str">
        <f>"01356380012"</f>
        <v>01356380012</v>
      </c>
      <c r="C2055" t="s">
        <v>2405</v>
      </c>
      <c r="D2055" t="s">
        <v>686</v>
      </c>
      <c r="E2055">
        <v>47</v>
      </c>
      <c r="F2055">
        <v>1417</v>
      </c>
      <c r="G2055" t="s">
        <v>687</v>
      </c>
      <c r="H2055">
        <v>9</v>
      </c>
      <c r="I2055" t="s">
        <v>25</v>
      </c>
      <c r="J2055">
        <v>7</v>
      </c>
      <c r="K2055" t="s">
        <v>25</v>
      </c>
      <c r="L2055">
        <v>8</v>
      </c>
      <c r="M2055">
        <v>76089</v>
      </c>
      <c r="N2055">
        <v>2</v>
      </c>
    </row>
    <row r="2056" spans="1:14" x14ac:dyDescent="0.2">
      <c r="A2056" s="3">
        <f t="shared" si="34"/>
        <v>135639</v>
      </c>
      <c r="B2056" t="str">
        <f>"01356390010"</f>
        <v>01356390010</v>
      </c>
      <c r="C2056" t="s">
        <v>2406</v>
      </c>
      <c r="D2056" t="s">
        <v>686</v>
      </c>
      <c r="E2056">
        <v>47</v>
      </c>
      <c r="F2056">
        <v>1417</v>
      </c>
      <c r="G2056" t="s">
        <v>687</v>
      </c>
      <c r="H2056">
        <v>9</v>
      </c>
      <c r="I2056" t="s">
        <v>25</v>
      </c>
      <c r="J2056">
        <v>7</v>
      </c>
      <c r="K2056" t="s">
        <v>25</v>
      </c>
      <c r="L2056">
        <v>8</v>
      </c>
      <c r="M2056">
        <v>76094</v>
      </c>
      <c r="N2056">
        <v>2</v>
      </c>
    </row>
    <row r="2057" spans="1:14" x14ac:dyDescent="0.2">
      <c r="A2057" s="3">
        <f t="shared" si="34"/>
        <v>135788</v>
      </c>
      <c r="B2057" t="str">
        <f>"01357880012"</f>
        <v>01357880012</v>
      </c>
      <c r="C2057" t="s">
        <v>2407</v>
      </c>
      <c r="D2057" t="s">
        <v>52</v>
      </c>
      <c r="E2057">
        <v>20</v>
      </c>
      <c r="F2057">
        <v>8086</v>
      </c>
      <c r="G2057" t="s">
        <v>290</v>
      </c>
      <c r="H2057">
        <v>10</v>
      </c>
      <c r="I2057" t="s">
        <v>25</v>
      </c>
      <c r="J2057">
        <v>7</v>
      </c>
      <c r="K2057" t="s">
        <v>25</v>
      </c>
      <c r="L2057">
        <v>6</v>
      </c>
      <c r="M2057">
        <v>99823</v>
      </c>
      <c r="N2057">
        <v>3</v>
      </c>
    </row>
    <row r="2058" spans="1:14" x14ac:dyDescent="0.2">
      <c r="A2058" s="3">
        <f t="shared" si="34"/>
        <v>135788</v>
      </c>
      <c r="B2058" t="str">
        <f>"01357880012"</f>
        <v>01357880012</v>
      </c>
      <c r="C2058" t="s">
        <v>2407</v>
      </c>
      <c r="D2058" t="s">
        <v>52</v>
      </c>
      <c r="E2058">
        <v>20</v>
      </c>
      <c r="F2058">
        <v>540</v>
      </c>
      <c r="G2058" t="s">
        <v>2078</v>
      </c>
      <c r="H2058">
        <v>10</v>
      </c>
      <c r="I2058" t="s">
        <v>25</v>
      </c>
      <c r="J2058">
        <v>7</v>
      </c>
      <c r="K2058" t="s">
        <v>25</v>
      </c>
      <c r="L2058">
        <v>6</v>
      </c>
      <c r="M2058">
        <v>99823</v>
      </c>
      <c r="N2058">
        <v>3</v>
      </c>
    </row>
    <row r="2059" spans="1:14" x14ac:dyDescent="0.2">
      <c r="A2059" s="3">
        <f t="shared" si="34"/>
        <v>135864</v>
      </c>
      <c r="B2059" t="str">
        <f>"01358640030"</f>
        <v>01358640030</v>
      </c>
      <c r="C2059" t="s">
        <v>2408</v>
      </c>
      <c r="D2059" t="s">
        <v>543</v>
      </c>
      <c r="E2059">
        <v>44</v>
      </c>
      <c r="F2059">
        <v>637</v>
      </c>
      <c r="G2059" t="s">
        <v>2003</v>
      </c>
      <c r="H2059" t="s">
        <v>44</v>
      </c>
      <c r="I2059" t="s">
        <v>45</v>
      </c>
      <c r="J2059" t="s">
        <v>44</v>
      </c>
      <c r="K2059" t="s">
        <v>45</v>
      </c>
      <c r="L2059">
        <v>8</v>
      </c>
      <c r="M2059">
        <v>66027</v>
      </c>
      <c r="N2059" t="s">
        <v>46</v>
      </c>
    </row>
    <row r="2060" spans="1:14" x14ac:dyDescent="0.2">
      <c r="A2060" s="3">
        <f t="shared" si="34"/>
        <v>135923</v>
      </c>
      <c r="B2060" t="str">
        <f>"01359230014"</f>
        <v>01359230014</v>
      </c>
      <c r="C2060" t="s">
        <v>2409</v>
      </c>
      <c r="D2060" t="s">
        <v>543</v>
      </c>
      <c r="E2060">
        <v>44</v>
      </c>
      <c r="F2060">
        <v>4365</v>
      </c>
      <c r="G2060" t="s">
        <v>1690</v>
      </c>
      <c r="H2060" t="s">
        <v>44</v>
      </c>
      <c r="I2060" t="s">
        <v>45</v>
      </c>
      <c r="J2060" t="s">
        <v>44</v>
      </c>
      <c r="K2060" t="s">
        <v>45</v>
      </c>
      <c r="L2060">
        <v>8</v>
      </c>
      <c r="M2060">
        <v>66065</v>
      </c>
      <c r="N2060" t="s">
        <v>46</v>
      </c>
    </row>
    <row r="2061" spans="1:14" x14ac:dyDescent="0.2">
      <c r="A2061" s="3">
        <f t="shared" si="34"/>
        <v>135932</v>
      </c>
      <c r="B2061" t="str">
        <f>"01359320020"</f>
        <v>01359320020</v>
      </c>
      <c r="C2061" t="s">
        <v>2410</v>
      </c>
      <c r="D2061" t="s">
        <v>70</v>
      </c>
      <c r="E2061">
        <v>30</v>
      </c>
      <c r="F2061">
        <v>108</v>
      </c>
      <c r="G2061" t="s">
        <v>2411</v>
      </c>
      <c r="H2061">
        <v>72</v>
      </c>
      <c r="I2061" t="s">
        <v>34</v>
      </c>
      <c r="J2061">
        <v>57</v>
      </c>
      <c r="K2061" t="s">
        <v>34</v>
      </c>
      <c r="L2061">
        <v>8</v>
      </c>
      <c r="M2061">
        <v>83023</v>
      </c>
      <c r="N2061">
        <v>15</v>
      </c>
    </row>
    <row r="2062" spans="1:14" x14ac:dyDescent="0.2">
      <c r="A2062" s="3">
        <f t="shared" si="34"/>
        <v>135934</v>
      </c>
      <c r="B2062" t="str">
        <f>"01359340006"</f>
        <v>01359340006</v>
      </c>
      <c r="C2062" t="s">
        <v>2412</v>
      </c>
      <c r="D2062" t="s">
        <v>386</v>
      </c>
      <c r="E2062">
        <v>60</v>
      </c>
      <c r="F2062">
        <v>3767</v>
      </c>
      <c r="G2062" t="s">
        <v>917</v>
      </c>
      <c r="H2062" t="s">
        <v>44</v>
      </c>
      <c r="I2062" t="s">
        <v>45</v>
      </c>
      <c r="J2062" t="s">
        <v>44</v>
      </c>
      <c r="K2062" t="s">
        <v>45</v>
      </c>
      <c r="L2062">
        <v>8</v>
      </c>
      <c r="M2062">
        <v>61104</v>
      </c>
      <c r="N2062" t="s">
        <v>46</v>
      </c>
    </row>
    <row r="2063" spans="1:14" x14ac:dyDescent="0.2">
      <c r="A2063" s="3">
        <f t="shared" si="34"/>
        <v>135970</v>
      </c>
      <c r="B2063" t="str">
        <f>"01359700006"</f>
        <v>01359700006</v>
      </c>
      <c r="C2063" t="s">
        <v>2413</v>
      </c>
      <c r="D2063" t="s">
        <v>386</v>
      </c>
      <c r="E2063">
        <v>60</v>
      </c>
      <c r="F2063">
        <v>1341</v>
      </c>
      <c r="G2063" t="s">
        <v>904</v>
      </c>
      <c r="H2063" t="s">
        <v>44</v>
      </c>
      <c r="I2063" t="s">
        <v>45</v>
      </c>
      <c r="J2063" t="s">
        <v>44</v>
      </c>
      <c r="K2063" t="s">
        <v>45</v>
      </c>
      <c r="L2063">
        <v>8</v>
      </c>
      <c r="M2063">
        <v>61115</v>
      </c>
      <c r="N2063" t="s">
        <v>46</v>
      </c>
    </row>
    <row r="2064" spans="1:14" x14ac:dyDescent="0.2">
      <c r="A2064" s="3">
        <f t="shared" si="34"/>
        <v>135974</v>
      </c>
      <c r="B2064" t="str">
        <f>"01359740008"</f>
        <v>01359740008</v>
      </c>
      <c r="C2064" t="s">
        <v>2414</v>
      </c>
      <c r="D2064" t="s">
        <v>1344</v>
      </c>
      <c r="E2064">
        <v>62</v>
      </c>
      <c r="F2064">
        <v>2450</v>
      </c>
      <c r="G2064" t="s">
        <v>2415</v>
      </c>
      <c r="H2064">
        <v>9</v>
      </c>
      <c r="I2064" t="s">
        <v>25</v>
      </c>
      <c r="J2064">
        <v>7</v>
      </c>
      <c r="K2064" t="s">
        <v>25</v>
      </c>
      <c r="L2064">
        <v>6</v>
      </c>
      <c r="M2064">
        <v>2601</v>
      </c>
      <c r="N2064">
        <v>2</v>
      </c>
    </row>
    <row r="2065" spans="1:14" x14ac:dyDescent="0.2">
      <c r="A2065" s="3">
        <f t="shared" si="34"/>
        <v>135975</v>
      </c>
      <c r="B2065" t="str">
        <f>"01359750008"</f>
        <v>01359750008</v>
      </c>
      <c r="C2065" t="s">
        <v>2416</v>
      </c>
      <c r="D2065" t="s">
        <v>1344</v>
      </c>
      <c r="E2065">
        <v>62</v>
      </c>
      <c r="F2065">
        <v>2450</v>
      </c>
      <c r="G2065" t="s">
        <v>2415</v>
      </c>
      <c r="H2065">
        <v>9</v>
      </c>
      <c r="I2065" t="s">
        <v>25</v>
      </c>
      <c r="J2065">
        <v>7</v>
      </c>
      <c r="K2065" t="s">
        <v>25</v>
      </c>
      <c r="L2065">
        <v>6</v>
      </c>
      <c r="M2065">
        <v>2602</v>
      </c>
      <c r="N2065">
        <v>2</v>
      </c>
    </row>
    <row r="2066" spans="1:14" x14ac:dyDescent="0.2">
      <c r="A2066" s="3">
        <f t="shared" si="34"/>
        <v>136018</v>
      </c>
      <c r="B2066" t="str">
        <f>"01360180001"</f>
        <v>01360180001</v>
      </c>
      <c r="C2066" t="s">
        <v>2417</v>
      </c>
      <c r="D2066" t="s">
        <v>52</v>
      </c>
      <c r="E2066">
        <v>12</v>
      </c>
      <c r="F2066">
        <v>2237</v>
      </c>
      <c r="G2066" t="s">
        <v>1576</v>
      </c>
      <c r="H2066" t="s">
        <v>44</v>
      </c>
      <c r="I2066" t="s">
        <v>45</v>
      </c>
      <c r="J2066" t="s">
        <v>44</v>
      </c>
      <c r="K2066" t="s">
        <v>45</v>
      </c>
      <c r="L2066">
        <v>5</v>
      </c>
      <c r="M2066" t="s">
        <v>65</v>
      </c>
      <c r="N2066" t="s">
        <v>46</v>
      </c>
    </row>
    <row r="2067" spans="1:14" x14ac:dyDescent="0.2">
      <c r="A2067" s="3">
        <f t="shared" si="34"/>
        <v>136018</v>
      </c>
      <c r="B2067" t="str">
        <f>"01360180002"</f>
        <v>01360180002</v>
      </c>
      <c r="C2067" t="s">
        <v>2417</v>
      </c>
      <c r="D2067" t="s">
        <v>52</v>
      </c>
      <c r="E2067">
        <v>12</v>
      </c>
      <c r="F2067">
        <v>2237</v>
      </c>
      <c r="G2067" t="s">
        <v>1576</v>
      </c>
      <c r="H2067" t="s">
        <v>44</v>
      </c>
      <c r="I2067" t="s">
        <v>45</v>
      </c>
      <c r="J2067" t="s">
        <v>44</v>
      </c>
      <c r="K2067" t="s">
        <v>45</v>
      </c>
      <c r="L2067">
        <v>7</v>
      </c>
      <c r="M2067">
        <v>92910</v>
      </c>
      <c r="N2067" t="s">
        <v>46</v>
      </c>
    </row>
    <row r="2068" spans="1:14" x14ac:dyDescent="0.2">
      <c r="A2068" s="3">
        <f t="shared" si="34"/>
        <v>136018</v>
      </c>
      <c r="B2068" t="str">
        <f>"01360180002"</f>
        <v>01360180002</v>
      </c>
      <c r="C2068" t="s">
        <v>2417</v>
      </c>
      <c r="D2068" t="s">
        <v>52</v>
      </c>
      <c r="E2068">
        <v>12</v>
      </c>
      <c r="F2068">
        <v>3694</v>
      </c>
      <c r="G2068" t="s">
        <v>1614</v>
      </c>
      <c r="H2068" t="s">
        <v>44</v>
      </c>
      <c r="I2068" t="s">
        <v>45</v>
      </c>
      <c r="J2068" t="s">
        <v>44</v>
      </c>
      <c r="K2068" t="s">
        <v>45</v>
      </c>
      <c r="L2068">
        <v>7</v>
      </c>
      <c r="M2068">
        <v>92910</v>
      </c>
      <c r="N2068" t="s">
        <v>46</v>
      </c>
    </row>
    <row r="2069" spans="1:14" x14ac:dyDescent="0.2">
      <c r="A2069" s="3">
        <f t="shared" si="34"/>
        <v>136047</v>
      </c>
      <c r="B2069" t="str">
        <f>"01360470016"</f>
        <v>01360470016</v>
      </c>
      <c r="C2069" t="s">
        <v>2418</v>
      </c>
      <c r="D2069" t="s">
        <v>70</v>
      </c>
      <c r="E2069">
        <v>30</v>
      </c>
      <c r="F2069">
        <v>4980</v>
      </c>
      <c r="G2069" t="s">
        <v>154</v>
      </c>
      <c r="H2069">
        <v>24</v>
      </c>
      <c r="I2069" t="s">
        <v>34</v>
      </c>
      <c r="J2069">
        <v>18</v>
      </c>
      <c r="K2069" t="s">
        <v>34</v>
      </c>
      <c r="L2069">
        <v>8</v>
      </c>
      <c r="M2069">
        <v>83063</v>
      </c>
      <c r="N2069">
        <v>6</v>
      </c>
    </row>
    <row r="2070" spans="1:14" x14ac:dyDescent="0.2">
      <c r="A2070" s="3">
        <f t="shared" si="34"/>
        <v>136055</v>
      </c>
      <c r="B2070" t="str">
        <f>"01360550012"</f>
        <v>01360550012</v>
      </c>
      <c r="C2070" t="s">
        <v>2419</v>
      </c>
      <c r="D2070" t="s">
        <v>543</v>
      </c>
      <c r="E2070">
        <v>62</v>
      </c>
      <c r="F2070">
        <v>2450</v>
      </c>
      <c r="G2070" t="s">
        <v>2415</v>
      </c>
      <c r="H2070">
        <v>9</v>
      </c>
      <c r="I2070" t="s">
        <v>25</v>
      </c>
      <c r="J2070">
        <v>7</v>
      </c>
      <c r="K2070" t="s">
        <v>25</v>
      </c>
      <c r="L2070">
        <v>8</v>
      </c>
      <c r="M2070">
        <v>72162</v>
      </c>
      <c r="N2070">
        <v>2</v>
      </c>
    </row>
    <row r="2071" spans="1:14" x14ac:dyDescent="0.2">
      <c r="A2071" s="3">
        <f t="shared" si="34"/>
        <v>136119</v>
      </c>
      <c r="B2071" t="str">
        <f>"01361190004"</f>
        <v>01361190004</v>
      </c>
      <c r="C2071" t="s">
        <v>2420</v>
      </c>
      <c r="D2071" t="s">
        <v>386</v>
      </c>
      <c r="E2071">
        <v>60</v>
      </c>
      <c r="F2071">
        <v>5962</v>
      </c>
      <c r="G2071" t="s">
        <v>945</v>
      </c>
      <c r="H2071" t="s">
        <v>44</v>
      </c>
      <c r="I2071" t="s">
        <v>45</v>
      </c>
      <c r="J2071" t="s">
        <v>44</v>
      </c>
      <c r="K2071" t="s">
        <v>45</v>
      </c>
      <c r="L2071">
        <v>8</v>
      </c>
      <c r="M2071">
        <v>61146</v>
      </c>
      <c r="N2071" t="s">
        <v>46</v>
      </c>
    </row>
    <row r="2072" spans="1:14" x14ac:dyDescent="0.2">
      <c r="A2072" s="3">
        <f t="shared" si="34"/>
        <v>136245</v>
      </c>
      <c r="B2072" t="str">
        <f>"01362450006"</f>
        <v>01362450006</v>
      </c>
      <c r="C2072" t="s">
        <v>2421</v>
      </c>
      <c r="D2072" t="s">
        <v>52</v>
      </c>
      <c r="E2072">
        <v>46</v>
      </c>
      <c r="F2072">
        <v>902</v>
      </c>
      <c r="G2072" t="s">
        <v>651</v>
      </c>
      <c r="H2072">
        <v>9</v>
      </c>
      <c r="I2072" t="s">
        <v>25</v>
      </c>
      <c r="J2072">
        <v>7</v>
      </c>
      <c r="K2072" t="s">
        <v>25</v>
      </c>
      <c r="L2072">
        <v>6</v>
      </c>
      <c r="M2072">
        <v>2657</v>
      </c>
      <c r="N2072">
        <v>2</v>
      </c>
    </row>
    <row r="2073" spans="1:14" x14ac:dyDescent="0.2">
      <c r="A2073" s="3">
        <f t="shared" si="34"/>
        <v>136246</v>
      </c>
      <c r="B2073" t="str">
        <f>"01362460006"</f>
        <v>01362460006</v>
      </c>
      <c r="C2073" t="s">
        <v>2422</v>
      </c>
      <c r="D2073" t="s">
        <v>52</v>
      </c>
      <c r="E2073">
        <v>46</v>
      </c>
      <c r="F2073">
        <v>902</v>
      </c>
      <c r="G2073" t="s">
        <v>651</v>
      </c>
      <c r="H2073">
        <v>9</v>
      </c>
      <c r="I2073" t="s">
        <v>25</v>
      </c>
      <c r="J2073">
        <v>7</v>
      </c>
      <c r="K2073" t="s">
        <v>25</v>
      </c>
      <c r="L2073">
        <v>6</v>
      </c>
      <c r="M2073">
        <v>1617</v>
      </c>
      <c r="N2073">
        <v>2</v>
      </c>
    </row>
    <row r="2074" spans="1:14" x14ac:dyDescent="0.2">
      <c r="A2074" s="3">
        <f t="shared" si="34"/>
        <v>136305</v>
      </c>
      <c r="B2074" t="str">
        <f>"01363050012"</f>
        <v>01363050012</v>
      </c>
      <c r="C2074" t="s">
        <v>2423</v>
      </c>
      <c r="D2074" t="s">
        <v>52</v>
      </c>
      <c r="E2074">
        <v>33</v>
      </c>
      <c r="F2074">
        <v>2110</v>
      </c>
      <c r="G2074" t="s">
        <v>2424</v>
      </c>
      <c r="H2074">
        <v>14</v>
      </c>
      <c r="I2074" t="s">
        <v>34</v>
      </c>
      <c r="J2074">
        <v>9</v>
      </c>
      <c r="K2074" t="s">
        <v>34</v>
      </c>
      <c r="L2074">
        <v>6</v>
      </c>
      <c r="M2074">
        <v>2519</v>
      </c>
      <c r="N2074">
        <v>5</v>
      </c>
    </row>
    <row r="2075" spans="1:14" x14ac:dyDescent="0.2">
      <c r="A2075" s="3">
        <f t="shared" si="34"/>
        <v>136330</v>
      </c>
      <c r="B2075" t="str">
        <f>"01363300006"</f>
        <v>01363300006</v>
      </c>
      <c r="C2075" t="s">
        <v>2425</v>
      </c>
      <c r="D2075" t="s">
        <v>386</v>
      </c>
      <c r="E2075">
        <v>60</v>
      </c>
      <c r="F2075">
        <v>2007</v>
      </c>
      <c r="G2075" t="s">
        <v>387</v>
      </c>
      <c r="H2075" t="s">
        <v>44</v>
      </c>
      <c r="I2075" t="s">
        <v>45</v>
      </c>
      <c r="J2075" t="s">
        <v>44</v>
      </c>
      <c r="K2075" t="s">
        <v>45</v>
      </c>
      <c r="L2075">
        <v>8</v>
      </c>
      <c r="M2075">
        <v>61144</v>
      </c>
      <c r="N2075" t="s">
        <v>46</v>
      </c>
    </row>
    <row r="2076" spans="1:14" x14ac:dyDescent="0.2">
      <c r="A2076" s="3">
        <f t="shared" si="34"/>
        <v>136333</v>
      </c>
      <c r="B2076" t="str">
        <f>"01363330006"</f>
        <v>01363330006</v>
      </c>
      <c r="C2076" t="s">
        <v>2426</v>
      </c>
      <c r="D2076" t="s">
        <v>386</v>
      </c>
      <c r="E2076">
        <v>60</v>
      </c>
      <c r="F2076">
        <v>2007</v>
      </c>
      <c r="G2076" t="s">
        <v>387</v>
      </c>
      <c r="H2076" t="s">
        <v>44</v>
      </c>
      <c r="I2076" t="s">
        <v>45</v>
      </c>
      <c r="J2076" t="s">
        <v>44</v>
      </c>
      <c r="K2076" t="s">
        <v>45</v>
      </c>
      <c r="L2076">
        <v>8</v>
      </c>
      <c r="M2076">
        <v>61065</v>
      </c>
      <c r="N2076" t="s">
        <v>46</v>
      </c>
    </row>
    <row r="2077" spans="1:14" x14ac:dyDescent="0.2">
      <c r="A2077" s="3">
        <f t="shared" si="34"/>
        <v>136355</v>
      </c>
      <c r="B2077" t="str">
        <f>"01363550010"</f>
        <v>01363550010</v>
      </c>
      <c r="C2077" t="s">
        <v>2427</v>
      </c>
      <c r="D2077" t="s">
        <v>52</v>
      </c>
      <c r="E2077">
        <v>85</v>
      </c>
      <c r="F2077">
        <v>112</v>
      </c>
      <c r="G2077" t="s">
        <v>2044</v>
      </c>
      <c r="H2077" t="s">
        <v>44</v>
      </c>
      <c r="I2077" t="s">
        <v>45</v>
      </c>
      <c r="J2077" t="s">
        <v>44</v>
      </c>
      <c r="K2077" t="s">
        <v>45</v>
      </c>
      <c r="L2077">
        <v>5</v>
      </c>
      <c r="M2077" t="s">
        <v>65</v>
      </c>
      <c r="N2077" t="s">
        <v>46</v>
      </c>
    </row>
    <row r="2078" spans="1:14" x14ac:dyDescent="0.2">
      <c r="A2078" s="3">
        <f t="shared" si="34"/>
        <v>136419</v>
      </c>
      <c r="B2078" t="str">
        <f>"01364190010"</f>
        <v>01364190010</v>
      </c>
      <c r="C2078" t="s">
        <v>2428</v>
      </c>
      <c r="D2078" t="s">
        <v>42</v>
      </c>
      <c r="E2078">
        <v>47</v>
      </c>
      <c r="F2078">
        <v>2208</v>
      </c>
      <c r="G2078" t="s">
        <v>1367</v>
      </c>
      <c r="H2078">
        <v>18</v>
      </c>
      <c r="I2078" t="s">
        <v>25</v>
      </c>
      <c r="J2078">
        <v>14</v>
      </c>
      <c r="K2078" t="s">
        <v>25</v>
      </c>
      <c r="L2078">
        <v>8</v>
      </c>
      <c r="M2078">
        <v>67028</v>
      </c>
      <c r="N2078">
        <v>4</v>
      </c>
    </row>
    <row r="2079" spans="1:14" x14ac:dyDescent="0.2">
      <c r="A2079" s="3">
        <f t="shared" si="34"/>
        <v>136616</v>
      </c>
      <c r="B2079" t="str">
        <f>"01366160006"</f>
        <v>01366160006</v>
      </c>
      <c r="C2079" t="s">
        <v>2429</v>
      </c>
      <c r="D2079" t="s">
        <v>386</v>
      </c>
      <c r="E2079">
        <v>60</v>
      </c>
      <c r="F2079">
        <v>3767</v>
      </c>
      <c r="G2079" t="s">
        <v>917</v>
      </c>
      <c r="H2079" t="s">
        <v>44</v>
      </c>
      <c r="I2079" t="s">
        <v>45</v>
      </c>
      <c r="J2079" t="s">
        <v>44</v>
      </c>
      <c r="K2079" t="s">
        <v>45</v>
      </c>
      <c r="L2079">
        <v>8</v>
      </c>
      <c r="M2079">
        <v>61113</v>
      </c>
      <c r="N2079" t="s">
        <v>46</v>
      </c>
    </row>
    <row r="2080" spans="1:14" x14ac:dyDescent="0.2">
      <c r="A2080" s="3">
        <f t="shared" si="34"/>
        <v>136740</v>
      </c>
      <c r="B2080" t="str">
        <f>"01367400001"</f>
        <v>01367400001</v>
      </c>
      <c r="C2080" t="s">
        <v>2430</v>
      </c>
      <c r="D2080" t="s">
        <v>52</v>
      </c>
      <c r="E2080">
        <v>12</v>
      </c>
      <c r="F2080">
        <v>2237</v>
      </c>
      <c r="G2080" t="s">
        <v>1576</v>
      </c>
      <c r="H2080" t="s">
        <v>44</v>
      </c>
      <c r="I2080" t="s">
        <v>45</v>
      </c>
      <c r="J2080" t="s">
        <v>44</v>
      </c>
      <c r="K2080" t="s">
        <v>45</v>
      </c>
      <c r="L2080">
        <v>5</v>
      </c>
      <c r="M2080" t="s">
        <v>65</v>
      </c>
      <c r="N2080" t="s">
        <v>46</v>
      </c>
    </row>
    <row r="2081" spans="1:14" x14ac:dyDescent="0.2">
      <c r="A2081" s="3">
        <f t="shared" si="34"/>
        <v>136748</v>
      </c>
      <c r="B2081" t="str">
        <f>"01367480001"</f>
        <v>01367480001</v>
      </c>
      <c r="C2081" t="s">
        <v>2431</v>
      </c>
      <c r="D2081" t="s">
        <v>52</v>
      </c>
      <c r="E2081">
        <v>12</v>
      </c>
      <c r="F2081">
        <v>2061</v>
      </c>
      <c r="G2081" t="s">
        <v>1552</v>
      </c>
      <c r="H2081" t="s">
        <v>44</v>
      </c>
      <c r="I2081" t="s">
        <v>45</v>
      </c>
      <c r="J2081" t="s">
        <v>44</v>
      </c>
      <c r="K2081" t="s">
        <v>45</v>
      </c>
      <c r="L2081">
        <v>5</v>
      </c>
      <c r="M2081" t="s">
        <v>65</v>
      </c>
      <c r="N2081" t="s">
        <v>46</v>
      </c>
    </row>
    <row r="2082" spans="1:14" x14ac:dyDescent="0.2">
      <c r="A2082" s="3">
        <f t="shared" si="34"/>
        <v>136804</v>
      </c>
      <c r="B2082" t="str">
        <f>"01368040006"</f>
        <v>01368040006</v>
      </c>
      <c r="C2082" t="s">
        <v>2432</v>
      </c>
      <c r="D2082" t="s">
        <v>386</v>
      </c>
      <c r="E2082">
        <v>60</v>
      </c>
      <c r="F2082">
        <v>3767</v>
      </c>
      <c r="G2082" t="s">
        <v>917</v>
      </c>
      <c r="H2082" t="s">
        <v>44</v>
      </c>
      <c r="I2082" t="s">
        <v>45</v>
      </c>
      <c r="J2082" t="s">
        <v>44</v>
      </c>
      <c r="K2082" t="s">
        <v>45</v>
      </c>
      <c r="L2082">
        <v>8</v>
      </c>
      <c r="M2082">
        <v>61111</v>
      </c>
      <c r="N2082" t="s">
        <v>46</v>
      </c>
    </row>
    <row r="2083" spans="1:14" x14ac:dyDescent="0.2">
      <c r="A2083" s="3">
        <f t="shared" si="34"/>
        <v>136832</v>
      </c>
      <c r="B2083" t="str">
        <f>"01368320008"</f>
        <v>01368320008</v>
      </c>
      <c r="C2083" t="s">
        <v>2433</v>
      </c>
      <c r="D2083" t="s">
        <v>23</v>
      </c>
      <c r="E2083">
        <v>62</v>
      </c>
      <c r="F2083">
        <v>378</v>
      </c>
      <c r="G2083" t="s">
        <v>880</v>
      </c>
      <c r="H2083">
        <v>8</v>
      </c>
      <c r="I2083" t="s">
        <v>25</v>
      </c>
      <c r="J2083">
        <v>6</v>
      </c>
      <c r="K2083" t="s">
        <v>25</v>
      </c>
      <c r="L2083">
        <v>8</v>
      </c>
      <c r="M2083">
        <v>95455</v>
      </c>
      <c r="N2083">
        <v>2</v>
      </c>
    </row>
    <row r="2084" spans="1:14" x14ac:dyDescent="0.2">
      <c r="A2084" s="3">
        <f t="shared" si="34"/>
        <v>136839</v>
      </c>
      <c r="B2084" t="str">
        <f>"01368390021"</f>
        <v>01368390021</v>
      </c>
      <c r="C2084" t="s">
        <v>2434</v>
      </c>
      <c r="D2084" t="s">
        <v>543</v>
      </c>
      <c r="E2084">
        <v>82</v>
      </c>
      <c r="F2084">
        <v>2546</v>
      </c>
      <c r="G2084" t="s">
        <v>2435</v>
      </c>
      <c r="H2084" t="s">
        <v>44</v>
      </c>
      <c r="I2084" t="s">
        <v>45</v>
      </c>
      <c r="J2084" t="s">
        <v>44</v>
      </c>
      <c r="K2084" t="s">
        <v>45</v>
      </c>
      <c r="L2084">
        <v>8</v>
      </c>
      <c r="M2084">
        <v>70256</v>
      </c>
      <c r="N2084" t="s">
        <v>46</v>
      </c>
    </row>
    <row r="2085" spans="1:14" x14ac:dyDescent="0.2">
      <c r="A2085" s="3">
        <f t="shared" si="34"/>
        <v>136846</v>
      </c>
      <c r="B2085" t="str">
        <f>"01368460021"</f>
        <v>01368460021</v>
      </c>
      <c r="C2085" t="s">
        <v>2436</v>
      </c>
      <c r="D2085" t="s">
        <v>543</v>
      </c>
      <c r="E2085">
        <v>82</v>
      </c>
      <c r="F2085">
        <v>2546</v>
      </c>
      <c r="G2085" t="s">
        <v>2435</v>
      </c>
      <c r="H2085" t="s">
        <v>44</v>
      </c>
      <c r="I2085" t="s">
        <v>45</v>
      </c>
      <c r="J2085" t="s">
        <v>44</v>
      </c>
      <c r="K2085" t="s">
        <v>45</v>
      </c>
      <c r="L2085">
        <v>8</v>
      </c>
      <c r="M2085">
        <v>70206</v>
      </c>
      <c r="N2085" t="s">
        <v>46</v>
      </c>
    </row>
    <row r="2086" spans="1:14" x14ac:dyDescent="0.2">
      <c r="A2086" s="3">
        <f t="shared" si="34"/>
        <v>136858</v>
      </c>
      <c r="B2086" t="str">
        <f>"01368580006"</f>
        <v>01368580006</v>
      </c>
      <c r="C2086" t="s">
        <v>2437</v>
      </c>
      <c r="D2086" t="s">
        <v>289</v>
      </c>
      <c r="E2086">
        <v>20</v>
      </c>
      <c r="F2086">
        <v>8086</v>
      </c>
      <c r="G2086" t="s">
        <v>290</v>
      </c>
      <c r="H2086">
        <v>16</v>
      </c>
      <c r="I2086" t="s">
        <v>25</v>
      </c>
      <c r="J2086">
        <v>13</v>
      </c>
      <c r="K2086" t="s">
        <v>25</v>
      </c>
      <c r="L2086">
        <v>8</v>
      </c>
      <c r="M2086">
        <v>89042</v>
      </c>
      <c r="N2086">
        <v>3</v>
      </c>
    </row>
    <row r="2087" spans="1:14" x14ac:dyDescent="0.2">
      <c r="A2087" s="3">
        <f t="shared" si="34"/>
        <v>136858</v>
      </c>
      <c r="B2087" t="str">
        <f>"01368580006"</f>
        <v>01368580006</v>
      </c>
      <c r="C2087" t="s">
        <v>2437</v>
      </c>
      <c r="D2087" t="s">
        <v>289</v>
      </c>
      <c r="E2087">
        <v>20</v>
      </c>
      <c r="F2087">
        <v>2431</v>
      </c>
      <c r="G2087" t="s">
        <v>2438</v>
      </c>
      <c r="H2087">
        <v>16</v>
      </c>
      <c r="I2087" t="s">
        <v>25</v>
      </c>
      <c r="J2087">
        <v>13</v>
      </c>
      <c r="K2087" t="s">
        <v>25</v>
      </c>
      <c r="L2087">
        <v>8</v>
      </c>
      <c r="M2087">
        <v>89042</v>
      </c>
      <c r="N2087">
        <v>3</v>
      </c>
    </row>
    <row r="2088" spans="1:14" x14ac:dyDescent="0.2">
      <c r="A2088" s="3">
        <f t="shared" si="34"/>
        <v>136863</v>
      </c>
      <c r="B2088" t="str">
        <f>"01368630012"</f>
        <v>01368630012</v>
      </c>
      <c r="C2088" t="s">
        <v>2439</v>
      </c>
      <c r="D2088" t="s">
        <v>431</v>
      </c>
      <c r="E2088">
        <v>45</v>
      </c>
      <c r="F2088">
        <v>1701</v>
      </c>
      <c r="G2088" t="s">
        <v>389</v>
      </c>
      <c r="H2088">
        <v>12</v>
      </c>
      <c r="I2088" t="s">
        <v>25</v>
      </c>
      <c r="J2088">
        <v>9</v>
      </c>
      <c r="K2088" t="s">
        <v>25</v>
      </c>
      <c r="L2088">
        <v>8</v>
      </c>
      <c r="M2088">
        <v>65195</v>
      </c>
      <c r="N2088">
        <v>3</v>
      </c>
    </row>
    <row r="2089" spans="1:14" x14ac:dyDescent="0.2">
      <c r="A2089" s="3">
        <f t="shared" si="34"/>
        <v>136883</v>
      </c>
      <c r="B2089" t="str">
        <f>"01368830010"</f>
        <v>01368830010</v>
      </c>
      <c r="C2089" t="s">
        <v>1461</v>
      </c>
      <c r="D2089" t="s">
        <v>52</v>
      </c>
      <c r="E2089">
        <v>83</v>
      </c>
      <c r="F2089">
        <v>1224</v>
      </c>
      <c r="G2089" t="s">
        <v>1014</v>
      </c>
      <c r="H2089" t="s">
        <v>44</v>
      </c>
      <c r="I2089" t="s">
        <v>45</v>
      </c>
      <c r="J2089" t="s">
        <v>44</v>
      </c>
      <c r="K2089" t="s">
        <v>45</v>
      </c>
      <c r="L2089">
        <v>5</v>
      </c>
      <c r="M2089" t="s">
        <v>65</v>
      </c>
      <c r="N2089" t="s">
        <v>46</v>
      </c>
    </row>
    <row r="2090" spans="1:14" x14ac:dyDescent="0.2">
      <c r="A2090" s="3">
        <f t="shared" si="34"/>
        <v>136947</v>
      </c>
      <c r="B2090" t="str">
        <f>"01369470006"</f>
        <v>01369470006</v>
      </c>
      <c r="C2090" t="s">
        <v>2440</v>
      </c>
      <c r="D2090" t="s">
        <v>386</v>
      </c>
      <c r="E2090">
        <v>60</v>
      </c>
      <c r="F2090">
        <v>3767</v>
      </c>
      <c r="G2090" t="s">
        <v>917</v>
      </c>
      <c r="H2090" t="s">
        <v>44</v>
      </c>
      <c r="I2090" t="s">
        <v>45</v>
      </c>
      <c r="J2090" t="s">
        <v>44</v>
      </c>
      <c r="K2090" t="s">
        <v>45</v>
      </c>
      <c r="L2090">
        <v>8</v>
      </c>
      <c r="M2090">
        <v>61107</v>
      </c>
      <c r="N2090" t="s">
        <v>46</v>
      </c>
    </row>
    <row r="2091" spans="1:14" x14ac:dyDescent="0.2">
      <c r="A2091" s="3">
        <f t="shared" si="34"/>
        <v>136990</v>
      </c>
      <c r="B2091" t="str">
        <f>"01369900008"</f>
        <v>01369900008</v>
      </c>
      <c r="C2091" t="s">
        <v>2441</v>
      </c>
      <c r="D2091" t="s">
        <v>686</v>
      </c>
      <c r="E2091">
        <v>83</v>
      </c>
      <c r="F2091">
        <v>8023</v>
      </c>
      <c r="G2091" t="s">
        <v>1009</v>
      </c>
      <c r="H2091" t="s">
        <v>44</v>
      </c>
      <c r="I2091" t="s">
        <v>45</v>
      </c>
      <c r="J2091" t="s">
        <v>44</v>
      </c>
      <c r="K2091" t="s">
        <v>45</v>
      </c>
      <c r="L2091">
        <v>6</v>
      </c>
      <c r="M2091">
        <v>69012</v>
      </c>
      <c r="N2091" t="s">
        <v>46</v>
      </c>
    </row>
    <row r="2092" spans="1:14" x14ac:dyDescent="0.2">
      <c r="A2092" s="3">
        <f t="shared" si="34"/>
        <v>137056</v>
      </c>
      <c r="B2092" t="str">
        <f>"01370560040"</f>
        <v>01370560040</v>
      </c>
      <c r="C2092" t="s">
        <v>2442</v>
      </c>
      <c r="D2092" t="s">
        <v>543</v>
      </c>
      <c r="E2092">
        <v>70</v>
      </c>
      <c r="F2092">
        <v>1324</v>
      </c>
      <c r="G2092" t="s">
        <v>1438</v>
      </c>
      <c r="H2092">
        <v>6</v>
      </c>
      <c r="I2092" t="s">
        <v>25</v>
      </c>
      <c r="J2092">
        <v>4</v>
      </c>
      <c r="K2092" t="s">
        <v>25</v>
      </c>
      <c r="L2092">
        <v>8</v>
      </c>
      <c r="M2092">
        <v>72096</v>
      </c>
      <c r="N2092">
        <v>2</v>
      </c>
    </row>
    <row r="2093" spans="1:14" x14ac:dyDescent="0.2">
      <c r="A2093" s="3">
        <f t="shared" si="34"/>
        <v>137077</v>
      </c>
      <c r="B2093" t="str">
        <f>"01370770022"</f>
        <v>01370770022</v>
      </c>
      <c r="C2093" t="s">
        <v>2443</v>
      </c>
      <c r="D2093" t="s">
        <v>543</v>
      </c>
      <c r="E2093">
        <v>82</v>
      </c>
      <c r="F2093">
        <v>2002</v>
      </c>
      <c r="G2093" t="s">
        <v>1064</v>
      </c>
      <c r="H2093" t="s">
        <v>44</v>
      </c>
      <c r="I2093" t="s">
        <v>45</v>
      </c>
      <c r="J2093" t="s">
        <v>44</v>
      </c>
      <c r="K2093" t="s">
        <v>45</v>
      </c>
      <c r="L2093">
        <v>8</v>
      </c>
      <c r="M2093">
        <v>70263</v>
      </c>
      <c r="N2093" t="s">
        <v>46</v>
      </c>
    </row>
    <row r="2094" spans="1:14" x14ac:dyDescent="0.2">
      <c r="A2094" s="3">
        <f t="shared" si="34"/>
        <v>137452</v>
      </c>
      <c r="B2094" t="str">
        <f>"01374520006"</f>
        <v>01374520006</v>
      </c>
      <c r="C2094" t="s">
        <v>2444</v>
      </c>
      <c r="D2094" t="s">
        <v>52</v>
      </c>
      <c r="E2094">
        <v>60</v>
      </c>
      <c r="F2094">
        <v>5968</v>
      </c>
      <c r="G2094" t="s">
        <v>927</v>
      </c>
      <c r="H2094" t="s">
        <v>44</v>
      </c>
      <c r="I2094" t="s">
        <v>45</v>
      </c>
      <c r="J2094" t="s">
        <v>44</v>
      </c>
      <c r="K2094" t="s">
        <v>45</v>
      </c>
      <c r="L2094">
        <v>6</v>
      </c>
      <c r="M2094">
        <v>51650</v>
      </c>
      <c r="N2094" t="s">
        <v>46</v>
      </c>
    </row>
    <row r="2095" spans="1:14" x14ac:dyDescent="0.2">
      <c r="A2095" s="3">
        <f t="shared" si="34"/>
        <v>137455</v>
      </c>
      <c r="B2095" t="str">
        <f>"01374550006"</f>
        <v>01374550006</v>
      </c>
      <c r="C2095" t="s">
        <v>2445</v>
      </c>
      <c r="D2095" t="s">
        <v>52</v>
      </c>
      <c r="E2095">
        <v>60</v>
      </c>
      <c r="F2095">
        <v>5968</v>
      </c>
      <c r="G2095" t="s">
        <v>927</v>
      </c>
      <c r="H2095" t="s">
        <v>44</v>
      </c>
      <c r="I2095" t="s">
        <v>45</v>
      </c>
      <c r="J2095" t="s">
        <v>44</v>
      </c>
      <c r="K2095" t="s">
        <v>45</v>
      </c>
      <c r="L2095">
        <v>6</v>
      </c>
      <c r="M2095">
        <v>51651</v>
      </c>
      <c r="N2095" t="s">
        <v>46</v>
      </c>
    </row>
    <row r="2096" spans="1:14" x14ac:dyDescent="0.2">
      <c r="A2096" s="3">
        <f t="shared" si="34"/>
        <v>137513</v>
      </c>
      <c r="B2096" t="str">
        <f>"01375130010"</f>
        <v>01375130010</v>
      </c>
      <c r="C2096" t="s">
        <v>2446</v>
      </c>
      <c r="D2096" t="s">
        <v>52</v>
      </c>
      <c r="E2096">
        <v>20</v>
      </c>
      <c r="F2096">
        <v>8086</v>
      </c>
      <c r="G2096" t="s">
        <v>290</v>
      </c>
      <c r="H2096">
        <v>12</v>
      </c>
      <c r="I2096" t="s">
        <v>25</v>
      </c>
      <c r="J2096">
        <v>9</v>
      </c>
      <c r="K2096" t="s">
        <v>25</v>
      </c>
      <c r="L2096">
        <v>5</v>
      </c>
      <c r="M2096" t="s">
        <v>65</v>
      </c>
      <c r="N2096">
        <v>3</v>
      </c>
    </row>
    <row r="2097" spans="1:14" x14ac:dyDescent="0.2">
      <c r="A2097" s="3">
        <f t="shared" si="34"/>
        <v>137513</v>
      </c>
      <c r="B2097" t="str">
        <f>"01375130010"</f>
        <v>01375130010</v>
      </c>
      <c r="C2097" t="s">
        <v>2446</v>
      </c>
      <c r="D2097" t="s">
        <v>52</v>
      </c>
      <c r="E2097">
        <v>20</v>
      </c>
      <c r="F2097">
        <v>2618</v>
      </c>
      <c r="G2097" t="s">
        <v>2447</v>
      </c>
      <c r="H2097">
        <v>12</v>
      </c>
      <c r="I2097" t="s">
        <v>25</v>
      </c>
      <c r="J2097">
        <v>9</v>
      </c>
      <c r="K2097" t="s">
        <v>25</v>
      </c>
      <c r="L2097">
        <v>5</v>
      </c>
      <c r="M2097" t="s">
        <v>65</v>
      </c>
      <c r="N2097">
        <v>3</v>
      </c>
    </row>
    <row r="2098" spans="1:14" x14ac:dyDescent="0.2">
      <c r="A2098" s="3">
        <f t="shared" si="34"/>
        <v>137533</v>
      </c>
      <c r="B2098" t="str">
        <f>"01375330010"</f>
        <v>01375330010</v>
      </c>
      <c r="C2098" t="s">
        <v>2448</v>
      </c>
      <c r="D2098" t="s">
        <v>52</v>
      </c>
      <c r="E2098">
        <v>20</v>
      </c>
      <c r="F2098">
        <v>8086</v>
      </c>
      <c r="G2098" t="s">
        <v>290</v>
      </c>
      <c r="H2098">
        <v>9</v>
      </c>
      <c r="I2098" t="s">
        <v>25</v>
      </c>
      <c r="J2098">
        <v>7</v>
      </c>
      <c r="K2098" t="s">
        <v>25</v>
      </c>
      <c r="L2098">
        <v>5</v>
      </c>
      <c r="M2098" t="s">
        <v>65</v>
      </c>
      <c r="N2098">
        <v>2</v>
      </c>
    </row>
    <row r="2099" spans="1:14" x14ac:dyDescent="0.2">
      <c r="A2099" s="3">
        <f t="shared" si="34"/>
        <v>137583</v>
      </c>
      <c r="B2099" t="str">
        <f>"01375830008"</f>
        <v>01375830008</v>
      </c>
      <c r="C2099" t="s">
        <v>2449</v>
      </c>
      <c r="D2099" t="s">
        <v>67</v>
      </c>
      <c r="E2099">
        <v>31</v>
      </c>
      <c r="F2099">
        <v>4937</v>
      </c>
      <c r="G2099" t="s">
        <v>68</v>
      </c>
      <c r="H2099">
        <v>18</v>
      </c>
      <c r="I2099" t="s">
        <v>34</v>
      </c>
      <c r="J2099">
        <v>13</v>
      </c>
      <c r="K2099" t="s">
        <v>34</v>
      </c>
      <c r="L2099">
        <v>8</v>
      </c>
      <c r="M2099">
        <v>80109</v>
      </c>
      <c r="N2099">
        <v>5</v>
      </c>
    </row>
    <row r="2100" spans="1:14" x14ac:dyDescent="0.2">
      <c r="A2100" s="3">
        <f t="shared" si="34"/>
        <v>137651</v>
      </c>
      <c r="B2100" t="str">
        <f>"01376510021"</f>
        <v>01376510021</v>
      </c>
      <c r="C2100" t="s">
        <v>2450</v>
      </c>
      <c r="D2100" t="s">
        <v>622</v>
      </c>
      <c r="E2100">
        <v>83</v>
      </c>
      <c r="F2100">
        <v>1224</v>
      </c>
      <c r="G2100" t="s">
        <v>1014</v>
      </c>
      <c r="H2100" t="s">
        <v>44</v>
      </c>
      <c r="I2100" t="s">
        <v>45</v>
      </c>
      <c r="J2100" t="s">
        <v>44</v>
      </c>
      <c r="K2100" t="s">
        <v>45</v>
      </c>
      <c r="L2100">
        <v>8</v>
      </c>
      <c r="M2100">
        <v>67245</v>
      </c>
      <c r="N2100" t="s">
        <v>46</v>
      </c>
    </row>
    <row r="2101" spans="1:14" x14ac:dyDescent="0.2">
      <c r="A2101" s="3">
        <f t="shared" si="34"/>
        <v>137674</v>
      </c>
      <c r="B2101" t="str">
        <f>"01376740018"</f>
        <v>01376740018</v>
      </c>
      <c r="C2101" t="s">
        <v>632</v>
      </c>
      <c r="D2101" t="s">
        <v>52</v>
      </c>
      <c r="E2101">
        <v>71</v>
      </c>
      <c r="F2101">
        <v>919</v>
      </c>
      <c r="G2101" t="s">
        <v>623</v>
      </c>
      <c r="H2101">
        <v>11</v>
      </c>
      <c r="I2101" t="s">
        <v>25</v>
      </c>
      <c r="J2101">
        <v>8</v>
      </c>
      <c r="K2101" t="s">
        <v>25</v>
      </c>
      <c r="L2101">
        <v>5</v>
      </c>
      <c r="M2101" t="s">
        <v>65</v>
      </c>
      <c r="N2101">
        <v>3</v>
      </c>
    </row>
    <row r="2102" spans="1:14" x14ac:dyDescent="0.2">
      <c r="A2102" s="3">
        <f t="shared" si="34"/>
        <v>137674</v>
      </c>
      <c r="B2102" t="str">
        <f>"01376740020"</f>
        <v>01376740020</v>
      </c>
      <c r="C2102" t="s">
        <v>632</v>
      </c>
      <c r="D2102" t="s">
        <v>622</v>
      </c>
      <c r="E2102">
        <v>71</v>
      </c>
      <c r="F2102">
        <v>919</v>
      </c>
      <c r="G2102" t="s">
        <v>623</v>
      </c>
      <c r="H2102">
        <v>11</v>
      </c>
      <c r="I2102" t="s">
        <v>25</v>
      </c>
      <c r="J2102">
        <v>8</v>
      </c>
      <c r="K2102" t="s">
        <v>25</v>
      </c>
      <c r="L2102">
        <v>8</v>
      </c>
      <c r="M2102">
        <v>74193</v>
      </c>
      <c r="N2102">
        <v>3</v>
      </c>
    </row>
    <row r="2103" spans="1:14" x14ac:dyDescent="0.2">
      <c r="A2103" s="3">
        <f t="shared" si="34"/>
        <v>137675</v>
      </c>
      <c r="B2103" t="str">
        <f>"01376750018"</f>
        <v>01376750018</v>
      </c>
      <c r="C2103" t="s">
        <v>2451</v>
      </c>
      <c r="D2103" t="s">
        <v>622</v>
      </c>
      <c r="E2103">
        <v>71</v>
      </c>
      <c r="F2103">
        <v>919</v>
      </c>
      <c r="G2103" t="s">
        <v>623</v>
      </c>
      <c r="H2103">
        <v>6</v>
      </c>
      <c r="I2103" t="s">
        <v>25</v>
      </c>
      <c r="J2103">
        <v>4</v>
      </c>
      <c r="K2103" t="s">
        <v>25</v>
      </c>
      <c r="L2103">
        <v>8</v>
      </c>
      <c r="M2103">
        <v>74195</v>
      </c>
      <c r="N2103">
        <v>2</v>
      </c>
    </row>
    <row r="2104" spans="1:14" x14ac:dyDescent="0.2">
      <c r="A2104" s="3">
        <f t="shared" si="34"/>
        <v>137676</v>
      </c>
      <c r="B2104" t="str">
        <f>"01376760012"</f>
        <v>01376760012</v>
      </c>
      <c r="C2104" t="s">
        <v>2452</v>
      </c>
      <c r="D2104" t="s">
        <v>622</v>
      </c>
      <c r="E2104">
        <v>71</v>
      </c>
      <c r="F2104">
        <v>919</v>
      </c>
      <c r="G2104" t="s">
        <v>623</v>
      </c>
      <c r="H2104">
        <v>150</v>
      </c>
      <c r="I2104" t="s">
        <v>34</v>
      </c>
      <c r="J2104">
        <v>118</v>
      </c>
      <c r="K2104" t="s">
        <v>34</v>
      </c>
      <c r="L2104">
        <v>8</v>
      </c>
      <c r="M2104">
        <v>74192</v>
      </c>
      <c r="N2104">
        <v>32</v>
      </c>
    </row>
    <row r="2105" spans="1:14" x14ac:dyDescent="0.2">
      <c r="A2105" s="3">
        <f t="shared" si="34"/>
        <v>137677</v>
      </c>
      <c r="B2105" t="str">
        <f>"01376770020"</f>
        <v>01376770020</v>
      </c>
      <c r="C2105" t="s">
        <v>2453</v>
      </c>
      <c r="D2105" t="s">
        <v>622</v>
      </c>
      <c r="E2105">
        <v>71</v>
      </c>
      <c r="F2105">
        <v>919</v>
      </c>
      <c r="G2105" t="s">
        <v>623</v>
      </c>
      <c r="H2105">
        <v>16</v>
      </c>
      <c r="I2105" t="s">
        <v>25</v>
      </c>
      <c r="J2105">
        <v>13</v>
      </c>
      <c r="K2105" t="s">
        <v>25</v>
      </c>
      <c r="L2105">
        <v>8</v>
      </c>
      <c r="M2105">
        <v>74199</v>
      </c>
      <c r="N2105">
        <v>3</v>
      </c>
    </row>
    <row r="2106" spans="1:14" x14ac:dyDescent="0.2">
      <c r="A2106" s="3">
        <f t="shared" si="34"/>
        <v>137678</v>
      </c>
      <c r="B2106" t="str">
        <f>"01376780028"</f>
        <v>01376780028</v>
      </c>
      <c r="C2106" t="s">
        <v>2454</v>
      </c>
      <c r="D2106" t="s">
        <v>622</v>
      </c>
      <c r="E2106">
        <v>71</v>
      </c>
      <c r="F2106">
        <v>919</v>
      </c>
      <c r="G2106" t="s">
        <v>623</v>
      </c>
      <c r="H2106">
        <v>11</v>
      </c>
      <c r="I2106" t="s">
        <v>25</v>
      </c>
      <c r="J2106">
        <v>8</v>
      </c>
      <c r="K2106" t="s">
        <v>25</v>
      </c>
      <c r="L2106">
        <v>8</v>
      </c>
      <c r="M2106">
        <v>74197</v>
      </c>
      <c r="N2106">
        <v>3</v>
      </c>
    </row>
    <row r="2107" spans="1:14" x14ac:dyDescent="0.2">
      <c r="A2107" s="3">
        <f t="shared" si="34"/>
        <v>137679</v>
      </c>
      <c r="B2107" t="str">
        <f>"01376790020"</f>
        <v>01376790020</v>
      </c>
      <c r="C2107" t="s">
        <v>2455</v>
      </c>
      <c r="D2107" t="s">
        <v>622</v>
      </c>
      <c r="E2107">
        <v>71</v>
      </c>
      <c r="F2107">
        <v>919</v>
      </c>
      <c r="G2107" t="s">
        <v>623</v>
      </c>
      <c r="H2107">
        <v>11</v>
      </c>
      <c r="I2107" t="s">
        <v>25</v>
      </c>
      <c r="J2107">
        <v>8</v>
      </c>
      <c r="K2107" t="s">
        <v>25</v>
      </c>
      <c r="L2107">
        <v>8</v>
      </c>
      <c r="M2107">
        <v>74264</v>
      </c>
      <c r="N2107">
        <v>3</v>
      </c>
    </row>
    <row r="2108" spans="1:14" x14ac:dyDescent="0.2">
      <c r="A2108" s="3">
        <f t="shared" si="34"/>
        <v>137903</v>
      </c>
      <c r="B2108" t="str">
        <f>"01379030001"</f>
        <v>01379030001</v>
      </c>
      <c r="C2108" t="s">
        <v>2456</v>
      </c>
      <c r="D2108" t="s">
        <v>337</v>
      </c>
      <c r="E2108">
        <v>92</v>
      </c>
      <c r="F2108">
        <v>969</v>
      </c>
      <c r="G2108" t="s">
        <v>2457</v>
      </c>
      <c r="H2108">
        <v>7</v>
      </c>
      <c r="I2108" t="s">
        <v>34</v>
      </c>
      <c r="J2108">
        <v>5</v>
      </c>
      <c r="K2108" t="s">
        <v>34</v>
      </c>
      <c r="L2108">
        <v>8</v>
      </c>
      <c r="M2108">
        <v>91099</v>
      </c>
      <c r="N2108">
        <v>2</v>
      </c>
    </row>
    <row r="2109" spans="1:14" x14ac:dyDescent="0.2">
      <c r="A2109" s="3">
        <f t="shared" si="34"/>
        <v>137950</v>
      </c>
      <c r="B2109" t="str">
        <f>"01379500027"</f>
        <v>01379500027</v>
      </c>
      <c r="C2109" t="s">
        <v>2458</v>
      </c>
      <c r="D2109" t="s">
        <v>543</v>
      </c>
      <c r="E2109">
        <v>82</v>
      </c>
      <c r="F2109">
        <v>2002</v>
      </c>
      <c r="G2109" t="s">
        <v>1064</v>
      </c>
      <c r="H2109" t="s">
        <v>44</v>
      </c>
      <c r="I2109" t="s">
        <v>45</v>
      </c>
      <c r="J2109" t="s">
        <v>44</v>
      </c>
      <c r="K2109" t="s">
        <v>45</v>
      </c>
      <c r="L2109">
        <v>5</v>
      </c>
      <c r="M2109" t="s">
        <v>65</v>
      </c>
      <c r="N2109" t="s">
        <v>46</v>
      </c>
    </row>
    <row r="2110" spans="1:14" x14ac:dyDescent="0.2">
      <c r="A2110" s="3">
        <f t="shared" si="34"/>
        <v>137964</v>
      </c>
      <c r="B2110" t="str">
        <f>"01379640029"</f>
        <v>01379640029</v>
      </c>
      <c r="C2110" t="s">
        <v>2459</v>
      </c>
      <c r="D2110" t="s">
        <v>604</v>
      </c>
      <c r="E2110">
        <v>82</v>
      </c>
      <c r="F2110">
        <v>3223</v>
      </c>
      <c r="G2110" t="s">
        <v>1057</v>
      </c>
      <c r="H2110" t="s">
        <v>44</v>
      </c>
      <c r="I2110" t="s">
        <v>45</v>
      </c>
      <c r="J2110" t="s">
        <v>44</v>
      </c>
      <c r="K2110" t="s">
        <v>45</v>
      </c>
      <c r="L2110">
        <v>8</v>
      </c>
      <c r="M2110">
        <v>70148</v>
      </c>
      <c r="N2110" t="s">
        <v>46</v>
      </c>
    </row>
    <row r="2111" spans="1:14" x14ac:dyDescent="0.2">
      <c r="A2111" s="3">
        <f t="shared" si="34"/>
        <v>138047</v>
      </c>
      <c r="B2111" t="str">
        <f>"01380470020"</f>
        <v>01380470020</v>
      </c>
      <c r="C2111" t="s">
        <v>2460</v>
      </c>
      <c r="D2111" t="s">
        <v>622</v>
      </c>
      <c r="E2111">
        <v>82</v>
      </c>
      <c r="F2111">
        <v>1224</v>
      </c>
      <c r="G2111" t="s">
        <v>1014</v>
      </c>
      <c r="H2111" t="s">
        <v>44</v>
      </c>
      <c r="I2111" t="s">
        <v>45</v>
      </c>
      <c r="J2111" t="s">
        <v>44</v>
      </c>
      <c r="K2111" t="s">
        <v>45</v>
      </c>
      <c r="L2111">
        <v>8</v>
      </c>
      <c r="M2111">
        <v>70065</v>
      </c>
      <c r="N2111" t="s">
        <v>46</v>
      </c>
    </row>
    <row r="2112" spans="1:14" x14ac:dyDescent="0.2">
      <c r="A2112" s="3">
        <f t="shared" si="34"/>
        <v>138159</v>
      </c>
      <c r="B2112" t="str">
        <f>"01381590006"</f>
        <v>01381590006</v>
      </c>
      <c r="C2112" t="s">
        <v>2461</v>
      </c>
      <c r="D2112" t="s">
        <v>23</v>
      </c>
      <c r="E2112">
        <v>62</v>
      </c>
      <c r="F2112">
        <v>3796</v>
      </c>
      <c r="G2112" t="s">
        <v>24</v>
      </c>
      <c r="H2112">
        <v>8</v>
      </c>
      <c r="I2112" t="s">
        <v>25</v>
      </c>
      <c r="J2112">
        <v>6</v>
      </c>
      <c r="K2112" t="s">
        <v>25</v>
      </c>
      <c r="L2112">
        <v>8</v>
      </c>
      <c r="M2112">
        <v>95467</v>
      </c>
      <c r="N2112">
        <v>32</v>
      </c>
    </row>
    <row r="2113" spans="1:14" x14ac:dyDescent="0.2">
      <c r="A2113" s="3">
        <f t="shared" si="34"/>
        <v>138187</v>
      </c>
      <c r="B2113" t="str">
        <f>"01381870008"</f>
        <v>01381870008</v>
      </c>
      <c r="C2113" t="s">
        <v>2462</v>
      </c>
      <c r="D2113" t="s">
        <v>23</v>
      </c>
      <c r="E2113">
        <v>31</v>
      </c>
      <c r="F2113">
        <v>1429</v>
      </c>
      <c r="G2113" t="s">
        <v>873</v>
      </c>
      <c r="H2113">
        <v>30</v>
      </c>
      <c r="I2113" t="s">
        <v>34</v>
      </c>
      <c r="J2113">
        <v>20</v>
      </c>
      <c r="K2113" t="s">
        <v>34</v>
      </c>
      <c r="L2113">
        <v>6</v>
      </c>
      <c r="M2113">
        <v>2510</v>
      </c>
      <c r="N2113">
        <v>10</v>
      </c>
    </row>
    <row r="2114" spans="1:14" x14ac:dyDescent="0.2">
      <c r="A2114" s="3">
        <f t="shared" si="34"/>
        <v>138188</v>
      </c>
      <c r="B2114" t="str">
        <f>"01381880008"</f>
        <v>01381880008</v>
      </c>
      <c r="C2114" t="s">
        <v>2463</v>
      </c>
      <c r="D2114" t="s">
        <v>23</v>
      </c>
      <c r="E2114">
        <v>31</v>
      </c>
      <c r="F2114">
        <v>1429</v>
      </c>
      <c r="G2114" t="s">
        <v>873</v>
      </c>
      <c r="H2114">
        <v>30</v>
      </c>
      <c r="I2114" t="s">
        <v>34</v>
      </c>
      <c r="J2114">
        <v>20</v>
      </c>
      <c r="K2114" t="s">
        <v>34</v>
      </c>
      <c r="L2114">
        <v>6</v>
      </c>
      <c r="M2114">
        <v>2511</v>
      </c>
      <c r="N2114">
        <v>10</v>
      </c>
    </row>
    <row r="2115" spans="1:14" x14ac:dyDescent="0.2">
      <c r="A2115" s="3">
        <f t="shared" si="34"/>
        <v>138189</v>
      </c>
      <c r="B2115" t="str">
        <f>"01381890008"</f>
        <v>01381890008</v>
      </c>
      <c r="C2115" t="s">
        <v>2464</v>
      </c>
      <c r="D2115" t="s">
        <v>23</v>
      </c>
      <c r="E2115">
        <v>31</v>
      </c>
      <c r="F2115">
        <v>1429</v>
      </c>
      <c r="G2115" t="s">
        <v>873</v>
      </c>
      <c r="H2115">
        <v>30</v>
      </c>
      <c r="I2115" t="s">
        <v>34</v>
      </c>
      <c r="J2115">
        <v>20</v>
      </c>
      <c r="K2115" t="s">
        <v>34</v>
      </c>
      <c r="L2115">
        <v>6</v>
      </c>
      <c r="M2115">
        <v>2512</v>
      </c>
      <c r="N2115">
        <v>10</v>
      </c>
    </row>
    <row r="2116" spans="1:14" x14ac:dyDescent="0.2">
      <c r="A2116" s="3">
        <f t="shared" ref="A2116:A2179" si="35">(B2116-RIGHT(B2116,4))/10000</f>
        <v>138190</v>
      </c>
      <c r="B2116" t="str">
        <f>"01381900008"</f>
        <v>01381900008</v>
      </c>
      <c r="C2116" t="s">
        <v>2465</v>
      </c>
      <c r="D2116" t="s">
        <v>23</v>
      </c>
      <c r="E2116">
        <v>31</v>
      </c>
      <c r="F2116">
        <v>1429</v>
      </c>
      <c r="G2116" t="s">
        <v>873</v>
      </c>
      <c r="H2116">
        <v>30</v>
      </c>
      <c r="I2116" t="s">
        <v>34</v>
      </c>
      <c r="J2116">
        <v>20</v>
      </c>
      <c r="K2116" t="s">
        <v>34</v>
      </c>
      <c r="L2116">
        <v>6</v>
      </c>
      <c r="M2116">
        <v>2513</v>
      </c>
      <c r="N2116">
        <v>10</v>
      </c>
    </row>
    <row r="2117" spans="1:14" x14ac:dyDescent="0.2">
      <c r="A2117" s="3">
        <f t="shared" si="35"/>
        <v>138191</v>
      </c>
      <c r="B2117" t="str">
        <f>"01381910008"</f>
        <v>01381910008</v>
      </c>
      <c r="C2117" t="s">
        <v>2466</v>
      </c>
      <c r="D2117" t="s">
        <v>23</v>
      </c>
      <c r="E2117">
        <v>31</v>
      </c>
      <c r="F2117">
        <v>1429</v>
      </c>
      <c r="G2117" t="s">
        <v>873</v>
      </c>
      <c r="H2117">
        <v>30</v>
      </c>
      <c r="I2117" t="s">
        <v>34</v>
      </c>
      <c r="J2117">
        <v>20</v>
      </c>
      <c r="K2117" t="s">
        <v>34</v>
      </c>
      <c r="L2117">
        <v>6</v>
      </c>
      <c r="M2117">
        <v>2514</v>
      </c>
      <c r="N2117">
        <v>10</v>
      </c>
    </row>
    <row r="2118" spans="1:14" x14ac:dyDescent="0.2">
      <c r="A2118" s="3">
        <f t="shared" si="35"/>
        <v>138195</v>
      </c>
      <c r="B2118" t="str">
        <f>"01381950056"</f>
        <v>01381950056</v>
      </c>
      <c r="C2118" t="s">
        <v>2467</v>
      </c>
      <c r="D2118" t="s">
        <v>52</v>
      </c>
      <c r="E2118">
        <v>82</v>
      </c>
      <c r="F2118">
        <v>4320</v>
      </c>
      <c r="G2118" t="s">
        <v>1059</v>
      </c>
      <c r="H2118" t="s">
        <v>44</v>
      </c>
      <c r="I2118" t="s">
        <v>45</v>
      </c>
      <c r="J2118" t="s">
        <v>44</v>
      </c>
      <c r="K2118" t="s">
        <v>45</v>
      </c>
      <c r="L2118">
        <v>6</v>
      </c>
      <c r="M2118">
        <v>52603</v>
      </c>
      <c r="N2118" t="s">
        <v>46</v>
      </c>
    </row>
    <row r="2119" spans="1:14" x14ac:dyDescent="0.2">
      <c r="A2119" s="3">
        <f t="shared" si="35"/>
        <v>138203</v>
      </c>
      <c r="B2119" t="str">
        <f>"01382030040"</f>
        <v>01382030040</v>
      </c>
      <c r="C2119" t="s">
        <v>2468</v>
      </c>
      <c r="D2119" t="s">
        <v>52</v>
      </c>
      <c r="E2119">
        <v>82</v>
      </c>
      <c r="F2119">
        <v>4320</v>
      </c>
      <c r="G2119" t="s">
        <v>1059</v>
      </c>
      <c r="H2119" t="s">
        <v>44</v>
      </c>
      <c r="I2119" t="s">
        <v>45</v>
      </c>
      <c r="J2119" t="s">
        <v>44</v>
      </c>
      <c r="K2119" t="s">
        <v>45</v>
      </c>
      <c r="L2119">
        <v>6</v>
      </c>
      <c r="M2119">
        <v>52602</v>
      </c>
      <c r="N2119" t="s">
        <v>46</v>
      </c>
    </row>
    <row r="2120" spans="1:14" x14ac:dyDescent="0.2">
      <c r="A2120" s="3">
        <f t="shared" si="35"/>
        <v>138207</v>
      </c>
      <c r="B2120" t="str">
        <f>"01382070020"</f>
        <v>01382070020</v>
      </c>
      <c r="C2120" t="s">
        <v>2469</v>
      </c>
      <c r="D2120" t="s">
        <v>52</v>
      </c>
      <c r="E2120">
        <v>82</v>
      </c>
      <c r="F2120">
        <v>4320</v>
      </c>
      <c r="G2120" t="s">
        <v>1059</v>
      </c>
      <c r="H2120" t="s">
        <v>44</v>
      </c>
      <c r="I2120" t="s">
        <v>45</v>
      </c>
      <c r="J2120" t="s">
        <v>44</v>
      </c>
      <c r="K2120" t="s">
        <v>45</v>
      </c>
      <c r="L2120">
        <v>6</v>
      </c>
      <c r="M2120">
        <v>52629</v>
      </c>
      <c r="N2120" t="s">
        <v>46</v>
      </c>
    </row>
    <row r="2121" spans="1:14" x14ac:dyDescent="0.2">
      <c r="A2121" s="3">
        <f t="shared" si="35"/>
        <v>138215</v>
      </c>
      <c r="B2121" t="str">
        <f>"01382150024"</f>
        <v>01382150024</v>
      </c>
      <c r="C2121" t="s">
        <v>2470</v>
      </c>
      <c r="D2121" t="s">
        <v>52</v>
      </c>
      <c r="E2121">
        <v>82</v>
      </c>
      <c r="F2121">
        <v>4320</v>
      </c>
      <c r="G2121" t="s">
        <v>1059</v>
      </c>
      <c r="H2121" t="s">
        <v>44</v>
      </c>
      <c r="I2121" t="s">
        <v>45</v>
      </c>
      <c r="J2121" t="s">
        <v>44</v>
      </c>
      <c r="K2121" t="s">
        <v>45</v>
      </c>
      <c r="L2121">
        <v>6</v>
      </c>
      <c r="M2121">
        <v>52601</v>
      </c>
      <c r="N2121" t="s">
        <v>46</v>
      </c>
    </row>
    <row r="2122" spans="1:14" x14ac:dyDescent="0.2">
      <c r="A2122" s="3">
        <f t="shared" si="35"/>
        <v>138222</v>
      </c>
      <c r="B2122" t="str">
        <f>"01382220030"</f>
        <v>01382220030</v>
      </c>
      <c r="C2122" t="s">
        <v>2471</v>
      </c>
      <c r="D2122" t="s">
        <v>686</v>
      </c>
      <c r="E2122">
        <v>62</v>
      </c>
      <c r="F2122">
        <v>6901</v>
      </c>
      <c r="G2122" t="s">
        <v>1556</v>
      </c>
      <c r="H2122">
        <v>120</v>
      </c>
      <c r="I2122" t="s">
        <v>34</v>
      </c>
      <c r="J2122">
        <v>88</v>
      </c>
      <c r="K2122" t="s">
        <v>34</v>
      </c>
      <c r="L2122">
        <v>8</v>
      </c>
      <c r="M2122">
        <v>71124</v>
      </c>
      <c r="N2122">
        <v>32</v>
      </c>
    </row>
    <row r="2123" spans="1:14" x14ac:dyDescent="0.2">
      <c r="A2123" s="3">
        <f t="shared" si="35"/>
        <v>138223</v>
      </c>
      <c r="B2123" t="str">
        <f>"01382230006"</f>
        <v>01382230006</v>
      </c>
      <c r="C2123" t="s">
        <v>2472</v>
      </c>
      <c r="D2123" t="s">
        <v>23</v>
      </c>
      <c r="E2123">
        <v>62</v>
      </c>
      <c r="F2123">
        <v>3796</v>
      </c>
      <c r="G2123" t="s">
        <v>24</v>
      </c>
      <c r="H2123">
        <v>8</v>
      </c>
      <c r="I2123" t="s">
        <v>25</v>
      </c>
      <c r="J2123">
        <v>6</v>
      </c>
      <c r="K2123" t="s">
        <v>25</v>
      </c>
      <c r="L2123">
        <v>8</v>
      </c>
      <c r="M2123">
        <v>95405</v>
      </c>
      <c r="N2123">
        <v>32</v>
      </c>
    </row>
    <row r="2124" spans="1:14" x14ac:dyDescent="0.2">
      <c r="A2124" s="3">
        <f t="shared" si="35"/>
        <v>138264</v>
      </c>
      <c r="B2124" t="str">
        <f>"01382640020"</f>
        <v>01382640020</v>
      </c>
      <c r="C2124" t="s">
        <v>2473</v>
      </c>
      <c r="D2124" t="s">
        <v>543</v>
      </c>
      <c r="E2124">
        <v>82</v>
      </c>
      <c r="F2124">
        <v>2002</v>
      </c>
      <c r="G2124" t="s">
        <v>1064</v>
      </c>
      <c r="H2124" t="s">
        <v>44</v>
      </c>
      <c r="I2124" t="s">
        <v>45</v>
      </c>
      <c r="J2124" t="s">
        <v>44</v>
      </c>
      <c r="K2124" t="s">
        <v>45</v>
      </c>
      <c r="L2124">
        <v>6</v>
      </c>
      <c r="M2124" t="s">
        <v>65</v>
      </c>
      <c r="N2124" t="s">
        <v>46</v>
      </c>
    </row>
    <row r="2125" spans="1:14" x14ac:dyDescent="0.2">
      <c r="A2125" s="3">
        <f t="shared" si="35"/>
        <v>138322</v>
      </c>
      <c r="B2125" t="str">
        <f>"01383220016"</f>
        <v>01383220016</v>
      </c>
      <c r="C2125" t="s">
        <v>2474</v>
      </c>
      <c r="D2125" t="s">
        <v>52</v>
      </c>
      <c r="E2125">
        <v>71</v>
      </c>
      <c r="F2125">
        <v>8124</v>
      </c>
      <c r="G2125" t="s">
        <v>2475</v>
      </c>
      <c r="H2125">
        <v>38</v>
      </c>
      <c r="I2125" t="s">
        <v>34</v>
      </c>
      <c r="J2125">
        <v>28</v>
      </c>
      <c r="K2125" t="s">
        <v>34</v>
      </c>
      <c r="L2125">
        <v>6</v>
      </c>
      <c r="M2125">
        <v>2658</v>
      </c>
      <c r="N2125">
        <v>10</v>
      </c>
    </row>
    <row r="2126" spans="1:14" x14ac:dyDescent="0.2">
      <c r="A2126" s="3">
        <f t="shared" si="35"/>
        <v>138485</v>
      </c>
      <c r="B2126" t="str">
        <f>"01384850001"</f>
        <v>01384850001</v>
      </c>
      <c r="C2126" t="s">
        <v>2476</v>
      </c>
      <c r="D2126" t="s">
        <v>337</v>
      </c>
      <c r="E2126">
        <v>92</v>
      </c>
      <c r="F2126">
        <v>969</v>
      </c>
      <c r="G2126" t="s">
        <v>2457</v>
      </c>
      <c r="H2126">
        <v>7</v>
      </c>
      <c r="I2126" t="s">
        <v>34</v>
      </c>
      <c r="J2126">
        <v>5</v>
      </c>
      <c r="K2126" t="s">
        <v>34</v>
      </c>
      <c r="L2126">
        <v>8</v>
      </c>
      <c r="M2126">
        <v>91097</v>
      </c>
      <c r="N2126">
        <v>2</v>
      </c>
    </row>
    <row r="2127" spans="1:14" x14ac:dyDescent="0.2">
      <c r="A2127" s="3">
        <f t="shared" si="35"/>
        <v>138486</v>
      </c>
      <c r="B2127" t="str">
        <f>"01384860001"</f>
        <v>01384860001</v>
      </c>
      <c r="C2127" t="s">
        <v>2477</v>
      </c>
      <c r="D2127" t="s">
        <v>337</v>
      </c>
      <c r="E2127">
        <v>92</v>
      </c>
      <c r="F2127">
        <v>969</v>
      </c>
      <c r="G2127" t="s">
        <v>2457</v>
      </c>
      <c r="H2127">
        <v>7</v>
      </c>
      <c r="I2127" t="s">
        <v>34</v>
      </c>
      <c r="J2127">
        <v>5</v>
      </c>
      <c r="K2127" t="s">
        <v>34</v>
      </c>
      <c r="L2127">
        <v>8</v>
      </c>
      <c r="M2127">
        <v>91110</v>
      </c>
      <c r="N2127">
        <v>2</v>
      </c>
    </row>
    <row r="2128" spans="1:14" x14ac:dyDescent="0.2">
      <c r="A2128" s="3">
        <f t="shared" si="35"/>
        <v>138589</v>
      </c>
      <c r="B2128" t="str">
        <f>"01385890008"</f>
        <v>01385890008</v>
      </c>
      <c r="C2128" t="s">
        <v>2478</v>
      </c>
      <c r="D2128" t="s">
        <v>52</v>
      </c>
      <c r="E2128">
        <v>33</v>
      </c>
      <c r="F2128">
        <v>1281</v>
      </c>
      <c r="G2128" t="s">
        <v>182</v>
      </c>
      <c r="H2128">
        <v>12</v>
      </c>
      <c r="I2128" t="s">
        <v>34</v>
      </c>
      <c r="J2128">
        <v>8</v>
      </c>
      <c r="K2128" t="s">
        <v>34</v>
      </c>
      <c r="L2128">
        <v>9</v>
      </c>
      <c r="M2128">
        <v>85186</v>
      </c>
      <c r="N2128">
        <v>4</v>
      </c>
    </row>
    <row r="2129" spans="1:14" x14ac:dyDescent="0.2">
      <c r="A2129" s="3">
        <f t="shared" si="35"/>
        <v>138630</v>
      </c>
      <c r="B2129" t="str">
        <f>"01386300001"</f>
        <v>01386300001</v>
      </c>
      <c r="C2129" t="s">
        <v>2479</v>
      </c>
      <c r="D2129" t="s">
        <v>52</v>
      </c>
      <c r="E2129">
        <v>12</v>
      </c>
      <c r="F2129">
        <v>2237</v>
      </c>
      <c r="G2129" t="s">
        <v>1576</v>
      </c>
      <c r="H2129" t="s">
        <v>44</v>
      </c>
      <c r="I2129" t="s">
        <v>45</v>
      </c>
      <c r="J2129" t="s">
        <v>44</v>
      </c>
      <c r="K2129" t="s">
        <v>45</v>
      </c>
      <c r="L2129">
        <v>5</v>
      </c>
      <c r="M2129" t="s">
        <v>65</v>
      </c>
      <c r="N2129" t="s">
        <v>46</v>
      </c>
    </row>
    <row r="2130" spans="1:14" x14ac:dyDescent="0.2">
      <c r="A2130" s="3">
        <f t="shared" si="35"/>
        <v>138630</v>
      </c>
      <c r="B2130" t="str">
        <f>"01386300008"</f>
        <v>01386300008</v>
      </c>
      <c r="C2130" t="s">
        <v>2479</v>
      </c>
      <c r="D2130" t="s">
        <v>52</v>
      </c>
      <c r="E2130">
        <v>12</v>
      </c>
      <c r="F2130">
        <v>2237</v>
      </c>
      <c r="G2130" t="s">
        <v>1576</v>
      </c>
      <c r="H2130" t="s">
        <v>44</v>
      </c>
      <c r="I2130" t="s">
        <v>45</v>
      </c>
      <c r="J2130" t="s">
        <v>44</v>
      </c>
      <c r="K2130" t="s">
        <v>45</v>
      </c>
      <c r="L2130">
        <v>6</v>
      </c>
      <c r="M2130">
        <v>93388</v>
      </c>
      <c r="N2130" t="s">
        <v>46</v>
      </c>
    </row>
    <row r="2131" spans="1:14" x14ac:dyDescent="0.2">
      <c r="A2131" s="3">
        <f t="shared" si="35"/>
        <v>138634</v>
      </c>
      <c r="B2131" t="str">
        <f>"01386340001"</f>
        <v>01386340001</v>
      </c>
      <c r="C2131" t="s">
        <v>2480</v>
      </c>
      <c r="D2131" t="s">
        <v>52</v>
      </c>
      <c r="E2131">
        <v>12</v>
      </c>
      <c r="F2131">
        <v>2237</v>
      </c>
      <c r="G2131" t="s">
        <v>1576</v>
      </c>
      <c r="H2131" t="s">
        <v>44</v>
      </c>
      <c r="I2131" t="s">
        <v>45</v>
      </c>
      <c r="J2131" t="s">
        <v>44</v>
      </c>
      <c r="K2131" t="s">
        <v>45</v>
      </c>
      <c r="L2131">
        <v>5</v>
      </c>
      <c r="M2131" t="s">
        <v>65</v>
      </c>
      <c r="N2131" t="s">
        <v>46</v>
      </c>
    </row>
    <row r="2132" spans="1:14" x14ac:dyDescent="0.2">
      <c r="A2132" s="3">
        <f t="shared" si="35"/>
        <v>138668</v>
      </c>
      <c r="B2132" t="str">
        <f>"01386680014"</f>
        <v>01386680014</v>
      </c>
      <c r="C2132" t="s">
        <v>2481</v>
      </c>
      <c r="D2132" t="s">
        <v>216</v>
      </c>
      <c r="E2132">
        <v>47</v>
      </c>
      <c r="F2132">
        <v>6913</v>
      </c>
      <c r="G2132" t="s">
        <v>1399</v>
      </c>
      <c r="H2132">
        <v>12</v>
      </c>
      <c r="I2132" t="s">
        <v>25</v>
      </c>
      <c r="J2132">
        <v>9</v>
      </c>
      <c r="K2132" t="s">
        <v>25</v>
      </c>
      <c r="L2132">
        <v>8</v>
      </c>
      <c r="M2132">
        <v>76063</v>
      </c>
      <c r="N2132">
        <v>3</v>
      </c>
    </row>
    <row r="2133" spans="1:14" x14ac:dyDescent="0.2">
      <c r="A2133" s="3">
        <f t="shared" si="35"/>
        <v>138671</v>
      </c>
      <c r="B2133" t="str">
        <f>"01386710024"</f>
        <v>01386710024</v>
      </c>
      <c r="C2133" t="s">
        <v>2482</v>
      </c>
      <c r="D2133" t="s">
        <v>70</v>
      </c>
      <c r="E2133">
        <v>32</v>
      </c>
      <c r="F2133">
        <v>3490</v>
      </c>
      <c r="G2133" t="s">
        <v>2483</v>
      </c>
      <c r="H2133">
        <v>76</v>
      </c>
      <c r="I2133" t="s">
        <v>34</v>
      </c>
      <c r="J2133">
        <v>60</v>
      </c>
      <c r="K2133" t="s">
        <v>34</v>
      </c>
      <c r="L2133">
        <v>8</v>
      </c>
      <c r="M2133">
        <v>81195</v>
      </c>
      <c r="N2133">
        <v>16</v>
      </c>
    </row>
    <row r="2134" spans="1:14" x14ac:dyDescent="0.2">
      <c r="A2134" s="3">
        <f t="shared" si="35"/>
        <v>138919</v>
      </c>
      <c r="B2134" t="str">
        <f>"01389190012"</f>
        <v>01389190012</v>
      </c>
      <c r="C2134" t="s">
        <v>2484</v>
      </c>
      <c r="D2134" t="s">
        <v>42</v>
      </c>
      <c r="E2134">
        <v>46</v>
      </c>
      <c r="F2134">
        <v>902</v>
      </c>
      <c r="G2134" t="s">
        <v>651</v>
      </c>
      <c r="H2134">
        <v>9</v>
      </c>
      <c r="I2134" t="s">
        <v>25</v>
      </c>
      <c r="J2134">
        <v>7</v>
      </c>
      <c r="K2134" t="s">
        <v>25</v>
      </c>
      <c r="L2134">
        <v>9</v>
      </c>
      <c r="M2134">
        <v>73254</v>
      </c>
      <c r="N2134">
        <v>2</v>
      </c>
    </row>
    <row r="2135" spans="1:14" x14ac:dyDescent="0.2">
      <c r="A2135" s="3">
        <f t="shared" si="35"/>
        <v>138924</v>
      </c>
      <c r="B2135" t="str">
        <f>"01389240012"</f>
        <v>01389240012</v>
      </c>
      <c r="C2135" t="s">
        <v>2485</v>
      </c>
      <c r="D2135" t="s">
        <v>42</v>
      </c>
      <c r="E2135">
        <v>46</v>
      </c>
      <c r="F2135">
        <v>902</v>
      </c>
      <c r="G2135" t="s">
        <v>651</v>
      </c>
      <c r="H2135">
        <v>9</v>
      </c>
      <c r="I2135" t="s">
        <v>25</v>
      </c>
      <c r="J2135">
        <v>7</v>
      </c>
      <c r="K2135" t="s">
        <v>25</v>
      </c>
      <c r="L2135">
        <v>9</v>
      </c>
      <c r="M2135">
        <v>73252</v>
      </c>
      <c r="N2135">
        <v>2</v>
      </c>
    </row>
    <row r="2136" spans="1:14" x14ac:dyDescent="0.2">
      <c r="A2136" s="3">
        <f t="shared" si="35"/>
        <v>138960</v>
      </c>
      <c r="B2136" t="str">
        <f>"01389600020"</f>
        <v>01389600020</v>
      </c>
      <c r="C2136" t="s">
        <v>2486</v>
      </c>
      <c r="D2136" t="s">
        <v>320</v>
      </c>
      <c r="E2136">
        <v>20</v>
      </c>
      <c r="F2136">
        <v>8086</v>
      </c>
      <c r="G2136" t="s">
        <v>290</v>
      </c>
      <c r="H2136">
        <v>12</v>
      </c>
      <c r="I2136" t="s">
        <v>25</v>
      </c>
      <c r="J2136">
        <v>9</v>
      </c>
      <c r="K2136" t="s">
        <v>25</v>
      </c>
      <c r="L2136">
        <v>8</v>
      </c>
      <c r="M2136">
        <v>88030</v>
      </c>
      <c r="N2136">
        <v>3</v>
      </c>
    </row>
    <row r="2137" spans="1:14" x14ac:dyDescent="0.2">
      <c r="A2137" s="3">
        <f t="shared" si="35"/>
        <v>138960</v>
      </c>
      <c r="B2137" t="str">
        <f>"01389600020"</f>
        <v>01389600020</v>
      </c>
      <c r="C2137" t="s">
        <v>2486</v>
      </c>
      <c r="D2137" t="s">
        <v>320</v>
      </c>
      <c r="E2137">
        <v>20</v>
      </c>
      <c r="F2137">
        <v>5930</v>
      </c>
      <c r="G2137" t="s">
        <v>747</v>
      </c>
      <c r="H2137">
        <v>12</v>
      </c>
      <c r="I2137" t="s">
        <v>25</v>
      </c>
      <c r="J2137">
        <v>9</v>
      </c>
      <c r="K2137" t="s">
        <v>25</v>
      </c>
      <c r="L2137">
        <v>8</v>
      </c>
      <c r="M2137">
        <v>88030</v>
      </c>
      <c r="N2137">
        <v>3</v>
      </c>
    </row>
    <row r="2138" spans="1:14" x14ac:dyDescent="0.2">
      <c r="A2138" s="3">
        <f t="shared" si="35"/>
        <v>138961</v>
      </c>
      <c r="B2138" t="str">
        <f>"01389610020"</f>
        <v>01389610020</v>
      </c>
      <c r="C2138" t="s">
        <v>2487</v>
      </c>
      <c r="D2138" t="s">
        <v>289</v>
      </c>
      <c r="E2138">
        <v>20</v>
      </c>
      <c r="F2138">
        <v>8086</v>
      </c>
      <c r="G2138" t="s">
        <v>290</v>
      </c>
      <c r="H2138">
        <v>12</v>
      </c>
      <c r="I2138" t="s">
        <v>25</v>
      </c>
      <c r="J2138">
        <v>9</v>
      </c>
      <c r="K2138" t="s">
        <v>25</v>
      </c>
      <c r="L2138">
        <v>8</v>
      </c>
      <c r="M2138">
        <v>88027</v>
      </c>
      <c r="N2138">
        <v>3</v>
      </c>
    </row>
    <row r="2139" spans="1:14" x14ac:dyDescent="0.2">
      <c r="A2139" s="3">
        <f t="shared" si="35"/>
        <v>138961</v>
      </c>
      <c r="B2139" t="str">
        <f>"01389610020"</f>
        <v>01389610020</v>
      </c>
      <c r="C2139" t="s">
        <v>2487</v>
      </c>
      <c r="D2139" t="s">
        <v>289</v>
      </c>
      <c r="E2139">
        <v>20</v>
      </c>
      <c r="F2139">
        <v>2827</v>
      </c>
      <c r="G2139" t="s">
        <v>333</v>
      </c>
      <c r="H2139">
        <v>12</v>
      </c>
      <c r="I2139" t="s">
        <v>25</v>
      </c>
      <c r="J2139">
        <v>9</v>
      </c>
      <c r="K2139" t="s">
        <v>25</v>
      </c>
      <c r="L2139">
        <v>8</v>
      </c>
      <c r="M2139">
        <v>88027</v>
      </c>
      <c r="N2139">
        <v>3</v>
      </c>
    </row>
    <row r="2140" spans="1:14" x14ac:dyDescent="0.2">
      <c r="A2140" s="3">
        <f t="shared" si="35"/>
        <v>139014</v>
      </c>
      <c r="B2140" t="str">
        <f>"01390140014"</f>
        <v>01390140014</v>
      </c>
      <c r="C2140" t="s">
        <v>2488</v>
      </c>
      <c r="D2140" t="s">
        <v>52</v>
      </c>
      <c r="E2140">
        <v>70</v>
      </c>
      <c r="F2140">
        <v>1324</v>
      </c>
      <c r="G2140" t="s">
        <v>1438</v>
      </c>
      <c r="H2140">
        <v>150</v>
      </c>
      <c r="I2140" t="s">
        <v>34</v>
      </c>
      <c r="J2140">
        <v>118</v>
      </c>
      <c r="K2140" t="s">
        <v>34</v>
      </c>
      <c r="L2140">
        <v>5</v>
      </c>
      <c r="M2140" t="s">
        <v>65</v>
      </c>
      <c r="N2140">
        <v>32</v>
      </c>
    </row>
    <row r="2141" spans="1:14" x14ac:dyDescent="0.2">
      <c r="A2141" s="3">
        <f t="shared" si="35"/>
        <v>139172</v>
      </c>
      <c r="B2141" t="str">
        <f>"01391720004"</f>
        <v>01391720004</v>
      </c>
      <c r="C2141" t="s">
        <v>2489</v>
      </c>
      <c r="D2141" t="s">
        <v>622</v>
      </c>
      <c r="E2141">
        <v>46</v>
      </c>
      <c r="F2141">
        <v>1205</v>
      </c>
      <c r="G2141" t="s">
        <v>325</v>
      </c>
      <c r="H2141">
        <v>9</v>
      </c>
      <c r="I2141" t="s">
        <v>25</v>
      </c>
      <c r="J2141">
        <v>7</v>
      </c>
      <c r="K2141" t="s">
        <v>25</v>
      </c>
      <c r="L2141">
        <v>6</v>
      </c>
      <c r="M2141">
        <v>73158</v>
      </c>
      <c r="N2141">
        <v>2</v>
      </c>
    </row>
    <row r="2142" spans="1:14" x14ac:dyDescent="0.2">
      <c r="A2142" s="3">
        <f t="shared" si="35"/>
        <v>139234</v>
      </c>
      <c r="B2142" t="str">
        <f>"01392340015"</f>
        <v>01392340015</v>
      </c>
      <c r="C2142" t="s">
        <v>2490</v>
      </c>
      <c r="D2142" t="s">
        <v>42</v>
      </c>
      <c r="E2142">
        <v>50</v>
      </c>
      <c r="F2142">
        <v>1633</v>
      </c>
      <c r="G2142" t="s">
        <v>469</v>
      </c>
      <c r="H2142">
        <v>36</v>
      </c>
      <c r="I2142" t="s">
        <v>25</v>
      </c>
      <c r="J2142">
        <v>30</v>
      </c>
      <c r="K2142" t="s">
        <v>25</v>
      </c>
      <c r="L2142">
        <v>8</v>
      </c>
      <c r="M2142">
        <v>65173</v>
      </c>
      <c r="N2142">
        <v>6</v>
      </c>
    </row>
    <row r="2143" spans="1:14" x14ac:dyDescent="0.2">
      <c r="A2143" s="3">
        <f t="shared" si="35"/>
        <v>139235</v>
      </c>
      <c r="B2143" t="str">
        <f>"01392350015"</f>
        <v>01392350015</v>
      </c>
      <c r="C2143" t="s">
        <v>2491</v>
      </c>
      <c r="D2143" t="s">
        <v>42</v>
      </c>
      <c r="E2143">
        <v>50</v>
      </c>
      <c r="F2143">
        <v>1633</v>
      </c>
      <c r="G2143" t="s">
        <v>469</v>
      </c>
      <c r="H2143">
        <v>36</v>
      </c>
      <c r="I2143" t="s">
        <v>25</v>
      </c>
      <c r="J2143">
        <v>30</v>
      </c>
      <c r="K2143" t="s">
        <v>25</v>
      </c>
      <c r="L2143">
        <v>8</v>
      </c>
      <c r="M2143">
        <v>65193</v>
      </c>
      <c r="N2143">
        <v>6</v>
      </c>
    </row>
    <row r="2144" spans="1:14" x14ac:dyDescent="0.2">
      <c r="A2144" s="3">
        <f t="shared" si="35"/>
        <v>139239</v>
      </c>
      <c r="B2144" t="str">
        <f>"01392390024"</f>
        <v>01392390024</v>
      </c>
      <c r="C2144" t="s">
        <v>2492</v>
      </c>
      <c r="D2144" t="s">
        <v>42</v>
      </c>
      <c r="E2144">
        <v>50</v>
      </c>
      <c r="F2144">
        <v>1633</v>
      </c>
      <c r="G2144" t="s">
        <v>469</v>
      </c>
      <c r="H2144">
        <v>36</v>
      </c>
      <c r="I2144" t="s">
        <v>25</v>
      </c>
      <c r="J2144">
        <v>30</v>
      </c>
      <c r="K2144" t="s">
        <v>25</v>
      </c>
      <c r="L2144">
        <v>8</v>
      </c>
      <c r="M2144">
        <v>65186</v>
      </c>
      <c r="N2144">
        <v>6</v>
      </c>
    </row>
    <row r="2145" spans="1:14" x14ac:dyDescent="0.2">
      <c r="A2145" s="3">
        <f t="shared" si="35"/>
        <v>139291</v>
      </c>
      <c r="B2145" t="str">
        <f>"01392910045"</f>
        <v>01392910045</v>
      </c>
      <c r="C2145" t="s">
        <v>2493</v>
      </c>
      <c r="D2145" t="s">
        <v>1339</v>
      </c>
      <c r="E2145">
        <v>82</v>
      </c>
      <c r="F2145">
        <v>4320</v>
      </c>
      <c r="G2145" t="s">
        <v>1059</v>
      </c>
      <c r="H2145" t="s">
        <v>44</v>
      </c>
      <c r="I2145" t="s">
        <v>45</v>
      </c>
      <c r="J2145" t="s">
        <v>44</v>
      </c>
      <c r="K2145" t="s">
        <v>45</v>
      </c>
      <c r="L2145">
        <v>6</v>
      </c>
      <c r="M2145">
        <v>52605</v>
      </c>
      <c r="N2145" t="s">
        <v>46</v>
      </c>
    </row>
    <row r="2146" spans="1:14" x14ac:dyDescent="0.2">
      <c r="A2146" s="3">
        <f t="shared" si="35"/>
        <v>139292</v>
      </c>
      <c r="B2146" t="str">
        <f>"01392920025"</f>
        <v>01392920025</v>
      </c>
      <c r="C2146" t="s">
        <v>2494</v>
      </c>
      <c r="D2146" t="s">
        <v>52</v>
      </c>
      <c r="E2146">
        <v>82</v>
      </c>
      <c r="F2146">
        <v>4320</v>
      </c>
      <c r="G2146" t="s">
        <v>1059</v>
      </c>
      <c r="H2146" t="s">
        <v>44</v>
      </c>
      <c r="I2146" t="s">
        <v>45</v>
      </c>
      <c r="J2146" t="s">
        <v>44</v>
      </c>
      <c r="K2146" t="s">
        <v>45</v>
      </c>
      <c r="L2146">
        <v>6</v>
      </c>
      <c r="M2146">
        <v>52604</v>
      </c>
      <c r="N2146" t="s">
        <v>46</v>
      </c>
    </row>
    <row r="2147" spans="1:14" x14ac:dyDescent="0.2">
      <c r="A2147" s="3">
        <f t="shared" si="35"/>
        <v>139441</v>
      </c>
      <c r="B2147" t="str">
        <f>"01394410001"</f>
        <v>01394410001</v>
      </c>
      <c r="C2147" t="s">
        <v>2495</v>
      </c>
      <c r="D2147" t="s">
        <v>70</v>
      </c>
      <c r="E2147">
        <v>90</v>
      </c>
      <c r="F2147">
        <v>1091</v>
      </c>
      <c r="G2147" t="s">
        <v>1327</v>
      </c>
      <c r="H2147">
        <v>7</v>
      </c>
      <c r="I2147" t="s">
        <v>34</v>
      </c>
      <c r="J2147">
        <v>5</v>
      </c>
      <c r="K2147" t="s">
        <v>34</v>
      </c>
      <c r="L2147">
        <v>6</v>
      </c>
      <c r="M2147" t="s">
        <v>65</v>
      </c>
      <c r="N2147">
        <v>2</v>
      </c>
    </row>
    <row r="2148" spans="1:14" x14ac:dyDescent="0.2">
      <c r="A2148" s="3">
        <f t="shared" si="35"/>
        <v>139563</v>
      </c>
      <c r="B2148" t="str">
        <f>"01395630005"</f>
        <v>01395630005</v>
      </c>
      <c r="C2148" t="s">
        <v>2496</v>
      </c>
      <c r="D2148" t="s">
        <v>52</v>
      </c>
      <c r="E2148">
        <v>70</v>
      </c>
      <c r="F2148">
        <v>703</v>
      </c>
      <c r="G2148" t="s">
        <v>562</v>
      </c>
      <c r="H2148">
        <v>7</v>
      </c>
      <c r="I2148" t="s">
        <v>25</v>
      </c>
      <c r="J2148">
        <v>5</v>
      </c>
      <c r="K2148" t="s">
        <v>25</v>
      </c>
      <c r="L2148">
        <v>6</v>
      </c>
      <c r="M2148">
        <v>1608</v>
      </c>
      <c r="N2148">
        <v>2</v>
      </c>
    </row>
    <row r="2149" spans="1:14" x14ac:dyDescent="0.2">
      <c r="A2149" s="3">
        <f t="shared" si="35"/>
        <v>139569</v>
      </c>
      <c r="B2149" t="str">
        <f>"01395690015"</f>
        <v>01395690015</v>
      </c>
      <c r="C2149" t="s">
        <v>2497</v>
      </c>
      <c r="D2149" t="s">
        <v>70</v>
      </c>
      <c r="E2149">
        <v>32</v>
      </c>
      <c r="F2149">
        <v>282</v>
      </c>
      <c r="G2149" t="s">
        <v>2259</v>
      </c>
      <c r="H2149">
        <v>56</v>
      </c>
      <c r="I2149" t="s">
        <v>34</v>
      </c>
      <c r="J2149">
        <v>41</v>
      </c>
      <c r="K2149" t="s">
        <v>34</v>
      </c>
      <c r="L2149">
        <v>6</v>
      </c>
      <c r="M2149" t="s">
        <v>65</v>
      </c>
      <c r="N2149">
        <v>15</v>
      </c>
    </row>
    <row r="2150" spans="1:14" x14ac:dyDescent="0.2">
      <c r="A2150" s="3">
        <f t="shared" si="35"/>
        <v>139872</v>
      </c>
      <c r="B2150" t="str">
        <f>"01398720010"</f>
        <v>01398720010</v>
      </c>
      <c r="C2150" t="s">
        <v>2498</v>
      </c>
      <c r="D2150" t="s">
        <v>70</v>
      </c>
      <c r="E2150">
        <v>32</v>
      </c>
      <c r="F2150">
        <v>1102</v>
      </c>
      <c r="G2150" t="s">
        <v>1624</v>
      </c>
      <c r="H2150">
        <v>65</v>
      </c>
      <c r="I2150" t="s">
        <v>34</v>
      </c>
      <c r="J2150">
        <v>52</v>
      </c>
      <c r="K2150" t="s">
        <v>34</v>
      </c>
      <c r="L2150">
        <v>8</v>
      </c>
      <c r="M2150">
        <v>82069</v>
      </c>
      <c r="N2150">
        <v>13</v>
      </c>
    </row>
    <row r="2151" spans="1:14" x14ac:dyDescent="0.2">
      <c r="A2151" s="3">
        <f t="shared" si="35"/>
        <v>139911</v>
      </c>
      <c r="B2151" t="str">
        <f>"01399110036"</f>
        <v>01399110036</v>
      </c>
      <c r="C2151" t="s">
        <v>2499</v>
      </c>
      <c r="D2151" t="s">
        <v>42</v>
      </c>
      <c r="E2151">
        <v>70</v>
      </c>
      <c r="F2151">
        <v>1647</v>
      </c>
      <c r="G2151" t="s">
        <v>557</v>
      </c>
      <c r="H2151">
        <v>9</v>
      </c>
      <c r="I2151" t="s">
        <v>25</v>
      </c>
      <c r="J2151">
        <v>7</v>
      </c>
      <c r="K2151" t="s">
        <v>25</v>
      </c>
      <c r="L2151">
        <v>8</v>
      </c>
      <c r="M2151">
        <v>72153</v>
      </c>
      <c r="N2151">
        <v>2</v>
      </c>
    </row>
    <row r="2152" spans="1:14" x14ac:dyDescent="0.2">
      <c r="A2152" s="3">
        <f t="shared" si="35"/>
        <v>139914</v>
      </c>
      <c r="B2152" t="str">
        <f>"01399140020"</f>
        <v>01399140020</v>
      </c>
      <c r="C2152" t="s">
        <v>2500</v>
      </c>
      <c r="D2152" t="s">
        <v>622</v>
      </c>
      <c r="E2152">
        <v>71</v>
      </c>
      <c r="F2152">
        <v>4366</v>
      </c>
      <c r="G2152" t="s">
        <v>625</v>
      </c>
      <c r="H2152">
        <v>6</v>
      </c>
      <c r="I2152" t="s">
        <v>25</v>
      </c>
      <c r="J2152">
        <v>4</v>
      </c>
      <c r="K2152" t="s">
        <v>25</v>
      </c>
      <c r="L2152">
        <v>6</v>
      </c>
      <c r="M2152" t="s">
        <v>65</v>
      </c>
      <c r="N2152">
        <v>2</v>
      </c>
    </row>
    <row r="2153" spans="1:14" x14ac:dyDescent="0.2">
      <c r="A2153" s="3">
        <f t="shared" si="35"/>
        <v>140041</v>
      </c>
      <c r="B2153" t="str">
        <f>"01400410006"</f>
        <v>01400410006</v>
      </c>
      <c r="C2153" t="s">
        <v>2501</v>
      </c>
      <c r="D2153" t="s">
        <v>23</v>
      </c>
      <c r="E2153">
        <v>62</v>
      </c>
      <c r="F2153">
        <v>3796</v>
      </c>
      <c r="G2153" t="s">
        <v>24</v>
      </c>
      <c r="H2153">
        <v>8</v>
      </c>
      <c r="I2153" t="s">
        <v>25</v>
      </c>
      <c r="J2153">
        <v>6</v>
      </c>
      <c r="K2153" t="s">
        <v>25</v>
      </c>
      <c r="L2153">
        <v>8</v>
      </c>
      <c r="M2153">
        <v>71160</v>
      </c>
      <c r="N2153">
        <v>2</v>
      </c>
    </row>
    <row r="2154" spans="1:14" x14ac:dyDescent="0.2">
      <c r="A2154" s="3">
        <f t="shared" si="35"/>
        <v>140042</v>
      </c>
      <c r="B2154" t="str">
        <f>"01400420006"</f>
        <v>01400420006</v>
      </c>
      <c r="C2154" t="s">
        <v>2502</v>
      </c>
      <c r="D2154" t="s">
        <v>23</v>
      </c>
      <c r="E2154">
        <v>62</v>
      </c>
      <c r="F2154">
        <v>3796</v>
      </c>
      <c r="G2154" t="s">
        <v>24</v>
      </c>
      <c r="H2154">
        <v>8</v>
      </c>
      <c r="I2154" t="s">
        <v>25</v>
      </c>
      <c r="J2154">
        <v>6</v>
      </c>
      <c r="K2154" t="s">
        <v>25</v>
      </c>
      <c r="L2154">
        <v>8</v>
      </c>
      <c r="M2154">
        <v>71168</v>
      </c>
      <c r="N2154">
        <v>32</v>
      </c>
    </row>
    <row r="2155" spans="1:14" x14ac:dyDescent="0.2">
      <c r="A2155" s="3">
        <f t="shared" si="35"/>
        <v>140043</v>
      </c>
      <c r="B2155" t="str">
        <f>"01400430006"</f>
        <v>01400430006</v>
      </c>
      <c r="C2155" t="s">
        <v>2503</v>
      </c>
      <c r="D2155" t="s">
        <v>23</v>
      </c>
      <c r="E2155">
        <v>62</v>
      </c>
      <c r="F2155">
        <v>3796</v>
      </c>
      <c r="G2155" t="s">
        <v>24</v>
      </c>
      <c r="H2155">
        <v>8</v>
      </c>
      <c r="I2155" t="s">
        <v>25</v>
      </c>
      <c r="J2155">
        <v>6</v>
      </c>
      <c r="K2155" t="s">
        <v>25</v>
      </c>
      <c r="L2155">
        <v>8</v>
      </c>
      <c r="M2155">
        <v>95444</v>
      </c>
      <c r="N2155">
        <v>32</v>
      </c>
    </row>
    <row r="2156" spans="1:14" x14ac:dyDescent="0.2">
      <c r="A2156" s="3">
        <f t="shared" si="35"/>
        <v>140045</v>
      </c>
      <c r="B2156" t="str">
        <f>"01400450006"</f>
        <v>01400450006</v>
      </c>
      <c r="C2156" t="s">
        <v>2504</v>
      </c>
      <c r="D2156" t="s">
        <v>23</v>
      </c>
      <c r="E2156">
        <v>62</v>
      </c>
      <c r="F2156">
        <v>3796</v>
      </c>
      <c r="G2156" t="s">
        <v>24</v>
      </c>
      <c r="H2156">
        <v>7</v>
      </c>
      <c r="I2156" t="s">
        <v>25</v>
      </c>
      <c r="J2156">
        <v>5</v>
      </c>
      <c r="K2156" t="s">
        <v>25</v>
      </c>
      <c r="L2156">
        <v>8</v>
      </c>
      <c r="M2156">
        <v>95204</v>
      </c>
      <c r="N2156">
        <v>2</v>
      </c>
    </row>
    <row r="2157" spans="1:14" x14ac:dyDescent="0.2">
      <c r="A2157" s="3">
        <f t="shared" si="35"/>
        <v>140050</v>
      </c>
      <c r="B2157" t="str">
        <f>"01400500010"</f>
        <v>01400500010</v>
      </c>
      <c r="C2157" t="s">
        <v>2505</v>
      </c>
      <c r="D2157" t="s">
        <v>42</v>
      </c>
      <c r="E2157">
        <v>46</v>
      </c>
      <c r="F2157">
        <v>1100</v>
      </c>
      <c r="G2157" t="s">
        <v>2308</v>
      </c>
      <c r="H2157">
        <v>19</v>
      </c>
      <c r="I2157" t="s">
        <v>25</v>
      </c>
      <c r="J2157">
        <v>15</v>
      </c>
      <c r="K2157" t="s">
        <v>25</v>
      </c>
      <c r="L2157">
        <v>8</v>
      </c>
      <c r="M2157">
        <v>73098</v>
      </c>
      <c r="N2157">
        <v>4</v>
      </c>
    </row>
    <row r="2158" spans="1:14" x14ac:dyDescent="0.2">
      <c r="A2158" s="3">
        <f t="shared" si="35"/>
        <v>140063</v>
      </c>
      <c r="B2158" t="str">
        <f>"01400630003"</f>
        <v>01400630003</v>
      </c>
      <c r="C2158" t="s">
        <v>2506</v>
      </c>
      <c r="D2158" t="s">
        <v>686</v>
      </c>
      <c r="E2158">
        <v>62</v>
      </c>
      <c r="F2158">
        <v>6901</v>
      </c>
      <c r="G2158" t="s">
        <v>1556</v>
      </c>
      <c r="H2158">
        <v>120</v>
      </c>
      <c r="I2158" t="s">
        <v>34</v>
      </c>
      <c r="J2158">
        <v>88</v>
      </c>
      <c r="K2158" t="s">
        <v>34</v>
      </c>
      <c r="L2158">
        <v>8</v>
      </c>
      <c r="M2158">
        <v>71083</v>
      </c>
      <c r="N2158">
        <v>32</v>
      </c>
    </row>
    <row r="2159" spans="1:14" x14ac:dyDescent="0.2">
      <c r="A2159" s="3">
        <f t="shared" si="35"/>
        <v>140121</v>
      </c>
      <c r="B2159" t="str">
        <f>"01401210024"</f>
        <v>01401210024</v>
      </c>
      <c r="C2159" t="s">
        <v>2507</v>
      </c>
      <c r="D2159" t="s">
        <v>216</v>
      </c>
      <c r="E2159">
        <v>71</v>
      </c>
      <c r="F2159">
        <v>1478</v>
      </c>
      <c r="G2159" t="s">
        <v>2312</v>
      </c>
      <c r="H2159">
        <v>6</v>
      </c>
      <c r="I2159" t="s">
        <v>25</v>
      </c>
      <c r="J2159">
        <v>4</v>
      </c>
      <c r="K2159" t="s">
        <v>25</v>
      </c>
      <c r="L2159">
        <v>8</v>
      </c>
      <c r="M2159">
        <v>76092</v>
      </c>
      <c r="N2159">
        <v>2</v>
      </c>
    </row>
    <row r="2160" spans="1:14" x14ac:dyDescent="0.2">
      <c r="A2160" s="3">
        <f t="shared" si="35"/>
        <v>140189</v>
      </c>
      <c r="B2160" t="str">
        <f>"01401890010"</f>
        <v>01401890010</v>
      </c>
      <c r="C2160" t="s">
        <v>2508</v>
      </c>
      <c r="D2160" t="s">
        <v>23</v>
      </c>
      <c r="E2160">
        <v>47</v>
      </c>
      <c r="F2160">
        <v>4616</v>
      </c>
      <c r="G2160" t="s">
        <v>449</v>
      </c>
      <c r="H2160">
        <v>20</v>
      </c>
      <c r="I2160" t="s">
        <v>25</v>
      </c>
      <c r="J2160">
        <v>16</v>
      </c>
      <c r="K2160" t="s">
        <v>25</v>
      </c>
      <c r="L2160">
        <v>8</v>
      </c>
      <c r="M2160">
        <v>67065</v>
      </c>
      <c r="N2160">
        <v>4</v>
      </c>
    </row>
    <row r="2161" spans="1:14" x14ac:dyDescent="0.2">
      <c r="A2161" s="3">
        <f t="shared" si="35"/>
        <v>140241</v>
      </c>
      <c r="B2161" t="str">
        <f>"01402410001"</f>
        <v>01402410001</v>
      </c>
      <c r="C2161" t="s">
        <v>2509</v>
      </c>
      <c r="D2161" t="s">
        <v>52</v>
      </c>
      <c r="E2161">
        <v>12</v>
      </c>
      <c r="F2161">
        <v>2237</v>
      </c>
      <c r="G2161" t="s">
        <v>1576</v>
      </c>
      <c r="H2161" t="s">
        <v>44</v>
      </c>
      <c r="I2161" t="s">
        <v>45</v>
      </c>
      <c r="J2161" t="s">
        <v>44</v>
      </c>
      <c r="K2161" t="s">
        <v>45</v>
      </c>
      <c r="L2161">
        <v>5</v>
      </c>
      <c r="M2161" t="s">
        <v>65</v>
      </c>
      <c r="N2161" t="s">
        <v>46</v>
      </c>
    </row>
    <row r="2162" spans="1:14" x14ac:dyDescent="0.2">
      <c r="A2162" s="3">
        <f t="shared" si="35"/>
        <v>140241</v>
      </c>
      <c r="B2162" t="str">
        <f>"01402410008"</f>
        <v>01402410008</v>
      </c>
      <c r="C2162" t="s">
        <v>2509</v>
      </c>
      <c r="D2162" t="s">
        <v>52</v>
      </c>
      <c r="E2162">
        <v>12</v>
      </c>
      <c r="F2162">
        <v>2237</v>
      </c>
      <c r="G2162" t="s">
        <v>1576</v>
      </c>
      <c r="H2162" t="s">
        <v>44</v>
      </c>
      <c r="I2162" t="s">
        <v>45</v>
      </c>
      <c r="J2162" t="s">
        <v>44</v>
      </c>
      <c r="K2162" t="s">
        <v>45</v>
      </c>
      <c r="L2162">
        <v>5</v>
      </c>
      <c r="M2162" t="s">
        <v>65</v>
      </c>
      <c r="N2162" t="s">
        <v>46</v>
      </c>
    </row>
    <row r="2163" spans="1:14" x14ac:dyDescent="0.2">
      <c r="A2163" s="3">
        <f t="shared" si="35"/>
        <v>140568</v>
      </c>
      <c r="B2163" t="str">
        <f>"01405680012"</f>
        <v>01405680012</v>
      </c>
      <c r="C2163" t="s">
        <v>2510</v>
      </c>
      <c r="D2163" t="s">
        <v>52</v>
      </c>
      <c r="E2163">
        <v>71</v>
      </c>
      <c r="F2163">
        <v>1771</v>
      </c>
      <c r="G2163" t="s">
        <v>2511</v>
      </c>
      <c r="H2163">
        <v>77</v>
      </c>
      <c r="I2163" t="s">
        <v>34</v>
      </c>
      <c r="J2163">
        <v>60</v>
      </c>
      <c r="K2163" t="s">
        <v>34</v>
      </c>
      <c r="L2163">
        <v>5</v>
      </c>
      <c r="M2163" t="s">
        <v>65</v>
      </c>
      <c r="N2163">
        <v>17</v>
      </c>
    </row>
    <row r="2164" spans="1:14" x14ac:dyDescent="0.2">
      <c r="A2164" s="3">
        <f t="shared" si="35"/>
        <v>140725</v>
      </c>
      <c r="B2164" t="str">
        <f>"01407250012"</f>
        <v>01407250012</v>
      </c>
      <c r="C2164" t="s">
        <v>2512</v>
      </c>
      <c r="D2164" t="s">
        <v>42</v>
      </c>
      <c r="E2164">
        <v>46</v>
      </c>
      <c r="F2164">
        <v>902</v>
      </c>
      <c r="G2164" t="s">
        <v>651</v>
      </c>
      <c r="H2164">
        <v>9</v>
      </c>
      <c r="I2164" t="s">
        <v>25</v>
      </c>
      <c r="J2164">
        <v>7</v>
      </c>
      <c r="K2164" t="s">
        <v>25</v>
      </c>
      <c r="L2164">
        <v>8</v>
      </c>
      <c r="M2164">
        <v>73104</v>
      </c>
      <c r="N2164">
        <v>2</v>
      </c>
    </row>
    <row r="2165" spans="1:14" x14ac:dyDescent="0.2">
      <c r="A2165" s="3">
        <f t="shared" si="35"/>
        <v>140779</v>
      </c>
      <c r="B2165" t="str">
        <f>"01407790006"</f>
        <v>01407790006</v>
      </c>
      <c r="C2165" t="s">
        <v>2513</v>
      </c>
      <c r="D2165" t="s">
        <v>23</v>
      </c>
      <c r="E2165">
        <v>62</v>
      </c>
      <c r="F2165">
        <v>3796</v>
      </c>
      <c r="G2165" t="s">
        <v>24</v>
      </c>
      <c r="H2165">
        <v>7</v>
      </c>
      <c r="I2165" t="s">
        <v>25</v>
      </c>
      <c r="J2165">
        <v>5</v>
      </c>
      <c r="K2165" t="s">
        <v>25</v>
      </c>
      <c r="L2165">
        <v>8</v>
      </c>
      <c r="M2165">
        <v>95446</v>
      </c>
      <c r="N2165">
        <v>2</v>
      </c>
    </row>
    <row r="2166" spans="1:14" x14ac:dyDescent="0.2">
      <c r="A2166" s="3">
        <f t="shared" si="35"/>
        <v>140779</v>
      </c>
      <c r="B2166" t="str">
        <f>"01407790216"</f>
        <v>01407790216</v>
      </c>
      <c r="C2166" t="s">
        <v>2513</v>
      </c>
      <c r="D2166" t="s">
        <v>52</v>
      </c>
      <c r="E2166">
        <v>62</v>
      </c>
      <c r="F2166">
        <v>3796</v>
      </c>
      <c r="G2166" t="s">
        <v>24</v>
      </c>
      <c r="H2166">
        <v>7</v>
      </c>
      <c r="I2166" t="s">
        <v>25</v>
      </c>
      <c r="J2166">
        <v>5</v>
      </c>
      <c r="K2166" t="s">
        <v>25</v>
      </c>
      <c r="L2166">
        <v>5</v>
      </c>
      <c r="M2166" t="s">
        <v>65</v>
      </c>
      <c r="N2166">
        <v>2</v>
      </c>
    </row>
    <row r="2167" spans="1:14" x14ac:dyDescent="0.2">
      <c r="A2167" s="3">
        <f t="shared" si="35"/>
        <v>140872</v>
      </c>
      <c r="B2167" t="str">
        <f>"01408720028"</f>
        <v>01408720028</v>
      </c>
      <c r="C2167" t="s">
        <v>2514</v>
      </c>
      <c r="D2167" t="s">
        <v>52</v>
      </c>
      <c r="E2167">
        <v>71</v>
      </c>
      <c r="F2167">
        <v>4812</v>
      </c>
      <c r="G2167" t="s">
        <v>1393</v>
      </c>
      <c r="H2167">
        <v>77</v>
      </c>
      <c r="I2167" t="s">
        <v>34</v>
      </c>
      <c r="J2167">
        <v>60</v>
      </c>
      <c r="K2167" t="s">
        <v>34</v>
      </c>
      <c r="L2167">
        <v>5</v>
      </c>
      <c r="M2167" t="s">
        <v>65</v>
      </c>
      <c r="N2167">
        <v>17</v>
      </c>
    </row>
    <row r="2168" spans="1:14" x14ac:dyDescent="0.2">
      <c r="A2168" s="3">
        <f t="shared" si="35"/>
        <v>140934</v>
      </c>
      <c r="B2168" t="str">
        <f>"01409340012"</f>
        <v>01409340012</v>
      </c>
      <c r="C2168" t="s">
        <v>2515</v>
      </c>
      <c r="D2168" t="s">
        <v>622</v>
      </c>
      <c r="E2168">
        <v>83</v>
      </c>
      <c r="F2168">
        <v>1224</v>
      </c>
      <c r="G2168" t="s">
        <v>1014</v>
      </c>
      <c r="H2168" t="s">
        <v>44</v>
      </c>
      <c r="I2168" t="s">
        <v>45</v>
      </c>
      <c r="J2168" t="s">
        <v>44</v>
      </c>
      <c r="K2168" t="s">
        <v>45</v>
      </c>
      <c r="L2168">
        <v>7</v>
      </c>
      <c r="M2168">
        <v>95250</v>
      </c>
      <c r="N2168" t="s">
        <v>46</v>
      </c>
    </row>
    <row r="2169" spans="1:14" x14ac:dyDescent="0.2">
      <c r="A2169" s="3">
        <f t="shared" si="35"/>
        <v>140952</v>
      </c>
      <c r="B2169" t="str">
        <f>"01409520012"</f>
        <v>01409520012</v>
      </c>
      <c r="C2169" t="s">
        <v>2516</v>
      </c>
      <c r="D2169" t="s">
        <v>622</v>
      </c>
      <c r="E2169">
        <v>83</v>
      </c>
      <c r="F2169">
        <v>1224</v>
      </c>
      <c r="G2169" t="s">
        <v>1014</v>
      </c>
      <c r="H2169" t="s">
        <v>44</v>
      </c>
      <c r="I2169" t="s">
        <v>45</v>
      </c>
      <c r="J2169" t="s">
        <v>44</v>
      </c>
      <c r="K2169" t="s">
        <v>45</v>
      </c>
      <c r="L2169">
        <v>8</v>
      </c>
      <c r="M2169">
        <v>95240</v>
      </c>
      <c r="N2169" t="s">
        <v>46</v>
      </c>
    </row>
    <row r="2170" spans="1:14" x14ac:dyDescent="0.2">
      <c r="A2170" s="3">
        <f t="shared" si="35"/>
        <v>141126</v>
      </c>
      <c r="B2170" t="str">
        <f>"01411260012"</f>
        <v>01411260012</v>
      </c>
      <c r="C2170" t="s">
        <v>2517</v>
      </c>
      <c r="D2170" t="s">
        <v>42</v>
      </c>
      <c r="E2170">
        <v>46</v>
      </c>
      <c r="F2170">
        <v>902</v>
      </c>
      <c r="G2170" t="s">
        <v>651</v>
      </c>
      <c r="H2170">
        <v>9</v>
      </c>
      <c r="I2170" t="s">
        <v>25</v>
      </c>
      <c r="J2170">
        <v>7</v>
      </c>
      <c r="K2170" t="s">
        <v>25</v>
      </c>
      <c r="L2170">
        <v>5</v>
      </c>
      <c r="M2170" t="s">
        <v>65</v>
      </c>
      <c r="N2170">
        <v>2</v>
      </c>
    </row>
    <row r="2171" spans="1:14" x14ac:dyDescent="0.2">
      <c r="A2171" s="3">
        <f t="shared" si="35"/>
        <v>141127</v>
      </c>
      <c r="B2171" t="str">
        <f>"01411270012"</f>
        <v>01411270012</v>
      </c>
      <c r="C2171" t="s">
        <v>2518</v>
      </c>
      <c r="D2171" t="s">
        <v>42</v>
      </c>
      <c r="E2171">
        <v>46</v>
      </c>
      <c r="F2171">
        <v>902</v>
      </c>
      <c r="G2171" t="s">
        <v>651</v>
      </c>
      <c r="H2171">
        <v>9</v>
      </c>
      <c r="I2171" t="s">
        <v>25</v>
      </c>
      <c r="J2171">
        <v>7</v>
      </c>
      <c r="K2171" t="s">
        <v>25</v>
      </c>
      <c r="L2171">
        <v>8</v>
      </c>
      <c r="M2171">
        <v>73247</v>
      </c>
      <c r="N2171">
        <v>2</v>
      </c>
    </row>
    <row r="2172" spans="1:14" x14ac:dyDescent="0.2">
      <c r="A2172" s="3">
        <f t="shared" si="35"/>
        <v>141128</v>
      </c>
      <c r="B2172" t="str">
        <f>"01411280012"</f>
        <v>01411280012</v>
      </c>
      <c r="C2172" t="s">
        <v>2519</v>
      </c>
      <c r="D2172" t="s">
        <v>42</v>
      </c>
      <c r="E2172">
        <v>46</v>
      </c>
      <c r="F2172">
        <v>902</v>
      </c>
      <c r="G2172" t="s">
        <v>651</v>
      </c>
      <c r="H2172">
        <v>9</v>
      </c>
      <c r="I2172" t="s">
        <v>25</v>
      </c>
      <c r="J2172">
        <v>7</v>
      </c>
      <c r="K2172" t="s">
        <v>25</v>
      </c>
      <c r="L2172">
        <v>8</v>
      </c>
      <c r="M2172">
        <v>73248</v>
      </c>
      <c r="N2172">
        <v>2</v>
      </c>
    </row>
    <row r="2173" spans="1:14" x14ac:dyDescent="0.2">
      <c r="A2173" s="3">
        <f t="shared" si="35"/>
        <v>141129</v>
      </c>
      <c r="B2173" t="str">
        <f>"01411290012"</f>
        <v>01411290012</v>
      </c>
      <c r="C2173" t="s">
        <v>2520</v>
      </c>
      <c r="D2173" t="s">
        <v>42</v>
      </c>
      <c r="E2173">
        <v>46</v>
      </c>
      <c r="F2173">
        <v>902</v>
      </c>
      <c r="G2173" t="s">
        <v>651</v>
      </c>
      <c r="H2173">
        <v>9</v>
      </c>
      <c r="I2173" t="s">
        <v>25</v>
      </c>
      <c r="J2173">
        <v>7</v>
      </c>
      <c r="K2173" t="s">
        <v>25</v>
      </c>
      <c r="L2173">
        <v>6</v>
      </c>
      <c r="M2173" t="s">
        <v>65</v>
      </c>
      <c r="N2173">
        <v>2</v>
      </c>
    </row>
    <row r="2174" spans="1:14" x14ac:dyDescent="0.2">
      <c r="A2174" s="3">
        <f t="shared" si="35"/>
        <v>141130</v>
      </c>
      <c r="B2174" t="str">
        <f>"01411300012"</f>
        <v>01411300012</v>
      </c>
      <c r="C2174" t="s">
        <v>2521</v>
      </c>
      <c r="D2174" t="s">
        <v>42</v>
      </c>
      <c r="E2174">
        <v>46</v>
      </c>
      <c r="F2174">
        <v>902</v>
      </c>
      <c r="G2174" t="s">
        <v>651</v>
      </c>
      <c r="H2174">
        <v>9</v>
      </c>
      <c r="I2174" t="s">
        <v>25</v>
      </c>
      <c r="J2174">
        <v>7</v>
      </c>
      <c r="K2174" t="s">
        <v>25</v>
      </c>
      <c r="L2174">
        <v>8</v>
      </c>
      <c r="M2174">
        <v>73256</v>
      </c>
      <c r="N2174">
        <v>2</v>
      </c>
    </row>
    <row r="2175" spans="1:14" x14ac:dyDescent="0.2">
      <c r="A2175" s="3">
        <f t="shared" si="35"/>
        <v>141131</v>
      </c>
      <c r="B2175" t="str">
        <f>"01411310012"</f>
        <v>01411310012</v>
      </c>
      <c r="C2175" t="s">
        <v>2522</v>
      </c>
      <c r="D2175" t="s">
        <v>42</v>
      </c>
      <c r="E2175">
        <v>46</v>
      </c>
      <c r="F2175">
        <v>902</v>
      </c>
      <c r="G2175" t="s">
        <v>651</v>
      </c>
      <c r="H2175">
        <v>9</v>
      </c>
      <c r="I2175" t="s">
        <v>25</v>
      </c>
      <c r="J2175">
        <v>7</v>
      </c>
      <c r="K2175" t="s">
        <v>25</v>
      </c>
      <c r="L2175">
        <v>8</v>
      </c>
      <c r="M2175">
        <v>73250</v>
      </c>
      <c r="N2175">
        <v>2</v>
      </c>
    </row>
    <row r="2176" spans="1:14" x14ac:dyDescent="0.2">
      <c r="A2176" s="3">
        <f t="shared" si="35"/>
        <v>141340</v>
      </c>
      <c r="B2176" t="str">
        <f>"01413400008"</f>
        <v>01413400008</v>
      </c>
      <c r="C2176" t="s">
        <v>2523</v>
      </c>
      <c r="D2176" t="s">
        <v>23</v>
      </c>
      <c r="E2176">
        <v>62</v>
      </c>
      <c r="F2176">
        <v>1366</v>
      </c>
      <c r="G2176" t="s">
        <v>871</v>
      </c>
      <c r="H2176">
        <v>150</v>
      </c>
      <c r="I2176" t="s">
        <v>34</v>
      </c>
      <c r="J2176">
        <v>118</v>
      </c>
      <c r="K2176" t="s">
        <v>34</v>
      </c>
      <c r="L2176">
        <v>8</v>
      </c>
      <c r="M2176">
        <v>71248</v>
      </c>
      <c r="N2176">
        <v>32</v>
      </c>
    </row>
    <row r="2177" spans="1:14" x14ac:dyDescent="0.2">
      <c r="A2177" s="3">
        <f t="shared" si="35"/>
        <v>141342</v>
      </c>
      <c r="B2177" t="str">
        <f>"01413420008"</f>
        <v>01413420008</v>
      </c>
      <c r="C2177" t="s">
        <v>2524</v>
      </c>
      <c r="D2177" t="s">
        <v>23</v>
      </c>
      <c r="E2177">
        <v>62</v>
      </c>
      <c r="F2177">
        <v>1366</v>
      </c>
      <c r="G2177" t="s">
        <v>871</v>
      </c>
      <c r="H2177">
        <v>150</v>
      </c>
      <c r="I2177" t="s">
        <v>34</v>
      </c>
      <c r="J2177">
        <v>118</v>
      </c>
      <c r="K2177" t="s">
        <v>34</v>
      </c>
      <c r="L2177">
        <v>8</v>
      </c>
      <c r="M2177">
        <v>71237</v>
      </c>
      <c r="N2177">
        <v>32</v>
      </c>
    </row>
    <row r="2178" spans="1:14" x14ac:dyDescent="0.2">
      <c r="A2178" s="3">
        <f t="shared" si="35"/>
        <v>141559</v>
      </c>
      <c r="B2178" t="str">
        <f>"01415590006"</f>
        <v>01415590006</v>
      </c>
      <c r="C2178" t="s">
        <v>2525</v>
      </c>
      <c r="D2178" t="s">
        <v>70</v>
      </c>
      <c r="E2178">
        <v>31</v>
      </c>
      <c r="F2178">
        <v>3717</v>
      </c>
      <c r="G2178" t="s">
        <v>1414</v>
      </c>
      <c r="H2178">
        <v>25</v>
      </c>
      <c r="I2178" t="s">
        <v>34</v>
      </c>
      <c r="J2178">
        <v>18</v>
      </c>
      <c r="K2178" t="s">
        <v>34</v>
      </c>
      <c r="L2178">
        <v>8</v>
      </c>
      <c r="M2178">
        <v>85032</v>
      </c>
      <c r="N2178">
        <v>7</v>
      </c>
    </row>
    <row r="2179" spans="1:14" x14ac:dyDescent="0.2">
      <c r="A2179" s="3">
        <f t="shared" si="35"/>
        <v>141560</v>
      </c>
      <c r="B2179" t="str">
        <f>"01415600006"</f>
        <v>01415600006</v>
      </c>
      <c r="C2179" t="s">
        <v>2526</v>
      </c>
      <c r="D2179" t="s">
        <v>70</v>
      </c>
      <c r="E2179">
        <v>31</v>
      </c>
      <c r="F2179">
        <v>3717</v>
      </c>
      <c r="G2179" t="s">
        <v>1414</v>
      </c>
      <c r="H2179">
        <v>25</v>
      </c>
      <c r="I2179" t="s">
        <v>34</v>
      </c>
      <c r="J2179">
        <v>18</v>
      </c>
      <c r="K2179" t="s">
        <v>34</v>
      </c>
      <c r="L2179">
        <v>8</v>
      </c>
      <c r="M2179">
        <v>85038</v>
      </c>
      <c r="N2179">
        <v>7</v>
      </c>
    </row>
    <row r="2180" spans="1:14" x14ac:dyDescent="0.2">
      <c r="A2180" s="3">
        <f t="shared" ref="A2180:A2243" si="36">(B2180-RIGHT(B2180,4))/10000</f>
        <v>141991</v>
      </c>
      <c r="B2180" t="str">
        <f>"01419910048"</f>
        <v>01419910048</v>
      </c>
      <c r="C2180" t="s">
        <v>2527</v>
      </c>
      <c r="D2180" t="s">
        <v>52</v>
      </c>
      <c r="E2180">
        <v>71</v>
      </c>
      <c r="F2180">
        <v>2563</v>
      </c>
      <c r="G2180" t="s">
        <v>2528</v>
      </c>
      <c r="H2180">
        <v>7</v>
      </c>
      <c r="I2180" t="s">
        <v>25</v>
      </c>
      <c r="J2180">
        <v>5</v>
      </c>
      <c r="K2180" t="s">
        <v>25</v>
      </c>
      <c r="L2180">
        <v>5</v>
      </c>
      <c r="M2180" t="s">
        <v>65</v>
      </c>
      <c r="N2180">
        <v>2</v>
      </c>
    </row>
    <row r="2181" spans="1:14" x14ac:dyDescent="0.2">
      <c r="A2181" s="3">
        <f t="shared" si="36"/>
        <v>142515</v>
      </c>
      <c r="B2181" t="str">
        <f>"01425150012"</f>
        <v>01425150012</v>
      </c>
      <c r="C2181" t="s">
        <v>2529</v>
      </c>
      <c r="D2181" t="s">
        <v>686</v>
      </c>
      <c r="E2181">
        <v>47</v>
      </c>
      <c r="F2181">
        <v>1417</v>
      </c>
      <c r="G2181" t="s">
        <v>687</v>
      </c>
      <c r="H2181">
        <v>9</v>
      </c>
      <c r="I2181" t="s">
        <v>25</v>
      </c>
      <c r="J2181">
        <v>7</v>
      </c>
      <c r="K2181" t="s">
        <v>25</v>
      </c>
      <c r="L2181">
        <v>8</v>
      </c>
      <c r="M2181">
        <v>76083</v>
      </c>
      <c r="N2181">
        <v>2</v>
      </c>
    </row>
    <row r="2182" spans="1:14" x14ac:dyDescent="0.2">
      <c r="A2182" s="3">
        <f t="shared" si="36"/>
        <v>142518</v>
      </c>
      <c r="B2182" t="str">
        <f>"01425180021"</f>
        <v>01425180021</v>
      </c>
      <c r="C2182" t="s">
        <v>2530</v>
      </c>
      <c r="D2182" t="s">
        <v>52</v>
      </c>
      <c r="E2182">
        <v>47</v>
      </c>
      <c r="F2182">
        <v>1417</v>
      </c>
      <c r="G2182" t="s">
        <v>687</v>
      </c>
      <c r="H2182">
        <v>9</v>
      </c>
      <c r="I2182" t="s">
        <v>25</v>
      </c>
      <c r="J2182">
        <v>7</v>
      </c>
      <c r="K2182" t="s">
        <v>25</v>
      </c>
      <c r="L2182">
        <v>6</v>
      </c>
      <c r="M2182">
        <v>2603</v>
      </c>
      <c r="N2182">
        <v>2</v>
      </c>
    </row>
    <row r="2183" spans="1:14" x14ac:dyDescent="0.2">
      <c r="A2183" s="3">
        <f t="shared" si="36"/>
        <v>142519</v>
      </c>
      <c r="B2183" t="str">
        <f>"01425190010"</f>
        <v>01425190010</v>
      </c>
      <c r="C2183" t="s">
        <v>2531</v>
      </c>
      <c r="D2183" t="s">
        <v>52</v>
      </c>
      <c r="E2183">
        <v>47</v>
      </c>
      <c r="F2183">
        <v>1417</v>
      </c>
      <c r="G2183" t="s">
        <v>687</v>
      </c>
      <c r="H2183">
        <v>9</v>
      </c>
      <c r="I2183" t="s">
        <v>25</v>
      </c>
      <c r="J2183">
        <v>7</v>
      </c>
      <c r="K2183" t="s">
        <v>25</v>
      </c>
      <c r="L2183">
        <v>6</v>
      </c>
      <c r="M2183">
        <v>2604</v>
      </c>
      <c r="N2183">
        <v>2</v>
      </c>
    </row>
    <row r="2184" spans="1:14" x14ac:dyDescent="0.2">
      <c r="A2184" s="3">
        <f t="shared" si="36"/>
        <v>142520</v>
      </c>
      <c r="B2184" t="str">
        <f>"01425200015"</f>
        <v>01425200015</v>
      </c>
      <c r="C2184" t="s">
        <v>2532</v>
      </c>
      <c r="D2184" t="s">
        <v>52</v>
      </c>
      <c r="E2184">
        <v>47</v>
      </c>
      <c r="F2184">
        <v>1417</v>
      </c>
      <c r="G2184" t="s">
        <v>687</v>
      </c>
      <c r="H2184">
        <v>9</v>
      </c>
      <c r="I2184" t="s">
        <v>25</v>
      </c>
      <c r="J2184">
        <v>7</v>
      </c>
      <c r="K2184" t="s">
        <v>25</v>
      </c>
      <c r="L2184">
        <v>6</v>
      </c>
      <c r="M2184">
        <v>2605</v>
      </c>
      <c r="N2184">
        <v>2</v>
      </c>
    </row>
    <row r="2185" spans="1:14" x14ac:dyDescent="0.2">
      <c r="A2185" s="3">
        <f t="shared" si="36"/>
        <v>142521</v>
      </c>
      <c r="B2185" t="str">
        <f>"01425210015"</f>
        <v>01425210015</v>
      </c>
      <c r="C2185" t="s">
        <v>2533</v>
      </c>
      <c r="D2185" t="s">
        <v>52</v>
      </c>
      <c r="E2185">
        <v>47</v>
      </c>
      <c r="F2185">
        <v>1417</v>
      </c>
      <c r="G2185" t="s">
        <v>687</v>
      </c>
      <c r="H2185">
        <v>9</v>
      </c>
      <c r="I2185" t="s">
        <v>25</v>
      </c>
      <c r="J2185">
        <v>7</v>
      </c>
      <c r="K2185" t="s">
        <v>25</v>
      </c>
      <c r="L2185">
        <v>6</v>
      </c>
      <c r="M2185">
        <v>2606</v>
      </c>
      <c r="N2185">
        <v>2</v>
      </c>
    </row>
    <row r="2186" spans="1:14" x14ac:dyDescent="0.2">
      <c r="A2186" s="3">
        <f t="shared" si="36"/>
        <v>142522</v>
      </c>
      <c r="B2186" t="str">
        <f>"01425220021"</f>
        <v>01425220021</v>
      </c>
      <c r="C2186" t="s">
        <v>2534</v>
      </c>
      <c r="D2186" t="s">
        <v>52</v>
      </c>
      <c r="E2186">
        <v>47</v>
      </c>
      <c r="F2186">
        <v>1417</v>
      </c>
      <c r="G2186" t="s">
        <v>687</v>
      </c>
      <c r="H2186">
        <v>9</v>
      </c>
      <c r="I2186" t="s">
        <v>25</v>
      </c>
      <c r="J2186">
        <v>7</v>
      </c>
      <c r="K2186" t="s">
        <v>25</v>
      </c>
      <c r="L2186">
        <v>6</v>
      </c>
      <c r="M2186">
        <v>2607</v>
      </c>
      <c r="N2186">
        <v>2</v>
      </c>
    </row>
    <row r="2187" spans="1:14" x14ac:dyDescent="0.2">
      <c r="A2187" s="3">
        <f t="shared" si="36"/>
        <v>142523</v>
      </c>
      <c r="B2187" t="str">
        <f>"01425230014"</f>
        <v>01425230014</v>
      </c>
      <c r="C2187" t="s">
        <v>2535</v>
      </c>
      <c r="D2187" t="s">
        <v>52</v>
      </c>
      <c r="E2187">
        <v>47</v>
      </c>
      <c r="F2187">
        <v>1417</v>
      </c>
      <c r="G2187" t="s">
        <v>687</v>
      </c>
      <c r="H2187">
        <v>9</v>
      </c>
      <c r="I2187" t="s">
        <v>25</v>
      </c>
      <c r="J2187">
        <v>7</v>
      </c>
      <c r="K2187" t="s">
        <v>25</v>
      </c>
      <c r="L2187">
        <v>6</v>
      </c>
      <c r="M2187">
        <v>2608</v>
      </c>
      <c r="N2187">
        <v>2</v>
      </c>
    </row>
    <row r="2188" spans="1:14" x14ac:dyDescent="0.2">
      <c r="A2188" s="3">
        <f t="shared" si="36"/>
        <v>142567</v>
      </c>
      <c r="B2188" t="str">
        <f>"01425670018"</f>
        <v>01425670018</v>
      </c>
      <c r="C2188" t="s">
        <v>2536</v>
      </c>
      <c r="D2188" t="s">
        <v>52</v>
      </c>
      <c r="E2188">
        <v>44</v>
      </c>
      <c r="F2188">
        <v>6916</v>
      </c>
      <c r="G2188" t="s">
        <v>60</v>
      </c>
      <c r="H2188">
        <v>12</v>
      </c>
      <c r="I2188" t="s">
        <v>25</v>
      </c>
      <c r="J2188">
        <v>9</v>
      </c>
      <c r="K2188" t="s">
        <v>25</v>
      </c>
      <c r="L2188">
        <v>5</v>
      </c>
      <c r="M2188" t="s">
        <v>65</v>
      </c>
      <c r="N2188">
        <v>3</v>
      </c>
    </row>
    <row r="2189" spans="1:14" x14ac:dyDescent="0.2">
      <c r="A2189" s="3">
        <f t="shared" si="36"/>
        <v>142589</v>
      </c>
      <c r="B2189" t="str">
        <f>"01425890009"</f>
        <v>01425890009</v>
      </c>
      <c r="C2189" t="s">
        <v>2537</v>
      </c>
      <c r="D2189" t="s">
        <v>543</v>
      </c>
      <c r="E2189">
        <v>47</v>
      </c>
      <c r="F2189">
        <v>1974</v>
      </c>
      <c r="G2189" t="s">
        <v>2538</v>
      </c>
      <c r="H2189">
        <v>9</v>
      </c>
      <c r="I2189" t="s">
        <v>25</v>
      </c>
      <c r="J2189">
        <v>7</v>
      </c>
      <c r="K2189" t="s">
        <v>25</v>
      </c>
      <c r="L2189">
        <v>8</v>
      </c>
      <c r="M2189">
        <v>72151</v>
      </c>
      <c r="N2189">
        <v>2</v>
      </c>
    </row>
    <row r="2190" spans="1:14" x14ac:dyDescent="0.2">
      <c r="A2190" s="3">
        <f t="shared" si="36"/>
        <v>142590</v>
      </c>
      <c r="B2190" t="str">
        <f>"01425900001"</f>
        <v>01425900001</v>
      </c>
      <c r="C2190" t="s">
        <v>2539</v>
      </c>
      <c r="D2190" t="s">
        <v>686</v>
      </c>
      <c r="E2190">
        <v>47</v>
      </c>
      <c r="F2190">
        <v>2591</v>
      </c>
      <c r="G2190" t="s">
        <v>2540</v>
      </c>
      <c r="H2190">
        <v>11</v>
      </c>
      <c r="I2190" t="s">
        <v>25</v>
      </c>
      <c r="J2190">
        <v>8</v>
      </c>
      <c r="K2190" t="s">
        <v>25</v>
      </c>
      <c r="L2190">
        <v>8</v>
      </c>
      <c r="M2190">
        <v>95242</v>
      </c>
      <c r="N2190">
        <v>3</v>
      </c>
    </row>
    <row r="2191" spans="1:14" x14ac:dyDescent="0.2">
      <c r="A2191" s="3">
        <f t="shared" si="36"/>
        <v>142859</v>
      </c>
      <c r="B2191" t="str">
        <f>"01428590001"</f>
        <v>01428590001</v>
      </c>
      <c r="C2191" t="s">
        <v>2541</v>
      </c>
      <c r="D2191" t="s">
        <v>23</v>
      </c>
      <c r="E2191">
        <v>63</v>
      </c>
      <c r="F2191">
        <v>102</v>
      </c>
      <c r="G2191" t="s">
        <v>894</v>
      </c>
      <c r="H2191">
        <v>9</v>
      </c>
      <c r="I2191" t="s">
        <v>25</v>
      </c>
      <c r="J2191">
        <v>7</v>
      </c>
      <c r="K2191" t="s">
        <v>25</v>
      </c>
      <c r="L2191">
        <v>6</v>
      </c>
      <c r="M2191" t="s">
        <v>65</v>
      </c>
      <c r="N2191">
        <v>2</v>
      </c>
    </row>
    <row r="2192" spans="1:14" x14ac:dyDescent="0.2">
      <c r="A2192" s="3">
        <f t="shared" si="36"/>
        <v>142947</v>
      </c>
      <c r="B2192" t="str">
        <f>"01429470001"</f>
        <v>01429470001</v>
      </c>
      <c r="C2192" t="s">
        <v>2542</v>
      </c>
      <c r="D2192" t="s">
        <v>23</v>
      </c>
      <c r="E2192">
        <v>84</v>
      </c>
      <c r="F2192">
        <v>2592</v>
      </c>
      <c r="G2192" t="s">
        <v>2543</v>
      </c>
      <c r="H2192" t="s">
        <v>44</v>
      </c>
      <c r="I2192" t="s">
        <v>45</v>
      </c>
      <c r="J2192" t="s">
        <v>44</v>
      </c>
      <c r="K2192" t="s">
        <v>45</v>
      </c>
      <c r="L2192">
        <v>8</v>
      </c>
      <c r="M2192">
        <v>95040</v>
      </c>
      <c r="N2192" t="s">
        <v>46</v>
      </c>
    </row>
    <row r="2193" spans="1:14" x14ac:dyDescent="0.2">
      <c r="A2193" s="3">
        <f t="shared" si="36"/>
        <v>143466</v>
      </c>
      <c r="B2193" t="str">
        <f>"01434660010"</f>
        <v>01434660010</v>
      </c>
      <c r="C2193" t="s">
        <v>2544</v>
      </c>
      <c r="D2193" t="s">
        <v>52</v>
      </c>
      <c r="E2193">
        <v>46</v>
      </c>
      <c r="F2193">
        <v>1205</v>
      </c>
      <c r="G2193" t="s">
        <v>325</v>
      </c>
      <c r="H2193">
        <v>6</v>
      </c>
      <c r="I2193" t="s">
        <v>25</v>
      </c>
      <c r="J2193">
        <v>4</v>
      </c>
      <c r="K2193" t="s">
        <v>25</v>
      </c>
      <c r="L2193">
        <v>6</v>
      </c>
      <c r="M2193">
        <v>3612</v>
      </c>
      <c r="N2193">
        <v>2</v>
      </c>
    </row>
    <row r="2194" spans="1:14" x14ac:dyDescent="0.2">
      <c r="A2194" s="3">
        <f t="shared" si="36"/>
        <v>143467</v>
      </c>
      <c r="B2194" t="str">
        <f>"01434670010"</f>
        <v>01434670010</v>
      </c>
      <c r="C2194" t="s">
        <v>2545</v>
      </c>
      <c r="D2194" t="s">
        <v>52</v>
      </c>
      <c r="E2194">
        <v>46</v>
      </c>
      <c r="F2194">
        <v>1205</v>
      </c>
      <c r="G2194" t="s">
        <v>325</v>
      </c>
      <c r="H2194">
        <v>6</v>
      </c>
      <c r="I2194" t="s">
        <v>25</v>
      </c>
      <c r="J2194">
        <v>4</v>
      </c>
      <c r="K2194" t="s">
        <v>25</v>
      </c>
      <c r="L2194">
        <v>6</v>
      </c>
      <c r="M2194">
        <v>3613</v>
      </c>
      <c r="N2194">
        <v>2</v>
      </c>
    </row>
    <row r="2195" spans="1:14" x14ac:dyDescent="0.2">
      <c r="A2195" s="3">
        <f t="shared" si="36"/>
        <v>143694</v>
      </c>
      <c r="B2195" t="str">
        <f>"01436940010"</f>
        <v>01436940010</v>
      </c>
      <c r="C2195" t="s">
        <v>2546</v>
      </c>
      <c r="D2195" t="s">
        <v>52</v>
      </c>
      <c r="E2195">
        <v>46</v>
      </c>
      <c r="F2195">
        <v>1205</v>
      </c>
      <c r="G2195" t="s">
        <v>325</v>
      </c>
      <c r="H2195">
        <v>6</v>
      </c>
      <c r="I2195" t="s">
        <v>25</v>
      </c>
      <c r="J2195">
        <v>4</v>
      </c>
      <c r="K2195" t="s">
        <v>25</v>
      </c>
      <c r="L2195">
        <v>6</v>
      </c>
      <c r="M2195">
        <v>3614</v>
      </c>
      <c r="N2195">
        <v>2</v>
      </c>
    </row>
    <row r="2196" spans="1:14" x14ac:dyDescent="0.2">
      <c r="A2196" s="3">
        <f t="shared" si="36"/>
        <v>273122</v>
      </c>
      <c r="B2196" t="str">
        <f>"02731220002"</f>
        <v>02731220002</v>
      </c>
      <c r="C2196" t="s">
        <v>2547</v>
      </c>
      <c r="D2196" t="s">
        <v>52</v>
      </c>
      <c r="E2196">
        <v>112</v>
      </c>
      <c r="F2196">
        <v>4691</v>
      </c>
      <c r="G2196" t="s">
        <v>1268</v>
      </c>
      <c r="H2196" t="s">
        <v>44</v>
      </c>
      <c r="I2196" t="s">
        <v>45</v>
      </c>
      <c r="J2196" t="s">
        <v>44</v>
      </c>
      <c r="K2196" t="s">
        <v>45</v>
      </c>
      <c r="L2196">
        <v>5</v>
      </c>
      <c r="M2196" t="s">
        <v>65</v>
      </c>
      <c r="N2196" t="s">
        <v>46</v>
      </c>
    </row>
    <row r="2197" spans="1:14" x14ac:dyDescent="0.2">
      <c r="A2197" s="3">
        <f t="shared" si="36"/>
        <v>276898</v>
      </c>
      <c r="B2197" t="str">
        <f>"02768980015"</f>
        <v>02768980015</v>
      </c>
      <c r="C2197" t="s">
        <v>2548</v>
      </c>
      <c r="D2197" t="s">
        <v>52</v>
      </c>
      <c r="E2197">
        <v>105</v>
      </c>
      <c r="F2197">
        <v>4691</v>
      </c>
      <c r="G2197" t="s">
        <v>1268</v>
      </c>
      <c r="H2197" t="s">
        <v>44</v>
      </c>
      <c r="I2197" t="s">
        <v>45</v>
      </c>
      <c r="J2197" t="s">
        <v>44</v>
      </c>
      <c r="K2197" t="s">
        <v>45</v>
      </c>
      <c r="L2197">
        <v>5</v>
      </c>
      <c r="M2197" t="s">
        <v>65</v>
      </c>
      <c r="N2197" t="s">
        <v>46</v>
      </c>
    </row>
    <row r="2198" spans="1:14" x14ac:dyDescent="0.2">
      <c r="A2198" s="3">
        <f t="shared" si="36"/>
        <v>279525</v>
      </c>
      <c r="B2198" t="str">
        <f>"02795250010"</f>
        <v>02795250010</v>
      </c>
      <c r="C2198" t="s">
        <v>2549</v>
      </c>
      <c r="D2198" t="s">
        <v>52</v>
      </c>
      <c r="E2198">
        <v>105</v>
      </c>
      <c r="F2198">
        <v>6613</v>
      </c>
      <c r="G2198" t="s">
        <v>2550</v>
      </c>
      <c r="H2198" t="s">
        <v>44</v>
      </c>
      <c r="I2198" t="s">
        <v>45</v>
      </c>
      <c r="J2198" t="s">
        <v>44</v>
      </c>
      <c r="K2198" t="s">
        <v>45</v>
      </c>
      <c r="L2198">
        <v>5</v>
      </c>
      <c r="M2198" t="s">
        <v>65</v>
      </c>
      <c r="N2198" t="s">
        <v>46</v>
      </c>
    </row>
    <row r="2199" spans="1:14" x14ac:dyDescent="0.2">
      <c r="A2199" s="3">
        <f t="shared" si="36"/>
        <v>281376</v>
      </c>
      <c r="B2199" t="str">
        <f>"02813760010"</f>
        <v>02813760010</v>
      </c>
      <c r="C2199" t="s">
        <v>2551</v>
      </c>
      <c r="D2199" t="s">
        <v>52</v>
      </c>
      <c r="E2199">
        <v>122</v>
      </c>
      <c r="F2199">
        <v>4691</v>
      </c>
      <c r="G2199" t="s">
        <v>1268</v>
      </c>
      <c r="H2199" t="s">
        <v>44</v>
      </c>
      <c r="I2199" t="s">
        <v>45</v>
      </c>
      <c r="J2199" t="s">
        <v>44</v>
      </c>
      <c r="K2199" t="s">
        <v>45</v>
      </c>
      <c r="L2199">
        <v>5</v>
      </c>
      <c r="M2199" t="s">
        <v>65</v>
      </c>
      <c r="N2199" t="s">
        <v>46</v>
      </c>
    </row>
    <row r="2200" spans="1:14" x14ac:dyDescent="0.2">
      <c r="A2200" s="3">
        <f t="shared" si="36"/>
        <v>283648</v>
      </c>
      <c r="B2200" t="str">
        <f>"02836480006"</f>
        <v>02836480006</v>
      </c>
      <c r="C2200" t="s">
        <v>2552</v>
      </c>
      <c r="D2200" t="s">
        <v>52</v>
      </c>
      <c r="E2200">
        <v>100</v>
      </c>
      <c r="F2200">
        <v>4691</v>
      </c>
      <c r="G2200" t="s">
        <v>1268</v>
      </c>
      <c r="H2200" t="s">
        <v>44</v>
      </c>
      <c r="I2200" t="s">
        <v>45</v>
      </c>
      <c r="J2200" t="s">
        <v>44</v>
      </c>
      <c r="K2200" t="s">
        <v>45</v>
      </c>
      <c r="L2200">
        <v>6</v>
      </c>
      <c r="M2200">
        <v>52050</v>
      </c>
      <c r="N2200" t="s">
        <v>46</v>
      </c>
    </row>
    <row r="2201" spans="1:14" x14ac:dyDescent="0.2">
      <c r="A2201" s="3">
        <f t="shared" si="36"/>
        <v>285944</v>
      </c>
      <c r="B2201" t="str">
        <f>"02859440006"</f>
        <v>02859440006</v>
      </c>
      <c r="C2201" t="s">
        <v>2553</v>
      </c>
      <c r="D2201" t="s">
        <v>52</v>
      </c>
      <c r="E2201">
        <v>115</v>
      </c>
      <c r="F2201">
        <v>4691</v>
      </c>
      <c r="G2201" t="s">
        <v>1268</v>
      </c>
      <c r="H2201" t="s">
        <v>44</v>
      </c>
      <c r="I2201" t="s">
        <v>45</v>
      </c>
      <c r="J2201" t="s">
        <v>44</v>
      </c>
      <c r="K2201" t="s">
        <v>45</v>
      </c>
      <c r="L2201">
        <v>5</v>
      </c>
      <c r="M2201" t="s">
        <v>65</v>
      </c>
      <c r="N2201" t="s">
        <v>46</v>
      </c>
    </row>
    <row r="2202" spans="1:14" x14ac:dyDescent="0.2">
      <c r="A2202" s="3">
        <f t="shared" si="36"/>
        <v>286376</v>
      </c>
      <c r="B2202" t="str">
        <f>"02863760010"</f>
        <v>02863760010</v>
      </c>
      <c r="C2202" t="s">
        <v>2554</v>
      </c>
      <c r="D2202" t="s">
        <v>52</v>
      </c>
      <c r="E2202">
        <v>111</v>
      </c>
      <c r="F2202">
        <v>4691</v>
      </c>
      <c r="G2202" t="s">
        <v>1268</v>
      </c>
      <c r="H2202" t="s">
        <v>44</v>
      </c>
      <c r="I2202" t="s">
        <v>45</v>
      </c>
      <c r="J2202" t="s">
        <v>44</v>
      </c>
      <c r="K2202" t="s">
        <v>45</v>
      </c>
      <c r="L2202">
        <v>5</v>
      </c>
      <c r="M2202" t="s">
        <v>65</v>
      </c>
      <c r="N2202" t="s">
        <v>46</v>
      </c>
    </row>
    <row r="2203" spans="1:14" x14ac:dyDescent="0.2">
      <c r="A2203" s="3">
        <f t="shared" si="36"/>
        <v>289209</v>
      </c>
      <c r="B2203" t="str">
        <f>"02892090006"</f>
        <v>02892090006</v>
      </c>
      <c r="C2203" t="s">
        <v>2555</v>
      </c>
      <c r="D2203" t="s">
        <v>52</v>
      </c>
      <c r="E2203">
        <v>119</v>
      </c>
      <c r="F2203">
        <v>2575</v>
      </c>
      <c r="G2203" t="s">
        <v>2556</v>
      </c>
      <c r="H2203" t="s">
        <v>44</v>
      </c>
      <c r="I2203" t="s">
        <v>45</v>
      </c>
      <c r="J2203" t="s">
        <v>44</v>
      </c>
      <c r="K2203" t="s">
        <v>45</v>
      </c>
      <c r="L2203">
        <v>5</v>
      </c>
      <c r="M2203" t="s">
        <v>65</v>
      </c>
      <c r="N2203" t="s">
        <v>46</v>
      </c>
    </row>
    <row r="2204" spans="1:14" x14ac:dyDescent="0.2">
      <c r="A2204" s="3">
        <f t="shared" si="36"/>
        <v>290171</v>
      </c>
      <c r="B2204" t="str">
        <f>"02901710002"</f>
        <v>02901710002</v>
      </c>
      <c r="C2204" t="s">
        <v>2557</v>
      </c>
      <c r="D2204" t="s">
        <v>52</v>
      </c>
      <c r="E2204">
        <v>112</v>
      </c>
      <c r="F2204">
        <v>2063</v>
      </c>
      <c r="G2204" t="s">
        <v>2558</v>
      </c>
      <c r="H2204" t="s">
        <v>44</v>
      </c>
      <c r="I2204" t="s">
        <v>45</v>
      </c>
      <c r="J2204" t="s">
        <v>44</v>
      </c>
      <c r="K2204" t="s">
        <v>45</v>
      </c>
      <c r="L2204">
        <v>6</v>
      </c>
      <c r="M2204" t="s">
        <v>65</v>
      </c>
      <c r="N2204" t="s">
        <v>46</v>
      </c>
    </row>
    <row r="2205" spans="1:14" x14ac:dyDescent="0.2">
      <c r="A2205" s="3">
        <f t="shared" si="36"/>
        <v>290289</v>
      </c>
      <c r="B2205" t="str">
        <f>"02902890002"</f>
        <v>02902890002</v>
      </c>
      <c r="C2205" t="s">
        <v>2559</v>
      </c>
      <c r="D2205" t="s">
        <v>52</v>
      </c>
      <c r="E2205">
        <v>112</v>
      </c>
      <c r="F2205">
        <v>4691</v>
      </c>
      <c r="G2205" t="s">
        <v>1268</v>
      </c>
      <c r="H2205" t="s">
        <v>44</v>
      </c>
      <c r="I2205" t="s">
        <v>45</v>
      </c>
      <c r="J2205" t="s">
        <v>44</v>
      </c>
      <c r="K2205" t="s">
        <v>45</v>
      </c>
      <c r="L2205">
        <v>6</v>
      </c>
      <c r="M2205" t="s">
        <v>65</v>
      </c>
      <c r="N2205" t="s">
        <v>46</v>
      </c>
    </row>
    <row r="2206" spans="1:14" x14ac:dyDescent="0.2">
      <c r="A2206" s="3">
        <f t="shared" si="36"/>
        <v>290388</v>
      </c>
      <c r="B2206" t="str">
        <f>"02903880012"</f>
        <v>02903880012</v>
      </c>
      <c r="C2206" t="s">
        <v>2560</v>
      </c>
      <c r="D2206" t="s">
        <v>52</v>
      </c>
      <c r="E2206">
        <v>119</v>
      </c>
      <c r="F2206">
        <v>4691</v>
      </c>
      <c r="G2206" t="s">
        <v>1268</v>
      </c>
      <c r="H2206" t="s">
        <v>44</v>
      </c>
      <c r="I2206" t="s">
        <v>45</v>
      </c>
      <c r="J2206" t="s">
        <v>44</v>
      </c>
      <c r="K2206" t="s">
        <v>45</v>
      </c>
      <c r="L2206">
        <v>6</v>
      </c>
      <c r="M2206">
        <v>2252</v>
      </c>
      <c r="N2206" t="s">
        <v>46</v>
      </c>
    </row>
    <row r="2207" spans="1:14" x14ac:dyDescent="0.2">
      <c r="A2207" s="3">
        <f t="shared" si="36"/>
        <v>290427</v>
      </c>
      <c r="B2207" t="str">
        <f>"02904270006"</f>
        <v>02904270006</v>
      </c>
      <c r="C2207" t="s">
        <v>2561</v>
      </c>
      <c r="D2207" t="s">
        <v>52</v>
      </c>
      <c r="E2207">
        <v>112</v>
      </c>
      <c r="F2207">
        <v>6923</v>
      </c>
      <c r="G2207" t="s">
        <v>2562</v>
      </c>
      <c r="H2207" t="s">
        <v>44</v>
      </c>
      <c r="I2207" t="s">
        <v>45</v>
      </c>
      <c r="J2207" t="s">
        <v>44</v>
      </c>
      <c r="K2207" t="s">
        <v>45</v>
      </c>
      <c r="L2207">
        <v>6</v>
      </c>
      <c r="M2207">
        <v>1200</v>
      </c>
      <c r="N2207" t="s">
        <v>46</v>
      </c>
    </row>
    <row r="2208" spans="1:14" x14ac:dyDescent="0.2">
      <c r="A2208" s="3">
        <f t="shared" si="36"/>
        <v>290452</v>
      </c>
      <c r="B2208" t="str">
        <f>"02904520002"</f>
        <v>02904520002</v>
      </c>
      <c r="C2208" t="s">
        <v>2563</v>
      </c>
      <c r="D2208" t="s">
        <v>52</v>
      </c>
      <c r="E2208">
        <v>112</v>
      </c>
      <c r="F2208">
        <v>4691</v>
      </c>
      <c r="G2208" t="s">
        <v>1268</v>
      </c>
      <c r="H2208" t="s">
        <v>44</v>
      </c>
      <c r="I2208" t="s">
        <v>45</v>
      </c>
      <c r="J2208" t="s">
        <v>44</v>
      </c>
      <c r="K2208" t="s">
        <v>45</v>
      </c>
      <c r="L2208">
        <v>6</v>
      </c>
      <c r="M2208">
        <v>46804</v>
      </c>
      <c r="N2208" t="s">
        <v>46</v>
      </c>
    </row>
    <row r="2209" spans="1:14" x14ac:dyDescent="0.2">
      <c r="A2209" s="3">
        <f t="shared" si="36"/>
        <v>290452</v>
      </c>
      <c r="B2209" t="str">
        <f>"02904520002"</f>
        <v>02904520002</v>
      </c>
      <c r="C2209" t="s">
        <v>2563</v>
      </c>
      <c r="D2209" t="s">
        <v>52</v>
      </c>
      <c r="E2209">
        <v>112</v>
      </c>
      <c r="F2209">
        <v>1742</v>
      </c>
      <c r="G2209" t="s">
        <v>2564</v>
      </c>
      <c r="H2209" t="s">
        <v>44</v>
      </c>
      <c r="I2209" t="s">
        <v>45</v>
      </c>
      <c r="J2209" t="s">
        <v>44</v>
      </c>
      <c r="K2209" t="s">
        <v>45</v>
      </c>
      <c r="L2209">
        <v>6</v>
      </c>
      <c r="M2209">
        <v>46804</v>
      </c>
      <c r="N2209" t="s">
        <v>46</v>
      </c>
    </row>
    <row r="2210" spans="1:14" x14ac:dyDescent="0.2">
      <c r="A2210" s="3">
        <f t="shared" si="36"/>
        <v>290465</v>
      </c>
      <c r="B2210" t="str">
        <f>"02904650002"</f>
        <v>02904650002</v>
      </c>
      <c r="C2210" t="s">
        <v>2565</v>
      </c>
      <c r="D2210" t="s">
        <v>52</v>
      </c>
      <c r="E2210">
        <v>112</v>
      </c>
      <c r="F2210">
        <v>4691</v>
      </c>
      <c r="G2210" t="s">
        <v>1268</v>
      </c>
      <c r="H2210" t="s">
        <v>44</v>
      </c>
      <c r="I2210" t="s">
        <v>45</v>
      </c>
      <c r="J2210" t="s">
        <v>44</v>
      </c>
      <c r="K2210" t="s">
        <v>45</v>
      </c>
      <c r="L2210">
        <v>6</v>
      </c>
      <c r="M2210">
        <v>34805</v>
      </c>
      <c r="N2210" t="s">
        <v>46</v>
      </c>
    </row>
    <row r="2211" spans="1:14" x14ac:dyDescent="0.2">
      <c r="A2211" s="3">
        <f t="shared" si="36"/>
        <v>291109</v>
      </c>
      <c r="B2211" t="str">
        <f>"02911090001"</f>
        <v>02911090001</v>
      </c>
      <c r="C2211" t="s">
        <v>2566</v>
      </c>
      <c r="D2211" t="s">
        <v>52</v>
      </c>
      <c r="E2211">
        <v>108</v>
      </c>
      <c r="F2211">
        <v>4691</v>
      </c>
      <c r="G2211" t="s">
        <v>1268</v>
      </c>
      <c r="H2211" t="s">
        <v>44</v>
      </c>
      <c r="I2211" t="s">
        <v>45</v>
      </c>
      <c r="J2211" t="s">
        <v>44</v>
      </c>
      <c r="K2211" t="s">
        <v>45</v>
      </c>
      <c r="L2211">
        <v>6</v>
      </c>
      <c r="M2211">
        <v>2201</v>
      </c>
      <c r="N2211" t="s">
        <v>46</v>
      </c>
    </row>
    <row r="2212" spans="1:14" x14ac:dyDescent="0.2">
      <c r="A2212" s="3">
        <f t="shared" si="36"/>
        <v>291543</v>
      </c>
      <c r="B2212" t="str">
        <f>"02915430012"</f>
        <v>02915430012</v>
      </c>
      <c r="C2212" t="s">
        <v>2567</v>
      </c>
      <c r="D2212" t="s">
        <v>52</v>
      </c>
      <c r="E2212">
        <v>122</v>
      </c>
      <c r="F2212">
        <v>925</v>
      </c>
      <c r="G2212" t="s">
        <v>2568</v>
      </c>
      <c r="H2212" t="s">
        <v>44</v>
      </c>
      <c r="I2212" t="s">
        <v>45</v>
      </c>
      <c r="J2212" t="s">
        <v>44</v>
      </c>
      <c r="K2212" t="s">
        <v>45</v>
      </c>
      <c r="L2212">
        <v>6</v>
      </c>
      <c r="M2212">
        <v>2202</v>
      </c>
      <c r="N2212" t="s">
        <v>46</v>
      </c>
    </row>
    <row r="2213" spans="1:14" x14ac:dyDescent="0.2">
      <c r="A2213" s="3">
        <f t="shared" si="36"/>
        <v>291546</v>
      </c>
      <c r="B2213" t="str">
        <f>"02915460004"</f>
        <v>02915460004</v>
      </c>
      <c r="C2213" t="s">
        <v>2569</v>
      </c>
      <c r="D2213" t="s">
        <v>52</v>
      </c>
      <c r="E2213">
        <v>122</v>
      </c>
      <c r="F2213">
        <v>4691</v>
      </c>
      <c r="G2213" t="s">
        <v>1268</v>
      </c>
      <c r="H2213" t="s">
        <v>44</v>
      </c>
      <c r="I2213" t="s">
        <v>45</v>
      </c>
      <c r="J2213" t="s">
        <v>44</v>
      </c>
      <c r="K2213" t="s">
        <v>45</v>
      </c>
      <c r="L2213">
        <v>6</v>
      </c>
      <c r="M2213">
        <v>2203</v>
      </c>
      <c r="N2213" t="s">
        <v>46</v>
      </c>
    </row>
    <row r="2214" spans="1:14" x14ac:dyDescent="0.2">
      <c r="A2214" s="3">
        <f t="shared" si="36"/>
        <v>291671</v>
      </c>
      <c r="B2214" t="str">
        <f>"02916710008"</f>
        <v>02916710008</v>
      </c>
      <c r="C2214" t="s">
        <v>2570</v>
      </c>
      <c r="D2214" t="s">
        <v>52</v>
      </c>
      <c r="E2214">
        <v>100</v>
      </c>
      <c r="F2214">
        <v>4691</v>
      </c>
      <c r="G2214" t="s">
        <v>1268</v>
      </c>
      <c r="H2214" t="s">
        <v>44</v>
      </c>
      <c r="I2214" t="s">
        <v>45</v>
      </c>
      <c r="J2214" t="s">
        <v>44</v>
      </c>
      <c r="K2214" t="s">
        <v>45</v>
      </c>
      <c r="L2214">
        <v>6</v>
      </c>
      <c r="M2214">
        <v>52051</v>
      </c>
      <c r="N2214" t="s">
        <v>46</v>
      </c>
    </row>
    <row r="2215" spans="1:14" x14ac:dyDescent="0.2">
      <c r="A2215" s="3">
        <f t="shared" si="36"/>
        <v>291686</v>
      </c>
      <c r="B2215" t="str">
        <f>"02916860009"</f>
        <v>02916860009</v>
      </c>
      <c r="C2215" t="s">
        <v>2571</v>
      </c>
      <c r="D2215" t="s">
        <v>52</v>
      </c>
      <c r="E2215">
        <v>100</v>
      </c>
      <c r="F2215">
        <v>4691</v>
      </c>
      <c r="G2215" t="s">
        <v>1268</v>
      </c>
      <c r="H2215" t="s">
        <v>44</v>
      </c>
      <c r="I2215" t="s">
        <v>45</v>
      </c>
      <c r="J2215" t="s">
        <v>44</v>
      </c>
      <c r="K2215" t="s">
        <v>45</v>
      </c>
      <c r="L2215">
        <v>6</v>
      </c>
      <c r="M2215">
        <v>52000</v>
      </c>
      <c r="N2215" t="s">
        <v>46</v>
      </c>
    </row>
    <row r="2216" spans="1:14" x14ac:dyDescent="0.2">
      <c r="A2216" s="3">
        <f t="shared" si="36"/>
        <v>291879</v>
      </c>
      <c r="B2216" t="str">
        <f>"02918790006"</f>
        <v>02918790006</v>
      </c>
      <c r="C2216" t="s">
        <v>2572</v>
      </c>
      <c r="D2216" t="s">
        <v>52</v>
      </c>
      <c r="E2216">
        <v>100</v>
      </c>
      <c r="F2216">
        <v>4691</v>
      </c>
      <c r="G2216" t="s">
        <v>1268</v>
      </c>
      <c r="H2216" t="s">
        <v>44</v>
      </c>
      <c r="I2216" t="s">
        <v>45</v>
      </c>
      <c r="J2216" t="s">
        <v>44</v>
      </c>
      <c r="K2216" t="s">
        <v>45</v>
      </c>
      <c r="L2216">
        <v>6</v>
      </c>
      <c r="M2216">
        <v>52001</v>
      </c>
      <c r="N2216" t="s">
        <v>46</v>
      </c>
    </row>
    <row r="2217" spans="1:14" x14ac:dyDescent="0.2">
      <c r="A2217" s="3">
        <f t="shared" si="36"/>
        <v>291922</v>
      </c>
      <c r="B2217" t="str">
        <f>"02919220006"</f>
        <v>02919220006</v>
      </c>
      <c r="C2217" t="s">
        <v>2573</v>
      </c>
      <c r="D2217" t="s">
        <v>52</v>
      </c>
      <c r="E2217">
        <v>100</v>
      </c>
      <c r="F2217">
        <v>4691</v>
      </c>
      <c r="G2217" t="s">
        <v>1268</v>
      </c>
      <c r="H2217" t="s">
        <v>44</v>
      </c>
      <c r="I2217" t="s">
        <v>45</v>
      </c>
      <c r="J2217" t="s">
        <v>44</v>
      </c>
      <c r="K2217" t="s">
        <v>45</v>
      </c>
      <c r="L2217">
        <v>6</v>
      </c>
      <c r="M2217">
        <v>52002</v>
      </c>
      <c r="N2217" t="s">
        <v>46</v>
      </c>
    </row>
    <row r="2218" spans="1:14" x14ac:dyDescent="0.2">
      <c r="A2218" s="3">
        <f t="shared" si="36"/>
        <v>291948</v>
      </c>
      <c r="B2218" t="str">
        <f>"02919480003"</f>
        <v>02919480003</v>
      </c>
      <c r="C2218" t="s">
        <v>2574</v>
      </c>
      <c r="D2218" t="s">
        <v>52</v>
      </c>
      <c r="E2218">
        <v>112</v>
      </c>
      <c r="F2218">
        <v>4691</v>
      </c>
      <c r="G2218" t="s">
        <v>1268</v>
      </c>
      <c r="H2218" t="s">
        <v>44</v>
      </c>
      <c r="I2218" t="s">
        <v>45</v>
      </c>
      <c r="J2218" t="s">
        <v>44</v>
      </c>
      <c r="K2218" t="s">
        <v>45</v>
      </c>
      <c r="L2218">
        <v>6</v>
      </c>
      <c r="M2218">
        <v>40806</v>
      </c>
      <c r="N2218" t="s">
        <v>46</v>
      </c>
    </row>
    <row r="2219" spans="1:14" x14ac:dyDescent="0.2">
      <c r="A2219" s="3">
        <f t="shared" si="36"/>
        <v>292077</v>
      </c>
      <c r="B2219" t="str">
        <f>"02920770009"</f>
        <v>02920770009</v>
      </c>
      <c r="C2219" t="s">
        <v>2575</v>
      </c>
      <c r="D2219" t="s">
        <v>52</v>
      </c>
      <c r="E2219">
        <v>100</v>
      </c>
      <c r="F2219">
        <v>4691</v>
      </c>
      <c r="G2219" t="s">
        <v>1268</v>
      </c>
      <c r="H2219" t="s">
        <v>44</v>
      </c>
      <c r="I2219" t="s">
        <v>45</v>
      </c>
      <c r="J2219" t="s">
        <v>44</v>
      </c>
      <c r="K2219" t="s">
        <v>45</v>
      </c>
      <c r="L2219">
        <v>6</v>
      </c>
      <c r="M2219">
        <v>52003</v>
      </c>
      <c r="N2219" t="s">
        <v>46</v>
      </c>
    </row>
    <row r="2220" spans="1:14" x14ac:dyDescent="0.2">
      <c r="A2220" s="3">
        <f t="shared" si="36"/>
        <v>292086</v>
      </c>
      <c r="B2220" t="str">
        <f>"02920860009"</f>
        <v>02920860009</v>
      </c>
      <c r="C2220" t="s">
        <v>2576</v>
      </c>
      <c r="D2220" t="s">
        <v>52</v>
      </c>
      <c r="E2220">
        <v>100</v>
      </c>
      <c r="F2220">
        <v>4691</v>
      </c>
      <c r="G2220" t="s">
        <v>1268</v>
      </c>
      <c r="H2220" t="s">
        <v>44</v>
      </c>
      <c r="I2220" t="s">
        <v>45</v>
      </c>
      <c r="J2220" t="s">
        <v>44</v>
      </c>
      <c r="K2220" t="s">
        <v>45</v>
      </c>
      <c r="L2220">
        <v>6</v>
      </c>
      <c r="M2220">
        <v>52004</v>
      </c>
      <c r="N2220" t="s">
        <v>46</v>
      </c>
    </row>
    <row r="2221" spans="1:14" x14ac:dyDescent="0.2">
      <c r="A2221" s="3">
        <f t="shared" si="36"/>
        <v>293305</v>
      </c>
      <c r="B2221" t="str">
        <f>"02933050006"</f>
        <v>02933050006</v>
      </c>
      <c r="C2221" t="s">
        <v>2577</v>
      </c>
      <c r="D2221" t="s">
        <v>52</v>
      </c>
      <c r="E2221">
        <v>100</v>
      </c>
      <c r="F2221">
        <v>4691</v>
      </c>
      <c r="G2221" t="s">
        <v>1268</v>
      </c>
      <c r="H2221" t="s">
        <v>44</v>
      </c>
      <c r="I2221" t="s">
        <v>45</v>
      </c>
      <c r="J2221" t="s">
        <v>44</v>
      </c>
      <c r="K2221" t="s">
        <v>45</v>
      </c>
      <c r="L2221">
        <v>6</v>
      </c>
      <c r="M2221">
        <v>2204</v>
      </c>
      <c r="N2221" t="s">
        <v>46</v>
      </c>
    </row>
    <row r="2222" spans="1:14" x14ac:dyDescent="0.2">
      <c r="A2222" s="3">
        <f t="shared" si="36"/>
        <v>293689</v>
      </c>
      <c r="B2222" t="str">
        <f>"02936890004"</f>
        <v>02936890004</v>
      </c>
      <c r="C2222" t="s">
        <v>2578</v>
      </c>
      <c r="D2222" t="s">
        <v>52</v>
      </c>
      <c r="E2222">
        <v>100</v>
      </c>
      <c r="F2222">
        <v>4691</v>
      </c>
      <c r="G2222" t="s">
        <v>1268</v>
      </c>
      <c r="H2222" t="s">
        <v>44</v>
      </c>
      <c r="I2222" t="s">
        <v>45</v>
      </c>
      <c r="J2222" t="s">
        <v>44</v>
      </c>
      <c r="K2222" t="s">
        <v>45</v>
      </c>
      <c r="L2222">
        <v>6</v>
      </c>
      <c r="M2222">
        <v>52015</v>
      </c>
      <c r="N2222" t="s">
        <v>46</v>
      </c>
    </row>
    <row r="2223" spans="1:14" x14ac:dyDescent="0.2">
      <c r="A2223" s="3">
        <f t="shared" si="36"/>
        <v>293691</v>
      </c>
      <c r="B2223" t="str">
        <f>"02936910004"</f>
        <v>02936910004</v>
      </c>
      <c r="C2223" t="s">
        <v>2579</v>
      </c>
      <c r="D2223" t="s">
        <v>52</v>
      </c>
      <c r="E2223">
        <v>100</v>
      </c>
      <c r="F2223">
        <v>4691</v>
      </c>
      <c r="G2223" t="s">
        <v>1268</v>
      </c>
      <c r="H2223" t="s">
        <v>44</v>
      </c>
      <c r="I2223" t="s">
        <v>45</v>
      </c>
      <c r="J2223" t="s">
        <v>44</v>
      </c>
      <c r="K2223" t="s">
        <v>45</v>
      </c>
      <c r="L2223">
        <v>6</v>
      </c>
      <c r="M2223">
        <v>52016</v>
      </c>
      <c r="N2223" t="s">
        <v>46</v>
      </c>
    </row>
    <row r="2224" spans="1:14" x14ac:dyDescent="0.2">
      <c r="A2224" s="3">
        <f t="shared" si="36"/>
        <v>293697</v>
      </c>
      <c r="B2224" t="str">
        <f>"02936970004"</f>
        <v>02936970004</v>
      </c>
      <c r="C2224" t="s">
        <v>2580</v>
      </c>
      <c r="D2224" t="s">
        <v>52</v>
      </c>
      <c r="E2224">
        <v>100</v>
      </c>
      <c r="F2224">
        <v>4691</v>
      </c>
      <c r="G2224" t="s">
        <v>1268</v>
      </c>
      <c r="H2224" t="s">
        <v>44</v>
      </c>
      <c r="I2224" t="s">
        <v>45</v>
      </c>
      <c r="J2224" t="s">
        <v>44</v>
      </c>
      <c r="K2224" t="s">
        <v>45</v>
      </c>
      <c r="L2224">
        <v>6</v>
      </c>
      <c r="M2224">
        <v>52017</v>
      </c>
      <c r="N2224" t="s">
        <v>46</v>
      </c>
    </row>
    <row r="2225" spans="1:14" x14ac:dyDescent="0.2">
      <c r="A2225" s="3">
        <f t="shared" si="36"/>
        <v>294005</v>
      </c>
      <c r="B2225" t="str">
        <f>"02940050096"</f>
        <v>02940050096</v>
      </c>
      <c r="C2225" t="s">
        <v>2581</v>
      </c>
      <c r="D2225" t="s">
        <v>52</v>
      </c>
      <c r="E2225">
        <v>112</v>
      </c>
      <c r="F2225">
        <v>4691</v>
      </c>
      <c r="G2225" t="s">
        <v>1268</v>
      </c>
      <c r="H2225" t="s">
        <v>44</v>
      </c>
      <c r="I2225" t="s">
        <v>45</v>
      </c>
      <c r="J2225" t="s">
        <v>44</v>
      </c>
      <c r="K2225" t="s">
        <v>45</v>
      </c>
      <c r="L2225">
        <v>6</v>
      </c>
      <c r="M2225">
        <v>1201</v>
      </c>
      <c r="N2225" t="s">
        <v>46</v>
      </c>
    </row>
    <row r="2226" spans="1:14" x14ac:dyDescent="0.2">
      <c r="A2226" s="3">
        <f t="shared" si="36"/>
        <v>294495</v>
      </c>
      <c r="B2226" t="str">
        <f>"02944950009"</f>
        <v>02944950009</v>
      </c>
      <c r="C2226" t="s">
        <v>2582</v>
      </c>
      <c r="D2226" t="s">
        <v>52</v>
      </c>
      <c r="E2226">
        <v>100</v>
      </c>
      <c r="F2226">
        <v>4691</v>
      </c>
      <c r="G2226" t="s">
        <v>1268</v>
      </c>
      <c r="H2226" t="s">
        <v>44</v>
      </c>
      <c r="I2226" t="s">
        <v>45</v>
      </c>
      <c r="J2226" t="s">
        <v>44</v>
      </c>
      <c r="K2226" t="s">
        <v>45</v>
      </c>
      <c r="L2226">
        <v>6</v>
      </c>
      <c r="M2226">
        <v>52018</v>
      </c>
      <c r="N2226" t="s">
        <v>46</v>
      </c>
    </row>
    <row r="2227" spans="1:14" x14ac:dyDescent="0.2">
      <c r="A2227" s="3">
        <f t="shared" si="36"/>
        <v>295774</v>
      </c>
      <c r="B2227" t="str">
        <f>"02957740002"</f>
        <v>02957740002</v>
      </c>
      <c r="C2227" t="s">
        <v>2583</v>
      </c>
      <c r="D2227" t="s">
        <v>52</v>
      </c>
      <c r="E2227">
        <v>112</v>
      </c>
      <c r="F2227">
        <v>4691</v>
      </c>
      <c r="G2227" t="s">
        <v>1268</v>
      </c>
      <c r="H2227" t="s">
        <v>44</v>
      </c>
      <c r="I2227" t="s">
        <v>45</v>
      </c>
      <c r="J2227" t="s">
        <v>44</v>
      </c>
      <c r="K2227" t="s">
        <v>45</v>
      </c>
      <c r="L2227">
        <v>5</v>
      </c>
      <c r="M2227" t="s">
        <v>65</v>
      </c>
      <c r="N2227" t="s">
        <v>46</v>
      </c>
    </row>
    <row r="2228" spans="1:14" x14ac:dyDescent="0.2">
      <c r="A2228" s="3">
        <f t="shared" si="36"/>
        <v>295968</v>
      </c>
      <c r="B2228" t="str">
        <f>"02959680008"</f>
        <v>02959680008</v>
      </c>
      <c r="C2228" t="s">
        <v>2584</v>
      </c>
      <c r="D2228" t="s">
        <v>52</v>
      </c>
      <c r="E2228">
        <v>112</v>
      </c>
      <c r="F2228">
        <v>4691</v>
      </c>
      <c r="G2228" t="s">
        <v>1268</v>
      </c>
      <c r="H2228" t="s">
        <v>44</v>
      </c>
      <c r="I2228" t="s">
        <v>45</v>
      </c>
      <c r="J2228" t="s">
        <v>44</v>
      </c>
      <c r="K2228" t="s">
        <v>45</v>
      </c>
      <c r="L2228">
        <v>6</v>
      </c>
      <c r="M2228">
        <v>3200</v>
      </c>
      <c r="N2228" t="s">
        <v>46</v>
      </c>
    </row>
    <row r="2229" spans="1:14" x14ac:dyDescent="0.2">
      <c r="A2229" s="3">
        <f t="shared" si="36"/>
        <v>296540</v>
      </c>
      <c r="B2229" t="str">
        <f>"02965400006"</f>
        <v>02965400006</v>
      </c>
      <c r="C2229" t="s">
        <v>2585</v>
      </c>
      <c r="D2229" t="s">
        <v>52</v>
      </c>
      <c r="E2229">
        <v>121</v>
      </c>
      <c r="F2229">
        <v>4691</v>
      </c>
      <c r="G2229" t="s">
        <v>1268</v>
      </c>
      <c r="H2229" t="s">
        <v>44</v>
      </c>
      <c r="I2229" t="s">
        <v>45</v>
      </c>
      <c r="J2229" t="s">
        <v>44</v>
      </c>
      <c r="K2229" t="s">
        <v>45</v>
      </c>
      <c r="L2229">
        <v>6</v>
      </c>
      <c r="M2229">
        <v>1202</v>
      </c>
      <c r="N2229" t="s">
        <v>46</v>
      </c>
    </row>
    <row r="2230" spans="1:14" x14ac:dyDescent="0.2">
      <c r="A2230" s="3">
        <f t="shared" si="36"/>
        <v>296548</v>
      </c>
      <c r="B2230" t="str">
        <f>"02965480010"</f>
        <v>02965480010</v>
      </c>
      <c r="C2230" t="s">
        <v>2586</v>
      </c>
      <c r="D2230" t="s">
        <v>52</v>
      </c>
      <c r="E2230">
        <v>112</v>
      </c>
      <c r="F2230">
        <v>2063</v>
      </c>
      <c r="G2230" t="s">
        <v>2558</v>
      </c>
      <c r="H2230" t="s">
        <v>44</v>
      </c>
      <c r="I2230" t="s">
        <v>45</v>
      </c>
      <c r="J2230" t="s">
        <v>44</v>
      </c>
      <c r="K2230" t="s">
        <v>45</v>
      </c>
      <c r="L2230">
        <v>6</v>
      </c>
      <c r="M2230">
        <v>50803</v>
      </c>
      <c r="N2230" t="s">
        <v>46</v>
      </c>
    </row>
    <row r="2231" spans="1:14" x14ac:dyDescent="0.2">
      <c r="A2231" s="3">
        <f t="shared" si="36"/>
        <v>296661</v>
      </c>
      <c r="B2231" t="str">
        <f>"02966610008"</f>
        <v>02966610008</v>
      </c>
      <c r="C2231" t="s">
        <v>2587</v>
      </c>
      <c r="D2231" t="s">
        <v>52</v>
      </c>
      <c r="E2231">
        <v>120</v>
      </c>
      <c r="F2231">
        <v>4691</v>
      </c>
      <c r="G2231" t="s">
        <v>1268</v>
      </c>
      <c r="H2231" t="s">
        <v>44</v>
      </c>
      <c r="I2231" t="s">
        <v>45</v>
      </c>
      <c r="J2231" t="s">
        <v>44</v>
      </c>
      <c r="K2231" t="s">
        <v>45</v>
      </c>
      <c r="L2231">
        <v>6</v>
      </c>
      <c r="M2231">
        <v>1369</v>
      </c>
      <c r="N2231" t="s">
        <v>46</v>
      </c>
    </row>
    <row r="2232" spans="1:14" x14ac:dyDescent="0.2">
      <c r="A2232" s="3">
        <f t="shared" si="36"/>
        <v>296668</v>
      </c>
      <c r="B2232" t="str">
        <f>"02966680012"</f>
        <v>02966680012</v>
      </c>
      <c r="C2232" t="s">
        <v>2588</v>
      </c>
      <c r="D2232" t="s">
        <v>52</v>
      </c>
      <c r="E2232">
        <v>122</v>
      </c>
      <c r="F2232">
        <v>4691</v>
      </c>
      <c r="G2232" t="s">
        <v>1268</v>
      </c>
      <c r="H2232" t="s">
        <v>44</v>
      </c>
      <c r="I2232" t="s">
        <v>45</v>
      </c>
      <c r="J2232" t="s">
        <v>44</v>
      </c>
      <c r="K2232" t="s">
        <v>45</v>
      </c>
      <c r="L2232">
        <v>6</v>
      </c>
      <c r="M2232">
        <v>2205</v>
      </c>
      <c r="N2232" t="s">
        <v>46</v>
      </c>
    </row>
    <row r="2233" spans="1:14" x14ac:dyDescent="0.2">
      <c r="A2233" s="3">
        <f t="shared" si="36"/>
        <v>297226</v>
      </c>
      <c r="B2233" t="str">
        <f>"02972260001"</f>
        <v>02972260001</v>
      </c>
      <c r="C2233" t="s">
        <v>2589</v>
      </c>
      <c r="D2233" t="s">
        <v>52</v>
      </c>
      <c r="E2233">
        <v>112</v>
      </c>
      <c r="F2233">
        <v>4835</v>
      </c>
      <c r="G2233" t="s">
        <v>2590</v>
      </c>
      <c r="H2233" t="s">
        <v>44</v>
      </c>
      <c r="I2233" t="s">
        <v>45</v>
      </c>
      <c r="J2233" t="s">
        <v>44</v>
      </c>
      <c r="K2233" t="s">
        <v>45</v>
      </c>
      <c r="L2233">
        <v>5</v>
      </c>
      <c r="M2233" t="s">
        <v>65</v>
      </c>
      <c r="N2233" t="s">
        <v>46</v>
      </c>
    </row>
    <row r="2234" spans="1:14" x14ac:dyDescent="0.2">
      <c r="A2234" s="3">
        <f t="shared" si="36"/>
        <v>297631</v>
      </c>
      <c r="B2234" t="str">
        <f>"02976310004"</f>
        <v>02976310004</v>
      </c>
      <c r="C2234" t="s">
        <v>2591</v>
      </c>
      <c r="D2234" t="s">
        <v>52</v>
      </c>
      <c r="E2234">
        <v>118</v>
      </c>
      <c r="F2234">
        <v>4691</v>
      </c>
      <c r="G2234" t="s">
        <v>1268</v>
      </c>
      <c r="H2234" t="s">
        <v>44</v>
      </c>
      <c r="I2234" t="s">
        <v>45</v>
      </c>
      <c r="J2234" t="s">
        <v>44</v>
      </c>
      <c r="K2234" t="s">
        <v>45</v>
      </c>
      <c r="L2234">
        <v>5</v>
      </c>
      <c r="M2234" t="s">
        <v>65</v>
      </c>
      <c r="N2234" t="s">
        <v>46</v>
      </c>
    </row>
    <row r="2235" spans="1:14" x14ac:dyDescent="0.2">
      <c r="A2235" s="3">
        <f t="shared" si="36"/>
        <v>298785</v>
      </c>
      <c r="B2235" t="str">
        <f>"02987850024"</f>
        <v>02987850024</v>
      </c>
      <c r="C2235" t="s">
        <v>2592</v>
      </c>
      <c r="D2235" t="s">
        <v>52</v>
      </c>
      <c r="E2235">
        <v>114</v>
      </c>
      <c r="F2235">
        <v>847</v>
      </c>
      <c r="G2235" t="s">
        <v>2593</v>
      </c>
      <c r="H2235" t="s">
        <v>44</v>
      </c>
      <c r="I2235" t="s">
        <v>45</v>
      </c>
      <c r="J2235" t="s">
        <v>44</v>
      </c>
      <c r="K2235" t="s">
        <v>45</v>
      </c>
      <c r="L2235">
        <v>5</v>
      </c>
      <c r="M2235" t="s">
        <v>65</v>
      </c>
      <c r="N2235" t="s">
        <v>46</v>
      </c>
    </row>
    <row r="2236" spans="1:14" x14ac:dyDescent="0.2">
      <c r="A2236" s="3">
        <f t="shared" si="36"/>
        <v>298810</v>
      </c>
      <c r="B2236" t="str">
        <f>"02988100002"</f>
        <v>02988100002</v>
      </c>
      <c r="C2236" t="s">
        <v>2594</v>
      </c>
      <c r="D2236" t="s">
        <v>52</v>
      </c>
      <c r="E2236">
        <v>112</v>
      </c>
      <c r="F2236">
        <v>4691</v>
      </c>
      <c r="G2236" t="s">
        <v>1268</v>
      </c>
      <c r="H2236" t="s">
        <v>44</v>
      </c>
      <c r="I2236" t="s">
        <v>45</v>
      </c>
      <c r="J2236" t="s">
        <v>44</v>
      </c>
      <c r="K2236" t="s">
        <v>45</v>
      </c>
      <c r="L2236">
        <v>6</v>
      </c>
      <c r="M2236">
        <v>49803</v>
      </c>
      <c r="N2236" t="s">
        <v>46</v>
      </c>
    </row>
    <row r="2237" spans="1:14" x14ac:dyDescent="0.2">
      <c r="A2237" s="3">
        <f t="shared" si="36"/>
        <v>298872</v>
      </c>
      <c r="B2237" t="str">
        <f>"02988720012"</f>
        <v>02988720012</v>
      </c>
      <c r="C2237" t="s">
        <v>2595</v>
      </c>
      <c r="D2237" t="s">
        <v>52</v>
      </c>
      <c r="E2237">
        <v>119</v>
      </c>
      <c r="F2237">
        <v>7512</v>
      </c>
      <c r="G2237" t="s">
        <v>2596</v>
      </c>
      <c r="H2237" t="s">
        <v>44</v>
      </c>
      <c r="I2237" t="s">
        <v>45</v>
      </c>
      <c r="J2237" t="s">
        <v>44</v>
      </c>
      <c r="K2237" t="s">
        <v>45</v>
      </c>
      <c r="L2237">
        <v>5</v>
      </c>
      <c r="M2237" t="s">
        <v>65</v>
      </c>
      <c r="N2237" t="s">
        <v>46</v>
      </c>
    </row>
    <row r="2238" spans="1:14" x14ac:dyDescent="0.2">
      <c r="A2238" s="3">
        <f t="shared" si="36"/>
        <v>300443</v>
      </c>
      <c r="B2238" t="str">
        <f>"03004430001"</f>
        <v>03004430001</v>
      </c>
      <c r="C2238" t="s">
        <v>2597</v>
      </c>
      <c r="D2238" t="s">
        <v>52</v>
      </c>
      <c r="E2238">
        <v>122</v>
      </c>
      <c r="F2238">
        <v>4691</v>
      </c>
      <c r="G2238" t="s">
        <v>1268</v>
      </c>
      <c r="H2238" t="s">
        <v>44</v>
      </c>
      <c r="I2238" t="s">
        <v>45</v>
      </c>
      <c r="J2238" t="s">
        <v>44</v>
      </c>
      <c r="K2238" t="s">
        <v>45</v>
      </c>
      <c r="L2238">
        <v>5</v>
      </c>
      <c r="M2238" t="s">
        <v>65</v>
      </c>
      <c r="N2238" t="s">
        <v>46</v>
      </c>
    </row>
    <row r="2239" spans="1:14" x14ac:dyDescent="0.2">
      <c r="A2239" s="3">
        <f t="shared" si="36"/>
        <v>300564</v>
      </c>
      <c r="B2239" t="str">
        <f>"03005640034"</f>
        <v>03005640034</v>
      </c>
      <c r="C2239" t="s">
        <v>2598</v>
      </c>
      <c r="D2239" t="s">
        <v>52</v>
      </c>
      <c r="E2239">
        <v>115</v>
      </c>
      <c r="F2239">
        <v>2065</v>
      </c>
      <c r="G2239" t="s">
        <v>1891</v>
      </c>
      <c r="H2239" t="s">
        <v>44</v>
      </c>
      <c r="I2239" t="s">
        <v>45</v>
      </c>
      <c r="J2239" t="s">
        <v>44</v>
      </c>
      <c r="K2239" t="s">
        <v>45</v>
      </c>
      <c r="L2239">
        <v>5</v>
      </c>
      <c r="M2239" t="s">
        <v>65</v>
      </c>
      <c r="N2239" t="s">
        <v>46</v>
      </c>
    </row>
    <row r="2240" spans="1:14" x14ac:dyDescent="0.2">
      <c r="A2240" s="3">
        <f t="shared" si="36"/>
        <v>300724</v>
      </c>
      <c r="B2240" t="str">
        <f>"03007240010"</f>
        <v>03007240010</v>
      </c>
      <c r="C2240" t="s">
        <v>2599</v>
      </c>
      <c r="D2240" t="s">
        <v>52</v>
      </c>
      <c r="E2240">
        <v>103</v>
      </c>
      <c r="F2240">
        <v>4407</v>
      </c>
      <c r="G2240" t="s">
        <v>2600</v>
      </c>
      <c r="H2240" t="s">
        <v>44</v>
      </c>
      <c r="I2240" t="s">
        <v>45</v>
      </c>
      <c r="J2240" t="s">
        <v>44</v>
      </c>
      <c r="K2240" t="s">
        <v>45</v>
      </c>
      <c r="L2240">
        <v>5</v>
      </c>
      <c r="M2240" t="s">
        <v>65</v>
      </c>
      <c r="N2240" t="s">
        <v>46</v>
      </c>
    </row>
    <row r="2241" spans="1:14" x14ac:dyDescent="0.2">
      <c r="A2241" s="3">
        <f t="shared" si="36"/>
        <v>300898</v>
      </c>
      <c r="B2241" t="str">
        <f>"03008980014"</f>
        <v>03008980014</v>
      </c>
      <c r="C2241" t="s">
        <v>2601</v>
      </c>
      <c r="D2241" t="s">
        <v>52</v>
      </c>
      <c r="E2241">
        <v>100</v>
      </c>
      <c r="F2241">
        <v>4691</v>
      </c>
      <c r="G2241" t="s">
        <v>1268</v>
      </c>
      <c r="H2241" t="s">
        <v>44</v>
      </c>
      <c r="I2241" t="s">
        <v>45</v>
      </c>
      <c r="J2241" t="s">
        <v>44</v>
      </c>
      <c r="K2241" t="s">
        <v>45</v>
      </c>
      <c r="L2241">
        <v>6</v>
      </c>
      <c r="M2241">
        <v>52101</v>
      </c>
      <c r="N2241" t="s">
        <v>46</v>
      </c>
    </row>
    <row r="2242" spans="1:14" x14ac:dyDescent="0.2">
      <c r="A2242" s="3">
        <f t="shared" si="36"/>
        <v>301423</v>
      </c>
      <c r="B2242" t="str">
        <f>"03014230006"</f>
        <v>03014230006</v>
      </c>
      <c r="C2242" t="s">
        <v>2602</v>
      </c>
      <c r="D2242" t="s">
        <v>52</v>
      </c>
      <c r="E2242">
        <v>122</v>
      </c>
      <c r="F2242">
        <v>4691</v>
      </c>
      <c r="G2242" t="s">
        <v>1268</v>
      </c>
      <c r="H2242" t="s">
        <v>44</v>
      </c>
      <c r="I2242" t="s">
        <v>45</v>
      </c>
      <c r="J2242" t="s">
        <v>44</v>
      </c>
      <c r="K2242" t="s">
        <v>45</v>
      </c>
      <c r="L2242">
        <v>6</v>
      </c>
      <c r="M2242">
        <v>1304</v>
      </c>
      <c r="N2242" t="s">
        <v>46</v>
      </c>
    </row>
    <row r="2243" spans="1:14" x14ac:dyDescent="0.2">
      <c r="A2243" s="3">
        <f t="shared" si="36"/>
        <v>301514</v>
      </c>
      <c r="B2243" t="str">
        <f>"03015140012"</f>
        <v>03015140012</v>
      </c>
      <c r="C2243" t="s">
        <v>2603</v>
      </c>
      <c r="D2243" t="s">
        <v>52</v>
      </c>
      <c r="E2243">
        <v>100</v>
      </c>
      <c r="F2243">
        <v>4691</v>
      </c>
      <c r="G2243" t="s">
        <v>1268</v>
      </c>
      <c r="H2243" t="s">
        <v>44</v>
      </c>
      <c r="I2243" t="s">
        <v>45</v>
      </c>
      <c r="J2243" t="s">
        <v>44</v>
      </c>
      <c r="K2243" t="s">
        <v>45</v>
      </c>
      <c r="L2243">
        <v>6</v>
      </c>
      <c r="M2243" t="s">
        <v>65</v>
      </c>
      <c r="N2243" t="s">
        <v>46</v>
      </c>
    </row>
    <row r="2244" spans="1:14" x14ac:dyDescent="0.2">
      <c r="A2244" s="3">
        <f t="shared" ref="A2244:A2307" si="37">(B2244-RIGHT(B2244,4))/10000</f>
        <v>301518</v>
      </c>
      <c r="B2244" t="str">
        <f>"03015180008"</f>
        <v>03015180008</v>
      </c>
      <c r="C2244" t="s">
        <v>2604</v>
      </c>
      <c r="D2244" t="s">
        <v>52</v>
      </c>
      <c r="E2244">
        <v>100</v>
      </c>
      <c r="F2244">
        <v>4691</v>
      </c>
      <c r="G2244" t="s">
        <v>1268</v>
      </c>
      <c r="H2244" t="s">
        <v>44</v>
      </c>
      <c r="I2244" t="s">
        <v>45</v>
      </c>
      <c r="J2244" t="s">
        <v>44</v>
      </c>
      <c r="K2244" t="s">
        <v>45</v>
      </c>
      <c r="L2244">
        <v>6</v>
      </c>
      <c r="M2244">
        <v>52005</v>
      </c>
      <c r="N2244" t="s">
        <v>46</v>
      </c>
    </row>
    <row r="2245" spans="1:14" x14ac:dyDescent="0.2">
      <c r="A2245" s="3">
        <f t="shared" si="37"/>
        <v>301532</v>
      </c>
      <c r="B2245" t="str">
        <f>"03015320008"</f>
        <v>03015320008</v>
      </c>
      <c r="C2245" t="s">
        <v>2605</v>
      </c>
      <c r="D2245" t="s">
        <v>52</v>
      </c>
      <c r="E2245">
        <v>100</v>
      </c>
      <c r="F2245">
        <v>4691</v>
      </c>
      <c r="G2245" t="s">
        <v>1268</v>
      </c>
      <c r="H2245" t="s">
        <v>44</v>
      </c>
      <c r="I2245" t="s">
        <v>45</v>
      </c>
      <c r="J2245" t="s">
        <v>44</v>
      </c>
      <c r="K2245" t="s">
        <v>45</v>
      </c>
      <c r="L2245">
        <v>6</v>
      </c>
      <c r="M2245">
        <v>52006</v>
      </c>
      <c r="N2245" t="s">
        <v>46</v>
      </c>
    </row>
    <row r="2246" spans="1:14" x14ac:dyDescent="0.2">
      <c r="A2246" s="3">
        <f t="shared" si="37"/>
        <v>301541</v>
      </c>
      <c r="B2246" t="str">
        <f>"03015410008"</f>
        <v>03015410008</v>
      </c>
      <c r="C2246" t="s">
        <v>2606</v>
      </c>
      <c r="D2246" t="s">
        <v>52</v>
      </c>
      <c r="E2246">
        <v>100</v>
      </c>
      <c r="F2246">
        <v>4691</v>
      </c>
      <c r="G2246" t="s">
        <v>1268</v>
      </c>
      <c r="H2246" t="s">
        <v>44</v>
      </c>
      <c r="I2246" t="s">
        <v>45</v>
      </c>
      <c r="J2246" t="s">
        <v>44</v>
      </c>
      <c r="K2246" t="s">
        <v>45</v>
      </c>
      <c r="L2246">
        <v>6</v>
      </c>
      <c r="M2246">
        <v>52007</v>
      </c>
      <c r="N2246" t="s">
        <v>46</v>
      </c>
    </row>
    <row r="2247" spans="1:14" x14ac:dyDescent="0.2">
      <c r="A2247" s="3">
        <f t="shared" si="37"/>
        <v>301560</v>
      </c>
      <c r="B2247" t="str">
        <f>"03015600009"</f>
        <v>03015600009</v>
      </c>
      <c r="C2247" t="s">
        <v>2607</v>
      </c>
      <c r="D2247" t="s">
        <v>52</v>
      </c>
      <c r="E2247">
        <v>100</v>
      </c>
      <c r="F2247">
        <v>4691</v>
      </c>
      <c r="G2247" t="s">
        <v>1268</v>
      </c>
      <c r="H2247" t="s">
        <v>44</v>
      </c>
      <c r="I2247" t="s">
        <v>45</v>
      </c>
      <c r="J2247" t="s">
        <v>44</v>
      </c>
      <c r="K2247" t="s">
        <v>45</v>
      </c>
      <c r="L2247">
        <v>6</v>
      </c>
      <c r="M2247">
        <v>52008</v>
      </c>
      <c r="N2247" t="s">
        <v>46</v>
      </c>
    </row>
    <row r="2248" spans="1:14" x14ac:dyDescent="0.2">
      <c r="A2248" s="3">
        <f t="shared" si="37"/>
        <v>301561</v>
      </c>
      <c r="B2248" t="str">
        <f>"03015610009"</f>
        <v>03015610009</v>
      </c>
      <c r="C2248" t="s">
        <v>2608</v>
      </c>
      <c r="D2248" t="s">
        <v>52</v>
      </c>
      <c r="E2248">
        <v>100</v>
      </c>
      <c r="F2248">
        <v>4691</v>
      </c>
      <c r="G2248" t="s">
        <v>1268</v>
      </c>
      <c r="H2248" t="s">
        <v>44</v>
      </c>
      <c r="I2248" t="s">
        <v>45</v>
      </c>
      <c r="J2248" t="s">
        <v>44</v>
      </c>
      <c r="K2248" t="s">
        <v>45</v>
      </c>
      <c r="L2248">
        <v>6</v>
      </c>
      <c r="M2248">
        <v>52009</v>
      </c>
      <c r="N2248" t="s">
        <v>46</v>
      </c>
    </row>
    <row r="2249" spans="1:14" x14ac:dyDescent="0.2">
      <c r="A2249" s="3">
        <f t="shared" si="37"/>
        <v>301566</v>
      </c>
      <c r="B2249" t="str">
        <f>"03015660022"</f>
        <v>03015660022</v>
      </c>
      <c r="C2249" t="s">
        <v>2609</v>
      </c>
      <c r="D2249" t="s">
        <v>52</v>
      </c>
      <c r="E2249">
        <v>100</v>
      </c>
      <c r="F2249">
        <v>4691</v>
      </c>
      <c r="G2249" t="s">
        <v>1268</v>
      </c>
      <c r="H2249" t="s">
        <v>44</v>
      </c>
      <c r="I2249" t="s">
        <v>45</v>
      </c>
      <c r="J2249" t="s">
        <v>44</v>
      </c>
      <c r="K2249" t="s">
        <v>45</v>
      </c>
      <c r="L2249">
        <v>6</v>
      </c>
      <c r="M2249">
        <v>52010</v>
      </c>
      <c r="N2249" t="s">
        <v>46</v>
      </c>
    </row>
    <row r="2250" spans="1:14" x14ac:dyDescent="0.2">
      <c r="A2250" s="3">
        <f t="shared" si="37"/>
        <v>301567</v>
      </c>
      <c r="B2250" t="str">
        <f>"03015670020"</f>
        <v>03015670020</v>
      </c>
      <c r="C2250" t="s">
        <v>2610</v>
      </c>
      <c r="D2250" t="s">
        <v>52</v>
      </c>
      <c r="E2250">
        <v>100</v>
      </c>
      <c r="F2250">
        <v>4691</v>
      </c>
      <c r="G2250" t="s">
        <v>1268</v>
      </c>
      <c r="H2250" t="s">
        <v>44</v>
      </c>
      <c r="I2250" t="s">
        <v>45</v>
      </c>
      <c r="J2250" t="s">
        <v>44</v>
      </c>
      <c r="K2250" t="s">
        <v>45</v>
      </c>
      <c r="L2250">
        <v>6</v>
      </c>
      <c r="M2250">
        <v>52011</v>
      </c>
      <c r="N2250" t="s">
        <v>46</v>
      </c>
    </row>
    <row r="2251" spans="1:14" x14ac:dyDescent="0.2">
      <c r="A2251" s="3">
        <f t="shared" si="37"/>
        <v>301568</v>
      </c>
      <c r="B2251" t="str">
        <f>"03015680006"</f>
        <v>03015680006</v>
      </c>
      <c r="C2251" t="s">
        <v>2611</v>
      </c>
      <c r="D2251" t="s">
        <v>52</v>
      </c>
      <c r="E2251">
        <v>100</v>
      </c>
      <c r="F2251">
        <v>4691</v>
      </c>
      <c r="G2251" t="s">
        <v>1268</v>
      </c>
      <c r="H2251" t="s">
        <v>44</v>
      </c>
      <c r="I2251" t="s">
        <v>45</v>
      </c>
      <c r="J2251" t="s">
        <v>44</v>
      </c>
      <c r="K2251" t="s">
        <v>45</v>
      </c>
      <c r="L2251">
        <v>6</v>
      </c>
      <c r="M2251">
        <v>52012</v>
      </c>
      <c r="N2251" t="s">
        <v>46</v>
      </c>
    </row>
    <row r="2252" spans="1:14" x14ac:dyDescent="0.2">
      <c r="A2252" s="3">
        <f t="shared" si="37"/>
        <v>301569</v>
      </c>
      <c r="B2252" t="str">
        <f>"03015690006"</f>
        <v>03015690006</v>
      </c>
      <c r="C2252" t="s">
        <v>2612</v>
      </c>
      <c r="D2252" t="s">
        <v>52</v>
      </c>
      <c r="E2252">
        <v>100</v>
      </c>
      <c r="F2252">
        <v>4691</v>
      </c>
      <c r="G2252" t="s">
        <v>1268</v>
      </c>
      <c r="H2252" t="s">
        <v>44</v>
      </c>
      <c r="I2252" t="s">
        <v>45</v>
      </c>
      <c r="J2252" t="s">
        <v>44</v>
      </c>
      <c r="K2252" t="s">
        <v>45</v>
      </c>
      <c r="L2252">
        <v>6</v>
      </c>
      <c r="M2252">
        <v>52013</v>
      </c>
      <c r="N2252" t="s">
        <v>46</v>
      </c>
    </row>
    <row r="2253" spans="1:14" x14ac:dyDescent="0.2">
      <c r="A2253" s="3">
        <f t="shared" si="37"/>
        <v>301575</v>
      </c>
      <c r="B2253" t="str">
        <f>"03015750004"</f>
        <v>03015750004</v>
      </c>
      <c r="C2253" t="s">
        <v>2613</v>
      </c>
      <c r="D2253" t="s">
        <v>52</v>
      </c>
      <c r="E2253">
        <v>100</v>
      </c>
      <c r="F2253">
        <v>4691</v>
      </c>
      <c r="G2253" t="s">
        <v>1268</v>
      </c>
      <c r="H2253" t="s">
        <v>44</v>
      </c>
      <c r="I2253" t="s">
        <v>45</v>
      </c>
      <c r="J2253" t="s">
        <v>44</v>
      </c>
      <c r="K2253" t="s">
        <v>45</v>
      </c>
      <c r="L2253">
        <v>6</v>
      </c>
      <c r="M2253">
        <v>52014</v>
      </c>
      <c r="N2253" t="s">
        <v>46</v>
      </c>
    </row>
    <row r="2254" spans="1:14" x14ac:dyDescent="0.2">
      <c r="A2254" s="3">
        <f t="shared" si="37"/>
        <v>301624</v>
      </c>
      <c r="B2254" t="str">
        <f>"03016240014"</f>
        <v>03016240014</v>
      </c>
      <c r="C2254" t="s">
        <v>2614</v>
      </c>
      <c r="D2254" t="s">
        <v>52</v>
      </c>
      <c r="E2254">
        <v>100</v>
      </c>
      <c r="F2254">
        <v>4691</v>
      </c>
      <c r="G2254" t="s">
        <v>1268</v>
      </c>
      <c r="H2254" t="s">
        <v>44</v>
      </c>
      <c r="I2254" t="s">
        <v>45</v>
      </c>
      <c r="J2254" t="s">
        <v>44</v>
      </c>
      <c r="K2254" t="s">
        <v>45</v>
      </c>
      <c r="L2254">
        <v>5</v>
      </c>
      <c r="M2254" t="s">
        <v>65</v>
      </c>
      <c r="N2254" t="s">
        <v>46</v>
      </c>
    </row>
    <row r="2255" spans="1:14" x14ac:dyDescent="0.2">
      <c r="A2255" s="3">
        <f t="shared" si="37"/>
        <v>301684</v>
      </c>
      <c r="B2255" t="str">
        <f>"03016840008"</f>
        <v>03016840008</v>
      </c>
      <c r="C2255" t="s">
        <v>2615</v>
      </c>
      <c r="D2255" t="s">
        <v>52</v>
      </c>
      <c r="E2255">
        <v>100</v>
      </c>
      <c r="F2255">
        <v>4691</v>
      </c>
      <c r="G2255" t="s">
        <v>1268</v>
      </c>
      <c r="H2255" t="s">
        <v>44</v>
      </c>
      <c r="I2255" t="s">
        <v>45</v>
      </c>
      <c r="J2255" t="s">
        <v>44</v>
      </c>
      <c r="K2255" t="s">
        <v>45</v>
      </c>
      <c r="L2255">
        <v>6</v>
      </c>
      <c r="M2255">
        <v>52020</v>
      </c>
      <c r="N2255" t="s">
        <v>46</v>
      </c>
    </row>
    <row r="2256" spans="1:14" x14ac:dyDescent="0.2">
      <c r="A2256" s="3">
        <f t="shared" si="37"/>
        <v>301687</v>
      </c>
      <c r="B2256" t="str">
        <f>"03016870006"</f>
        <v>03016870006</v>
      </c>
      <c r="C2256" t="s">
        <v>2616</v>
      </c>
      <c r="D2256" t="s">
        <v>52</v>
      </c>
      <c r="E2256">
        <v>100</v>
      </c>
      <c r="F2256">
        <v>4691</v>
      </c>
      <c r="G2256" t="s">
        <v>1268</v>
      </c>
      <c r="H2256" t="s">
        <v>44</v>
      </c>
      <c r="I2256" t="s">
        <v>45</v>
      </c>
      <c r="J2256" t="s">
        <v>44</v>
      </c>
      <c r="K2256" t="s">
        <v>45</v>
      </c>
      <c r="L2256">
        <v>6</v>
      </c>
      <c r="M2256">
        <v>52021</v>
      </c>
      <c r="N2256" t="s">
        <v>46</v>
      </c>
    </row>
    <row r="2257" spans="1:14" x14ac:dyDescent="0.2">
      <c r="A2257" s="3">
        <f t="shared" si="37"/>
        <v>301717</v>
      </c>
      <c r="B2257" t="str">
        <f>"03017170009"</f>
        <v>03017170009</v>
      </c>
      <c r="C2257" t="s">
        <v>2617</v>
      </c>
      <c r="D2257" t="s">
        <v>52</v>
      </c>
      <c r="E2257">
        <v>100</v>
      </c>
      <c r="F2257">
        <v>4691</v>
      </c>
      <c r="G2257" t="s">
        <v>1268</v>
      </c>
      <c r="H2257" t="s">
        <v>44</v>
      </c>
      <c r="I2257" t="s">
        <v>45</v>
      </c>
      <c r="J2257" t="s">
        <v>44</v>
      </c>
      <c r="K2257" t="s">
        <v>45</v>
      </c>
      <c r="L2257">
        <v>6</v>
      </c>
      <c r="M2257">
        <v>52022</v>
      </c>
      <c r="N2257" t="s">
        <v>46</v>
      </c>
    </row>
    <row r="2258" spans="1:14" x14ac:dyDescent="0.2">
      <c r="A2258" s="3">
        <f t="shared" si="37"/>
        <v>301725</v>
      </c>
      <c r="B2258" t="str">
        <f>"03017250009"</f>
        <v>03017250009</v>
      </c>
      <c r="C2258" t="s">
        <v>2618</v>
      </c>
      <c r="D2258" t="s">
        <v>52</v>
      </c>
      <c r="E2258">
        <v>100</v>
      </c>
      <c r="F2258">
        <v>4691</v>
      </c>
      <c r="G2258" t="s">
        <v>1268</v>
      </c>
      <c r="H2258" t="s">
        <v>44</v>
      </c>
      <c r="I2258" t="s">
        <v>45</v>
      </c>
      <c r="J2258" t="s">
        <v>44</v>
      </c>
      <c r="K2258" t="s">
        <v>45</v>
      </c>
      <c r="L2258">
        <v>6</v>
      </c>
      <c r="M2258">
        <v>52023</v>
      </c>
      <c r="N2258" t="s">
        <v>46</v>
      </c>
    </row>
    <row r="2259" spans="1:14" x14ac:dyDescent="0.2">
      <c r="A2259" s="3">
        <f t="shared" si="37"/>
        <v>301728</v>
      </c>
      <c r="B2259" t="str">
        <f>"03017280012"</f>
        <v>03017280012</v>
      </c>
      <c r="C2259" t="s">
        <v>2619</v>
      </c>
      <c r="D2259" t="s">
        <v>52</v>
      </c>
      <c r="E2259">
        <v>100</v>
      </c>
      <c r="F2259">
        <v>4691</v>
      </c>
      <c r="G2259" t="s">
        <v>1268</v>
      </c>
      <c r="H2259" t="s">
        <v>44</v>
      </c>
      <c r="I2259" t="s">
        <v>45</v>
      </c>
      <c r="J2259" t="s">
        <v>44</v>
      </c>
      <c r="K2259" t="s">
        <v>45</v>
      </c>
      <c r="L2259">
        <v>6</v>
      </c>
      <c r="M2259">
        <v>52024</v>
      </c>
      <c r="N2259" t="s">
        <v>46</v>
      </c>
    </row>
    <row r="2260" spans="1:14" x14ac:dyDescent="0.2">
      <c r="A2260" s="3">
        <f t="shared" si="37"/>
        <v>302287</v>
      </c>
      <c r="B2260" t="str">
        <f>"03022870016"</f>
        <v>03022870016</v>
      </c>
      <c r="C2260" t="s">
        <v>2620</v>
      </c>
      <c r="D2260" t="s">
        <v>52</v>
      </c>
      <c r="E2260">
        <v>100</v>
      </c>
      <c r="F2260">
        <v>4691</v>
      </c>
      <c r="G2260" t="s">
        <v>1268</v>
      </c>
      <c r="H2260" t="s">
        <v>44</v>
      </c>
      <c r="I2260" t="s">
        <v>45</v>
      </c>
      <c r="J2260" t="s">
        <v>44</v>
      </c>
      <c r="K2260" t="s">
        <v>45</v>
      </c>
      <c r="L2260">
        <v>6</v>
      </c>
      <c r="M2260">
        <v>52102</v>
      </c>
      <c r="N2260" t="s">
        <v>46</v>
      </c>
    </row>
    <row r="2261" spans="1:14" x14ac:dyDescent="0.2">
      <c r="A2261" s="3">
        <f t="shared" si="37"/>
        <v>302668</v>
      </c>
      <c r="B2261" t="str">
        <f>"03026680014"</f>
        <v>03026680014</v>
      </c>
      <c r="C2261" t="s">
        <v>2621</v>
      </c>
      <c r="D2261" t="s">
        <v>52</v>
      </c>
      <c r="E2261">
        <v>100</v>
      </c>
      <c r="F2261">
        <v>4691</v>
      </c>
      <c r="G2261" t="s">
        <v>1268</v>
      </c>
      <c r="H2261" t="s">
        <v>44</v>
      </c>
      <c r="I2261" t="s">
        <v>45</v>
      </c>
      <c r="J2261" t="s">
        <v>44</v>
      </c>
      <c r="K2261" t="s">
        <v>45</v>
      </c>
      <c r="L2261">
        <v>6</v>
      </c>
      <c r="M2261">
        <v>52103</v>
      </c>
      <c r="N2261" t="s">
        <v>46</v>
      </c>
    </row>
    <row r="2262" spans="1:14" x14ac:dyDescent="0.2">
      <c r="A2262" s="3">
        <f t="shared" si="37"/>
        <v>302822</v>
      </c>
      <c r="B2262" t="str">
        <f>"03028220010"</f>
        <v>03028220010</v>
      </c>
      <c r="C2262" t="s">
        <v>2622</v>
      </c>
      <c r="D2262" t="s">
        <v>52</v>
      </c>
      <c r="E2262">
        <v>115</v>
      </c>
      <c r="F2262">
        <v>1886</v>
      </c>
      <c r="G2262" t="s">
        <v>2623</v>
      </c>
      <c r="H2262" t="s">
        <v>44</v>
      </c>
      <c r="I2262" t="s">
        <v>45</v>
      </c>
      <c r="J2262" t="s">
        <v>44</v>
      </c>
      <c r="K2262" t="s">
        <v>45</v>
      </c>
      <c r="L2262">
        <v>5</v>
      </c>
      <c r="M2262" t="s">
        <v>65</v>
      </c>
      <c r="N2262" t="s">
        <v>46</v>
      </c>
    </row>
    <row r="2263" spans="1:14" x14ac:dyDescent="0.2">
      <c r="A2263" s="3">
        <f t="shared" si="37"/>
        <v>302825</v>
      </c>
      <c r="B2263" t="str">
        <f>"03028250024"</f>
        <v>03028250024</v>
      </c>
      <c r="C2263" t="s">
        <v>2624</v>
      </c>
      <c r="D2263" t="s">
        <v>52</v>
      </c>
      <c r="E2263">
        <v>115</v>
      </c>
      <c r="F2263">
        <v>2065</v>
      </c>
      <c r="G2263" t="s">
        <v>1891</v>
      </c>
      <c r="H2263" t="s">
        <v>44</v>
      </c>
      <c r="I2263" t="s">
        <v>45</v>
      </c>
      <c r="J2263" t="s">
        <v>44</v>
      </c>
      <c r="K2263" t="s">
        <v>45</v>
      </c>
      <c r="L2263">
        <v>5</v>
      </c>
      <c r="M2263" t="s">
        <v>65</v>
      </c>
      <c r="N2263" t="s">
        <v>46</v>
      </c>
    </row>
    <row r="2264" spans="1:14" x14ac:dyDescent="0.2">
      <c r="A2264" s="3">
        <f t="shared" si="37"/>
        <v>302829</v>
      </c>
      <c r="B2264" t="str">
        <f>"03028290012"</f>
        <v>03028290012</v>
      </c>
      <c r="C2264" t="s">
        <v>2625</v>
      </c>
      <c r="D2264" t="s">
        <v>52</v>
      </c>
      <c r="E2264">
        <v>100</v>
      </c>
      <c r="F2264">
        <v>4691</v>
      </c>
      <c r="G2264" t="s">
        <v>1268</v>
      </c>
      <c r="H2264" t="s">
        <v>44</v>
      </c>
      <c r="I2264" t="s">
        <v>45</v>
      </c>
      <c r="J2264" t="s">
        <v>44</v>
      </c>
      <c r="K2264" t="s">
        <v>45</v>
      </c>
      <c r="L2264">
        <v>6</v>
      </c>
      <c r="M2264">
        <v>52104</v>
      </c>
      <c r="N2264" t="s">
        <v>46</v>
      </c>
    </row>
    <row r="2265" spans="1:14" x14ac:dyDescent="0.2">
      <c r="A2265" s="3">
        <f t="shared" si="37"/>
        <v>302836</v>
      </c>
      <c r="B2265" t="str">
        <f>"03028360012"</f>
        <v>03028360012</v>
      </c>
      <c r="C2265" t="s">
        <v>2626</v>
      </c>
      <c r="D2265" t="s">
        <v>52</v>
      </c>
      <c r="E2265">
        <v>100</v>
      </c>
      <c r="F2265">
        <v>4691</v>
      </c>
      <c r="G2265" t="s">
        <v>1268</v>
      </c>
      <c r="H2265" t="s">
        <v>44</v>
      </c>
      <c r="I2265" t="s">
        <v>45</v>
      </c>
      <c r="J2265" t="s">
        <v>44</v>
      </c>
      <c r="K2265" t="s">
        <v>45</v>
      </c>
      <c r="L2265">
        <v>6</v>
      </c>
      <c r="M2265">
        <v>52105</v>
      </c>
      <c r="N2265" t="s">
        <v>46</v>
      </c>
    </row>
    <row r="2266" spans="1:14" x14ac:dyDescent="0.2">
      <c r="A2266" s="3">
        <f t="shared" si="37"/>
        <v>303058</v>
      </c>
      <c r="B2266" t="str">
        <f>"03030580034"</f>
        <v>03030580034</v>
      </c>
      <c r="C2266" t="s">
        <v>2598</v>
      </c>
      <c r="D2266" t="s">
        <v>52</v>
      </c>
      <c r="E2266">
        <v>115</v>
      </c>
      <c r="F2266">
        <v>2065</v>
      </c>
      <c r="G2266" t="s">
        <v>1891</v>
      </c>
      <c r="H2266" t="s">
        <v>44</v>
      </c>
      <c r="I2266" t="s">
        <v>45</v>
      </c>
      <c r="J2266" t="s">
        <v>44</v>
      </c>
      <c r="K2266" t="s">
        <v>45</v>
      </c>
      <c r="L2266">
        <v>5</v>
      </c>
      <c r="M2266" t="s">
        <v>65</v>
      </c>
      <c r="N2266" t="s">
        <v>46</v>
      </c>
    </row>
    <row r="2267" spans="1:14" x14ac:dyDescent="0.2">
      <c r="A2267" s="3">
        <f t="shared" si="37"/>
        <v>303062</v>
      </c>
      <c r="B2267" t="str">
        <f>"03030620008"</f>
        <v>03030620008</v>
      </c>
      <c r="C2267" t="s">
        <v>2627</v>
      </c>
      <c r="D2267" t="s">
        <v>52</v>
      </c>
      <c r="E2267">
        <v>115</v>
      </c>
      <c r="F2267">
        <v>4691</v>
      </c>
      <c r="G2267" t="s">
        <v>1268</v>
      </c>
      <c r="H2267" t="s">
        <v>44</v>
      </c>
      <c r="I2267" t="s">
        <v>45</v>
      </c>
      <c r="J2267" t="s">
        <v>44</v>
      </c>
      <c r="K2267" t="s">
        <v>45</v>
      </c>
      <c r="L2267">
        <v>5</v>
      </c>
      <c r="M2267" t="s">
        <v>65</v>
      </c>
      <c r="N2267" t="s">
        <v>46</v>
      </c>
    </row>
    <row r="2268" spans="1:14" x14ac:dyDescent="0.2">
      <c r="A2268" s="3">
        <f t="shared" si="37"/>
        <v>303403</v>
      </c>
      <c r="B2268" t="str">
        <f>"03034030001"</f>
        <v>03034030001</v>
      </c>
      <c r="C2268" t="s">
        <v>2628</v>
      </c>
      <c r="D2268" t="s">
        <v>52</v>
      </c>
      <c r="E2268">
        <v>123</v>
      </c>
      <c r="F2268">
        <v>4691</v>
      </c>
      <c r="G2268" t="s">
        <v>1268</v>
      </c>
      <c r="H2268" t="s">
        <v>44</v>
      </c>
      <c r="I2268" t="s">
        <v>45</v>
      </c>
      <c r="J2268" t="s">
        <v>44</v>
      </c>
      <c r="K2268" t="s">
        <v>45</v>
      </c>
      <c r="L2268">
        <v>5</v>
      </c>
      <c r="M2268" t="s">
        <v>65</v>
      </c>
      <c r="N2268" t="s">
        <v>46</v>
      </c>
    </row>
    <row r="2269" spans="1:14" x14ac:dyDescent="0.2">
      <c r="A2269" s="3">
        <f t="shared" si="37"/>
        <v>303421</v>
      </c>
      <c r="B2269" t="str">
        <f>"03034210001"</f>
        <v>03034210001</v>
      </c>
      <c r="C2269" t="s">
        <v>2629</v>
      </c>
      <c r="D2269" t="s">
        <v>52</v>
      </c>
      <c r="E2269">
        <v>123</v>
      </c>
      <c r="F2269">
        <v>4691</v>
      </c>
      <c r="G2269" t="s">
        <v>1268</v>
      </c>
      <c r="H2269" t="s">
        <v>44</v>
      </c>
      <c r="I2269" t="s">
        <v>45</v>
      </c>
      <c r="J2269" t="s">
        <v>44</v>
      </c>
      <c r="K2269" t="s">
        <v>45</v>
      </c>
      <c r="L2269">
        <v>6</v>
      </c>
      <c r="M2269">
        <v>51107</v>
      </c>
      <c r="N2269" t="s">
        <v>46</v>
      </c>
    </row>
    <row r="2270" spans="1:14" x14ac:dyDescent="0.2">
      <c r="A2270" s="3">
        <f t="shared" si="37"/>
        <v>303589</v>
      </c>
      <c r="B2270" t="str">
        <f>"03035890006"</f>
        <v>03035890006</v>
      </c>
      <c r="C2270" t="s">
        <v>2630</v>
      </c>
      <c r="D2270" t="s">
        <v>52</v>
      </c>
      <c r="E2270">
        <v>119</v>
      </c>
      <c r="F2270">
        <v>4691</v>
      </c>
      <c r="G2270" t="s">
        <v>1268</v>
      </c>
      <c r="H2270" t="s">
        <v>44</v>
      </c>
      <c r="I2270" t="s">
        <v>45</v>
      </c>
      <c r="J2270" t="s">
        <v>44</v>
      </c>
      <c r="K2270" t="s">
        <v>45</v>
      </c>
      <c r="L2270">
        <v>5</v>
      </c>
      <c r="M2270" t="s">
        <v>65</v>
      </c>
      <c r="N2270" t="s">
        <v>46</v>
      </c>
    </row>
    <row r="2271" spans="1:14" x14ac:dyDescent="0.2">
      <c r="A2271" s="3">
        <f t="shared" si="37"/>
        <v>303895</v>
      </c>
      <c r="B2271" t="str">
        <f>"03038950003"</f>
        <v>03038950003</v>
      </c>
      <c r="C2271" t="s">
        <v>2631</v>
      </c>
      <c r="D2271" t="s">
        <v>52</v>
      </c>
      <c r="E2271">
        <v>109</v>
      </c>
      <c r="F2271">
        <v>4691</v>
      </c>
      <c r="G2271" t="s">
        <v>1268</v>
      </c>
      <c r="H2271" t="s">
        <v>44</v>
      </c>
      <c r="I2271" t="s">
        <v>45</v>
      </c>
      <c r="J2271" t="s">
        <v>44</v>
      </c>
      <c r="K2271" t="s">
        <v>45</v>
      </c>
      <c r="L2271">
        <v>6</v>
      </c>
      <c r="M2271">
        <v>44431</v>
      </c>
      <c r="N2271" t="s">
        <v>46</v>
      </c>
    </row>
    <row r="2272" spans="1:14" x14ac:dyDescent="0.2">
      <c r="A2272" s="3">
        <f t="shared" si="37"/>
        <v>303956</v>
      </c>
      <c r="B2272" t="str">
        <f>"03039560020"</f>
        <v>03039560020</v>
      </c>
      <c r="C2272" t="s">
        <v>2632</v>
      </c>
      <c r="D2272" t="s">
        <v>52</v>
      </c>
      <c r="E2272">
        <v>112</v>
      </c>
      <c r="F2272">
        <v>4691</v>
      </c>
      <c r="G2272" t="s">
        <v>1268</v>
      </c>
      <c r="H2272" t="s">
        <v>44</v>
      </c>
      <c r="I2272" t="s">
        <v>45</v>
      </c>
      <c r="J2272" t="s">
        <v>44</v>
      </c>
      <c r="K2272" t="s">
        <v>45</v>
      </c>
      <c r="L2272">
        <v>5</v>
      </c>
      <c r="M2272" t="s">
        <v>65</v>
      </c>
      <c r="N2272" t="s">
        <v>46</v>
      </c>
    </row>
    <row r="2273" spans="1:14" x14ac:dyDescent="0.2">
      <c r="A2273" s="3">
        <f t="shared" si="37"/>
        <v>304189</v>
      </c>
      <c r="B2273" t="str">
        <f>"03041890010"</f>
        <v>03041890010</v>
      </c>
      <c r="C2273" t="s">
        <v>2633</v>
      </c>
      <c r="D2273" t="s">
        <v>52</v>
      </c>
      <c r="E2273">
        <v>121</v>
      </c>
      <c r="F2273">
        <v>4691</v>
      </c>
      <c r="G2273" t="s">
        <v>1268</v>
      </c>
      <c r="H2273" t="s">
        <v>44</v>
      </c>
      <c r="I2273" t="s">
        <v>45</v>
      </c>
      <c r="J2273" t="s">
        <v>44</v>
      </c>
      <c r="K2273" t="s">
        <v>45</v>
      </c>
      <c r="L2273">
        <v>6</v>
      </c>
      <c r="M2273">
        <v>1203</v>
      </c>
      <c r="N2273" t="s">
        <v>46</v>
      </c>
    </row>
    <row r="2274" spans="1:14" x14ac:dyDescent="0.2">
      <c r="A2274" s="3">
        <f t="shared" si="37"/>
        <v>304210</v>
      </c>
      <c r="B2274" t="str">
        <f>"03042100020"</f>
        <v>03042100020</v>
      </c>
      <c r="C2274" t="s">
        <v>2634</v>
      </c>
      <c r="D2274" t="s">
        <v>52</v>
      </c>
      <c r="E2274">
        <v>121</v>
      </c>
      <c r="F2274">
        <v>4691</v>
      </c>
      <c r="G2274" t="s">
        <v>1268</v>
      </c>
      <c r="H2274" t="s">
        <v>44</v>
      </c>
      <c r="I2274" t="s">
        <v>45</v>
      </c>
      <c r="J2274" t="s">
        <v>44</v>
      </c>
      <c r="K2274" t="s">
        <v>45</v>
      </c>
      <c r="L2274">
        <v>6</v>
      </c>
      <c r="M2274">
        <v>1204</v>
      </c>
      <c r="N2274" t="s">
        <v>46</v>
      </c>
    </row>
    <row r="2275" spans="1:14" x14ac:dyDescent="0.2">
      <c r="A2275" s="3">
        <f t="shared" si="37"/>
        <v>304214</v>
      </c>
      <c r="B2275" t="str">
        <f>"03042140012"</f>
        <v>03042140012</v>
      </c>
      <c r="C2275" t="s">
        <v>2635</v>
      </c>
      <c r="D2275" t="s">
        <v>52</v>
      </c>
      <c r="E2275">
        <v>121</v>
      </c>
      <c r="F2275">
        <v>4691</v>
      </c>
      <c r="G2275" t="s">
        <v>1268</v>
      </c>
      <c r="H2275" t="s">
        <v>44</v>
      </c>
      <c r="I2275" t="s">
        <v>45</v>
      </c>
      <c r="J2275" t="s">
        <v>44</v>
      </c>
      <c r="K2275" t="s">
        <v>45</v>
      </c>
      <c r="L2275">
        <v>6</v>
      </c>
      <c r="M2275">
        <v>1205</v>
      </c>
      <c r="N2275" t="s">
        <v>46</v>
      </c>
    </row>
    <row r="2276" spans="1:14" x14ac:dyDescent="0.2">
      <c r="A2276" s="3">
        <f t="shared" si="37"/>
        <v>304267</v>
      </c>
      <c r="B2276" t="str">
        <f>"03042670008"</f>
        <v>03042670008</v>
      </c>
      <c r="C2276" t="s">
        <v>2636</v>
      </c>
      <c r="D2276" t="s">
        <v>52</v>
      </c>
      <c r="E2276">
        <v>112</v>
      </c>
      <c r="F2276">
        <v>4691</v>
      </c>
      <c r="G2276" t="s">
        <v>1268</v>
      </c>
      <c r="H2276" t="s">
        <v>44</v>
      </c>
      <c r="I2276" t="s">
        <v>45</v>
      </c>
      <c r="J2276" t="s">
        <v>44</v>
      </c>
      <c r="K2276" t="s">
        <v>45</v>
      </c>
      <c r="L2276">
        <v>6</v>
      </c>
      <c r="M2276">
        <v>3000</v>
      </c>
      <c r="N2276" t="s">
        <v>46</v>
      </c>
    </row>
    <row r="2277" spans="1:14" x14ac:dyDescent="0.2">
      <c r="A2277" s="3">
        <f t="shared" si="37"/>
        <v>304370</v>
      </c>
      <c r="B2277" t="str">
        <f>"03043700002"</f>
        <v>03043700002</v>
      </c>
      <c r="C2277" t="s">
        <v>2637</v>
      </c>
      <c r="D2277" t="s">
        <v>52</v>
      </c>
      <c r="E2277">
        <v>112</v>
      </c>
      <c r="F2277">
        <v>4691</v>
      </c>
      <c r="G2277" t="s">
        <v>1268</v>
      </c>
      <c r="H2277" t="s">
        <v>44</v>
      </c>
      <c r="I2277" t="s">
        <v>45</v>
      </c>
      <c r="J2277" t="s">
        <v>44</v>
      </c>
      <c r="K2277" t="s">
        <v>45</v>
      </c>
      <c r="L2277">
        <v>6</v>
      </c>
      <c r="M2277">
        <v>1305</v>
      </c>
      <c r="N2277" t="s">
        <v>46</v>
      </c>
    </row>
    <row r="2278" spans="1:14" x14ac:dyDescent="0.2">
      <c r="A2278" s="3">
        <f t="shared" si="37"/>
        <v>304415</v>
      </c>
      <c r="B2278" t="str">
        <f>"03044150001"</f>
        <v>03044150001</v>
      </c>
      <c r="C2278" t="s">
        <v>2638</v>
      </c>
      <c r="D2278" t="s">
        <v>52</v>
      </c>
      <c r="E2278">
        <v>112</v>
      </c>
      <c r="F2278">
        <v>4691</v>
      </c>
      <c r="G2278" t="s">
        <v>1268</v>
      </c>
      <c r="H2278" t="s">
        <v>44</v>
      </c>
      <c r="I2278" t="s">
        <v>45</v>
      </c>
      <c r="J2278" t="s">
        <v>44</v>
      </c>
      <c r="K2278" t="s">
        <v>45</v>
      </c>
      <c r="L2278">
        <v>6</v>
      </c>
      <c r="M2278">
        <v>1363</v>
      </c>
      <c r="N2278" t="s">
        <v>46</v>
      </c>
    </row>
    <row r="2279" spans="1:14" x14ac:dyDescent="0.2">
      <c r="A2279" s="3">
        <f t="shared" si="37"/>
        <v>304495</v>
      </c>
      <c r="B2279" t="str">
        <f>"03044950001"</f>
        <v>03044950001</v>
      </c>
      <c r="C2279" t="s">
        <v>2639</v>
      </c>
      <c r="D2279" t="s">
        <v>52</v>
      </c>
      <c r="E2279">
        <v>119</v>
      </c>
      <c r="F2279">
        <v>4691</v>
      </c>
      <c r="G2279" t="s">
        <v>1268</v>
      </c>
      <c r="H2279" t="s">
        <v>44</v>
      </c>
      <c r="I2279" t="s">
        <v>45</v>
      </c>
      <c r="J2279" t="s">
        <v>44</v>
      </c>
      <c r="K2279" t="s">
        <v>45</v>
      </c>
      <c r="L2279">
        <v>5</v>
      </c>
      <c r="M2279" t="s">
        <v>65</v>
      </c>
      <c r="N2279" t="s">
        <v>46</v>
      </c>
    </row>
    <row r="2280" spans="1:14" x14ac:dyDescent="0.2">
      <c r="A2280" s="3">
        <f t="shared" si="37"/>
        <v>304510</v>
      </c>
      <c r="B2280" t="str">
        <f>"03045100006"</f>
        <v>03045100006</v>
      </c>
      <c r="C2280" t="s">
        <v>2640</v>
      </c>
      <c r="D2280" t="s">
        <v>52</v>
      </c>
      <c r="E2280">
        <v>119</v>
      </c>
      <c r="F2280">
        <v>4691</v>
      </c>
      <c r="G2280" t="s">
        <v>1268</v>
      </c>
      <c r="H2280" t="s">
        <v>44</v>
      </c>
      <c r="I2280" t="s">
        <v>45</v>
      </c>
      <c r="J2280" t="s">
        <v>44</v>
      </c>
      <c r="K2280" t="s">
        <v>45</v>
      </c>
      <c r="L2280">
        <v>6</v>
      </c>
      <c r="M2280">
        <v>1326</v>
      </c>
      <c r="N2280" t="s">
        <v>46</v>
      </c>
    </row>
    <row r="2281" spans="1:14" x14ac:dyDescent="0.2">
      <c r="A2281" s="3">
        <f t="shared" si="37"/>
        <v>304537</v>
      </c>
      <c r="B2281" t="str">
        <f>"03045370006"</f>
        <v>03045370006</v>
      </c>
      <c r="C2281" t="s">
        <v>2641</v>
      </c>
      <c r="D2281" t="s">
        <v>52</v>
      </c>
      <c r="E2281">
        <v>119</v>
      </c>
      <c r="F2281">
        <v>4691</v>
      </c>
      <c r="G2281" t="s">
        <v>1268</v>
      </c>
      <c r="H2281" t="s">
        <v>44</v>
      </c>
      <c r="I2281" t="s">
        <v>45</v>
      </c>
      <c r="J2281" t="s">
        <v>44</v>
      </c>
      <c r="K2281" t="s">
        <v>45</v>
      </c>
      <c r="L2281">
        <v>5</v>
      </c>
      <c r="M2281" t="s">
        <v>65</v>
      </c>
      <c r="N2281" t="s">
        <v>46</v>
      </c>
    </row>
    <row r="2282" spans="1:14" x14ac:dyDescent="0.2">
      <c r="A2282" s="3">
        <f t="shared" si="37"/>
        <v>304556</v>
      </c>
      <c r="B2282" t="str">
        <f>"03045560020"</f>
        <v>03045560020</v>
      </c>
      <c r="C2282" t="s">
        <v>2642</v>
      </c>
      <c r="D2282" t="s">
        <v>52</v>
      </c>
      <c r="E2282">
        <v>119</v>
      </c>
      <c r="F2282">
        <v>4691</v>
      </c>
      <c r="G2282" t="s">
        <v>1268</v>
      </c>
      <c r="H2282" t="s">
        <v>44</v>
      </c>
      <c r="I2282" t="s">
        <v>45</v>
      </c>
      <c r="J2282" t="s">
        <v>44</v>
      </c>
      <c r="K2282" t="s">
        <v>45</v>
      </c>
      <c r="L2282">
        <v>5</v>
      </c>
      <c r="M2282" t="s">
        <v>65</v>
      </c>
      <c r="N2282" t="s">
        <v>46</v>
      </c>
    </row>
    <row r="2283" spans="1:14" x14ac:dyDescent="0.2">
      <c r="A2283" s="3">
        <f t="shared" si="37"/>
        <v>304564</v>
      </c>
      <c r="B2283" t="str">
        <f>"03045640012"</f>
        <v>03045640012</v>
      </c>
      <c r="C2283" t="s">
        <v>2643</v>
      </c>
      <c r="D2283" t="s">
        <v>52</v>
      </c>
      <c r="E2283">
        <v>119</v>
      </c>
      <c r="F2283">
        <v>4691</v>
      </c>
      <c r="G2283" t="s">
        <v>1268</v>
      </c>
      <c r="H2283" t="s">
        <v>44</v>
      </c>
      <c r="I2283" t="s">
        <v>45</v>
      </c>
      <c r="J2283" t="s">
        <v>44</v>
      </c>
      <c r="K2283" t="s">
        <v>45</v>
      </c>
      <c r="L2283">
        <v>5</v>
      </c>
      <c r="M2283" t="s">
        <v>65</v>
      </c>
      <c r="N2283" t="s">
        <v>46</v>
      </c>
    </row>
    <row r="2284" spans="1:14" x14ac:dyDescent="0.2">
      <c r="A2284" s="3">
        <f t="shared" si="37"/>
        <v>304610</v>
      </c>
      <c r="B2284" t="str">
        <f>"03046100008"</f>
        <v>03046100008</v>
      </c>
      <c r="C2284" t="s">
        <v>2644</v>
      </c>
      <c r="D2284" t="s">
        <v>52</v>
      </c>
      <c r="E2284">
        <v>112</v>
      </c>
      <c r="F2284">
        <v>4691</v>
      </c>
      <c r="G2284" t="s">
        <v>1268</v>
      </c>
      <c r="H2284" t="s">
        <v>44</v>
      </c>
      <c r="I2284" t="s">
        <v>45</v>
      </c>
      <c r="J2284" t="s">
        <v>44</v>
      </c>
      <c r="K2284" t="s">
        <v>45</v>
      </c>
      <c r="L2284">
        <v>5</v>
      </c>
      <c r="M2284" t="s">
        <v>65</v>
      </c>
      <c r="N2284" t="s">
        <v>46</v>
      </c>
    </row>
    <row r="2285" spans="1:14" x14ac:dyDescent="0.2">
      <c r="A2285" s="3">
        <f t="shared" si="37"/>
        <v>304616</v>
      </c>
      <c r="B2285" t="str">
        <f>"03046160020"</f>
        <v>03046160020</v>
      </c>
      <c r="C2285" t="s">
        <v>2645</v>
      </c>
      <c r="D2285" t="s">
        <v>52</v>
      </c>
      <c r="E2285">
        <v>119</v>
      </c>
      <c r="F2285">
        <v>7512</v>
      </c>
      <c r="G2285" t="s">
        <v>2596</v>
      </c>
      <c r="H2285" t="s">
        <v>44</v>
      </c>
      <c r="I2285" t="s">
        <v>45</v>
      </c>
      <c r="J2285" t="s">
        <v>44</v>
      </c>
      <c r="K2285" t="s">
        <v>45</v>
      </c>
      <c r="L2285">
        <v>5</v>
      </c>
      <c r="M2285" t="s">
        <v>65</v>
      </c>
      <c r="N2285" t="s">
        <v>46</v>
      </c>
    </row>
    <row r="2286" spans="1:14" x14ac:dyDescent="0.2">
      <c r="A2286" s="3">
        <f t="shared" si="37"/>
        <v>304619</v>
      </c>
      <c r="B2286" t="str">
        <f>"03046190010"</f>
        <v>03046190010</v>
      </c>
      <c r="C2286" t="s">
        <v>2646</v>
      </c>
      <c r="D2286" t="s">
        <v>52</v>
      </c>
      <c r="E2286">
        <v>119</v>
      </c>
      <c r="F2286">
        <v>4691</v>
      </c>
      <c r="G2286" t="s">
        <v>1268</v>
      </c>
      <c r="H2286" t="s">
        <v>44</v>
      </c>
      <c r="I2286" t="s">
        <v>45</v>
      </c>
      <c r="J2286" t="s">
        <v>44</v>
      </c>
      <c r="K2286" t="s">
        <v>45</v>
      </c>
      <c r="L2286">
        <v>5</v>
      </c>
      <c r="M2286" t="s">
        <v>65</v>
      </c>
      <c r="N2286" t="s">
        <v>46</v>
      </c>
    </row>
    <row r="2287" spans="1:14" x14ac:dyDescent="0.2">
      <c r="A2287" s="3">
        <f t="shared" si="37"/>
        <v>304628</v>
      </c>
      <c r="B2287" t="str">
        <f>"03046280009"</f>
        <v>03046280009</v>
      </c>
      <c r="C2287" t="s">
        <v>2647</v>
      </c>
      <c r="D2287" t="s">
        <v>52</v>
      </c>
      <c r="E2287">
        <v>119</v>
      </c>
      <c r="F2287">
        <v>4691</v>
      </c>
      <c r="G2287" t="s">
        <v>1268</v>
      </c>
      <c r="H2287" t="s">
        <v>44</v>
      </c>
      <c r="I2287" t="s">
        <v>45</v>
      </c>
      <c r="J2287" t="s">
        <v>44</v>
      </c>
      <c r="K2287" t="s">
        <v>45</v>
      </c>
      <c r="L2287">
        <v>5</v>
      </c>
      <c r="M2287" t="s">
        <v>65</v>
      </c>
      <c r="N2287" t="s">
        <v>46</v>
      </c>
    </row>
    <row r="2288" spans="1:14" x14ac:dyDescent="0.2">
      <c r="A2288" s="3">
        <f t="shared" si="37"/>
        <v>304652</v>
      </c>
      <c r="B2288" t="str">
        <f>"03046520008"</f>
        <v>03046520008</v>
      </c>
      <c r="C2288" t="s">
        <v>2648</v>
      </c>
      <c r="D2288" t="s">
        <v>52</v>
      </c>
      <c r="E2288">
        <v>119</v>
      </c>
      <c r="F2288">
        <v>4691</v>
      </c>
      <c r="G2288" t="s">
        <v>1268</v>
      </c>
      <c r="H2288" t="s">
        <v>44</v>
      </c>
      <c r="I2288" t="s">
        <v>45</v>
      </c>
      <c r="J2288" t="s">
        <v>44</v>
      </c>
      <c r="K2288" t="s">
        <v>45</v>
      </c>
      <c r="L2288">
        <v>5</v>
      </c>
      <c r="M2288" t="s">
        <v>65</v>
      </c>
      <c r="N2288" t="s">
        <v>46</v>
      </c>
    </row>
    <row r="2289" spans="1:14" x14ac:dyDescent="0.2">
      <c r="A2289" s="3">
        <f t="shared" si="37"/>
        <v>304674</v>
      </c>
      <c r="B2289" t="str">
        <f>"03046740020"</f>
        <v>03046740020</v>
      </c>
      <c r="C2289" t="s">
        <v>2649</v>
      </c>
      <c r="D2289" t="s">
        <v>52</v>
      </c>
      <c r="E2289">
        <v>119</v>
      </c>
      <c r="F2289">
        <v>4691</v>
      </c>
      <c r="G2289" t="s">
        <v>1268</v>
      </c>
      <c r="H2289" t="s">
        <v>44</v>
      </c>
      <c r="I2289" t="s">
        <v>45</v>
      </c>
      <c r="J2289" t="s">
        <v>44</v>
      </c>
      <c r="K2289" t="s">
        <v>45</v>
      </c>
      <c r="L2289">
        <v>5</v>
      </c>
      <c r="M2289" t="s">
        <v>65</v>
      </c>
      <c r="N2289" t="s">
        <v>46</v>
      </c>
    </row>
    <row r="2290" spans="1:14" x14ac:dyDescent="0.2">
      <c r="A2290" s="3">
        <f t="shared" si="37"/>
        <v>304682</v>
      </c>
      <c r="B2290" t="str">
        <f>"03046820003"</f>
        <v>03046820003</v>
      </c>
      <c r="C2290" t="s">
        <v>2650</v>
      </c>
      <c r="D2290" t="s">
        <v>52</v>
      </c>
      <c r="E2290">
        <v>119</v>
      </c>
      <c r="F2290">
        <v>4691</v>
      </c>
      <c r="G2290" t="s">
        <v>1268</v>
      </c>
      <c r="H2290" t="s">
        <v>44</v>
      </c>
      <c r="I2290" t="s">
        <v>45</v>
      </c>
      <c r="J2290" t="s">
        <v>44</v>
      </c>
      <c r="K2290" t="s">
        <v>45</v>
      </c>
      <c r="L2290">
        <v>5</v>
      </c>
      <c r="M2290" t="s">
        <v>65</v>
      </c>
      <c r="N2290" t="s">
        <v>46</v>
      </c>
    </row>
    <row r="2291" spans="1:14" x14ac:dyDescent="0.2">
      <c r="A2291" s="3">
        <f t="shared" si="37"/>
        <v>304686</v>
      </c>
      <c r="B2291" t="str">
        <f>"03046860004"</f>
        <v>03046860004</v>
      </c>
      <c r="C2291" t="s">
        <v>2651</v>
      </c>
      <c r="D2291" t="s">
        <v>52</v>
      </c>
      <c r="E2291">
        <v>112</v>
      </c>
      <c r="F2291">
        <v>4691</v>
      </c>
      <c r="G2291" t="s">
        <v>1268</v>
      </c>
      <c r="H2291" t="s">
        <v>44</v>
      </c>
      <c r="I2291" t="s">
        <v>45</v>
      </c>
      <c r="J2291" t="s">
        <v>44</v>
      </c>
      <c r="K2291" t="s">
        <v>45</v>
      </c>
      <c r="L2291">
        <v>5</v>
      </c>
      <c r="M2291" t="s">
        <v>65</v>
      </c>
      <c r="N2291" t="s">
        <v>46</v>
      </c>
    </row>
    <row r="2292" spans="1:14" x14ac:dyDescent="0.2">
      <c r="A2292" s="3">
        <f t="shared" si="37"/>
        <v>304695</v>
      </c>
      <c r="B2292" t="str">
        <f>"03046950006"</f>
        <v>03046950006</v>
      </c>
      <c r="C2292" t="s">
        <v>2652</v>
      </c>
      <c r="D2292" t="s">
        <v>52</v>
      </c>
      <c r="E2292">
        <v>120</v>
      </c>
      <c r="F2292">
        <v>4691</v>
      </c>
      <c r="G2292" t="s">
        <v>1268</v>
      </c>
      <c r="H2292" t="s">
        <v>44</v>
      </c>
      <c r="I2292" t="s">
        <v>45</v>
      </c>
      <c r="J2292" t="s">
        <v>44</v>
      </c>
      <c r="K2292" t="s">
        <v>45</v>
      </c>
      <c r="L2292">
        <v>5</v>
      </c>
      <c r="M2292" t="s">
        <v>65</v>
      </c>
      <c r="N2292" t="s">
        <v>46</v>
      </c>
    </row>
    <row r="2293" spans="1:14" x14ac:dyDescent="0.2">
      <c r="A2293" s="3">
        <f t="shared" si="37"/>
        <v>304699</v>
      </c>
      <c r="B2293" t="str">
        <f>"03046990002"</f>
        <v>03046990002</v>
      </c>
      <c r="C2293" t="s">
        <v>2653</v>
      </c>
      <c r="D2293" t="s">
        <v>52</v>
      </c>
      <c r="E2293">
        <v>112</v>
      </c>
      <c r="F2293">
        <v>4691</v>
      </c>
      <c r="G2293" t="s">
        <v>1268</v>
      </c>
      <c r="H2293" t="s">
        <v>44</v>
      </c>
      <c r="I2293" t="s">
        <v>45</v>
      </c>
      <c r="J2293" t="s">
        <v>44</v>
      </c>
      <c r="K2293" t="s">
        <v>45</v>
      </c>
      <c r="L2293">
        <v>5</v>
      </c>
      <c r="M2293" t="s">
        <v>65</v>
      </c>
      <c r="N2293" t="s">
        <v>46</v>
      </c>
    </row>
    <row r="2294" spans="1:14" x14ac:dyDescent="0.2">
      <c r="A2294" s="3">
        <f t="shared" si="37"/>
        <v>304729</v>
      </c>
      <c r="B2294" t="str">
        <f>"03047290006"</f>
        <v>03047290006</v>
      </c>
      <c r="C2294" t="s">
        <v>2654</v>
      </c>
      <c r="D2294" t="s">
        <v>52</v>
      </c>
      <c r="E2294">
        <v>120</v>
      </c>
      <c r="F2294">
        <v>3136</v>
      </c>
      <c r="G2294" t="s">
        <v>2655</v>
      </c>
      <c r="H2294" t="s">
        <v>44</v>
      </c>
      <c r="I2294" t="s">
        <v>45</v>
      </c>
      <c r="J2294" t="s">
        <v>44</v>
      </c>
      <c r="K2294" t="s">
        <v>45</v>
      </c>
      <c r="L2294">
        <v>5</v>
      </c>
      <c r="M2294" t="s">
        <v>65</v>
      </c>
      <c r="N2294" t="s">
        <v>46</v>
      </c>
    </row>
    <row r="2295" spans="1:14" x14ac:dyDescent="0.2">
      <c r="A2295" s="3">
        <f t="shared" si="37"/>
        <v>304860</v>
      </c>
      <c r="B2295" t="str">
        <f>"03048600010"</f>
        <v>03048600010</v>
      </c>
      <c r="C2295" t="s">
        <v>2656</v>
      </c>
      <c r="D2295" t="s">
        <v>52</v>
      </c>
      <c r="E2295">
        <v>115</v>
      </c>
      <c r="F2295">
        <v>4691</v>
      </c>
      <c r="G2295" t="s">
        <v>1268</v>
      </c>
      <c r="H2295" t="s">
        <v>44</v>
      </c>
      <c r="I2295" t="s">
        <v>45</v>
      </c>
      <c r="J2295" t="s">
        <v>44</v>
      </c>
      <c r="K2295" t="s">
        <v>45</v>
      </c>
      <c r="L2295">
        <v>5</v>
      </c>
      <c r="M2295" t="s">
        <v>65</v>
      </c>
      <c r="N2295" t="s">
        <v>46</v>
      </c>
    </row>
    <row r="2296" spans="1:14" x14ac:dyDescent="0.2">
      <c r="A2296" s="3">
        <f t="shared" si="37"/>
        <v>304936</v>
      </c>
      <c r="B2296" t="str">
        <f>"03049360010"</f>
        <v>03049360010</v>
      </c>
      <c r="C2296" t="s">
        <v>2657</v>
      </c>
      <c r="D2296" t="s">
        <v>52</v>
      </c>
      <c r="E2296">
        <v>115</v>
      </c>
      <c r="F2296">
        <v>4691</v>
      </c>
      <c r="G2296" t="s">
        <v>1268</v>
      </c>
      <c r="H2296" t="s">
        <v>44</v>
      </c>
      <c r="I2296" t="s">
        <v>45</v>
      </c>
      <c r="J2296" t="s">
        <v>44</v>
      </c>
      <c r="K2296" t="s">
        <v>45</v>
      </c>
      <c r="L2296">
        <v>5</v>
      </c>
      <c r="M2296" t="s">
        <v>65</v>
      </c>
      <c r="N2296" t="s">
        <v>46</v>
      </c>
    </row>
    <row r="2297" spans="1:14" x14ac:dyDescent="0.2">
      <c r="A2297" s="3">
        <f t="shared" si="37"/>
        <v>304987</v>
      </c>
      <c r="B2297" t="str">
        <f>"03049870008"</f>
        <v>03049870008</v>
      </c>
      <c r="C2297" t="s">
        <v>2658</v>
      </c>
      <c r="D2297" t="s">
        <v>52</v>
      </c>
      <c r="E2297">
        <v>112</v>
      </c>
      <c r="F2297">
        <v>4691</v>
      </c>
      <c r="G2297" t="s">
        <v>1268</v>
      </c>
      <c r="H2297" t="s">
        <v>44</v>
      </c>
      <c r="I2297" t="s">
        <v>45</v>
      </c>
      <c r="J2297" t="s">
        <v>44</v>
      </c>
      <c r="K2297" t="s">
        <v>45</v>
      </c>
      <c r="L2297">
        <v>5</v>
      </c>
      <c r="M2297" t="s">
        <v>65</v>
      </c>
      <c r="N2297" t="s">
        <v>46</v>
      </c>
    </row>
    <row r="2298" spans="1:14" x14ac:dyDescent="0.2">
      <c r="A2298" s="3">
        <f t="shared" si="37"/>
        <v>304990</v>
      </c>
      <c r="B2298" t="str">
        <f>"03049900004"</f>
        <v>03049900004</v>
      </c>
      <c r="C2298" t="s">
        <v>2659</v>
      </c>
      <c r="D2298" t="s">
        <v>52</v>
      </c>
      <c r="E2298">
        <v>112</v>
      </c>
      <c r="F2298">
        <v>4691</v>
      </c>
      <c r="G2298" t="s">
        <v>1268</v>
      </c>
      <c r="H2298" t="s">
        <v>44</v>
      </c>
      <c r="I2298" t="s">
        <v>45</v>
      </c>
      <c r="J2298" t="s">
        <v>44</v>
      </c>
      <c r="K2298" t="s">
        <v>45</v>
      </c>
      <c r="L2298">
        <v>5</v>
      </c>
      <c r="M2298" t="s">
        <v>65</v>
      </c>
      <c r="N2298" t="s">
        <v>46</v>
      </c>
    </row>
    <row r="2299" spans="1:14" x14ac:dyDescent="0.2">
      <c r="A2299" s="3">
        <f t="shared" si="37"/>
        <v>304996</v>
      </c>
      <c r="B2299" t="str">
        <f>"03049960002"</f>
        <v>03049960002</v>
      </c>
      <c r="C2299" t="s">
        <v>2660</v>
      </c>
      <c r="D2299" t="s">
        <v>52</v>
      </c>
      <c r="E2299">
        <v>112</v>
      </c>
      <c r="F2299">
        <v>4691</v>
      </c>
      <c r="G2299" t="s">
        <v>1268</v>
      </c>
      <c r="H2299" t="s">
        <v>44</v>
      </c>
      <c r="I2299" t="s">
        <v>45</v>
      </c>
      <c r="J2299" t="s">
        <v>44</v>
      </c>
      <c r="K2299" t="s">
        <v>45</v>
      </c>
      <c r="L2299">
        <v>5</v>
      </c>
      <c r="M2299" t="s">
        <v>65</v>
      </c>
      <c r="N2299" t="s">
        <v>46</v>
      </c>
    </row>
    <row r="2300" spans="1:14" x14ac:dyDescent="0.2">
      <c r="A2300" s="3">
        <f t="shared" si="37"/>
        <v>305228</v>
      </c>
      <c r="B2300" t="str">
        <f>"03052280012"</f>
        <v>03052280012</v>
      </c>
      <c r="C2300" t="s">
        <v>2567</v>
      </c>
      <c r="D2300" t="s">
        <v>52</v>
      </c>
      <c r="E2300">
        <v>122</v>
      </c>
      <c r="F2300">
        <v>925</v>
      </c>
      <c r="G2300" t="s">
        <v>2568</v>
      </c>
      <c r="H2300" t="s">
        <v>44</v>
      </c>
      <c r="I2300" t="s">
        <v>45</v>
      </c>
      <c r="J2300" t="s">
        <v>44</v>
      </c>
      <c r="K2300" t="s">
        <v>45</v>
      </c>
      <c r="L2300">
        <v>6</v>
      </c>
      <c r="M2300">
        <v>2208</v>
      </c>
      <c r="N2300" t="s">
        <v>46</v>
      </c>
    </row>
    <row r="2301" spans="1:14" x14ac:dyDescent="0.2">
      <c r="A2301" s="3">
        <f t="shared" si="37"/>
        <v>305229</v>
      </c>
      <c r="B2301" t="str">
        <f>"03052290008"</f>
        <v>03052290008</v>
      </c>
      <c r="C2301" t="s">
        <v>2661</v>
      </c>
      <c r="D2301" t="s">
        <v>52</v>
      </c>
      <c r="E2301">
        <v>128</v>
      </c>
      <c r="F2301">
        <v>4691</v>
      </c>
      <c r="G2301" t="s">
        <v>1268</v>
      </c>
      <c r="H2301" t="s">
        <v>44</v>
      </c>
      <c r="I2301" t="s">
        <v>45</v>
      </c>
      <c r="J2301" t="s">
        <v>44</v>
      </c>
      <c r="K2301" t="s">
        <v>45</v>
      </c>
      <c r="L2301">
        <v>6</v>
      </c>
      <c r="M2301">
        <v>2209</v>
      </c>
      <c r="N2301" t="s">
        <v>46</v>
      </c>
    </row>
    <row r="2302" spans="1:14" x14ac:dyDescent="0.2">
      <c r="A2302" s="3">
        <f t="shared" si="37"/>
        <v>305230</v>
      </c>
      <c r="B2302" t="str">
        <f>"03052300004"</f>
        <v>03052300004</v>
      </c>
      <c r="C2302" t="s">
        <v>2569</v>
      </c>
      <c r="D2302" t="s">
        <v>52</v>
      </c>
      <c r="E2302">
        <v>122</v>
      </c>
      <c r="F2302">
        <v>4691</v>
      </c>
      <c r="G2302" t="s">
        <v>1268</v>
      </c>
      <c r="H2302" t="s">
        <v>44</v>
      </c>
      <c r="I2302" t="s">
        <v>45</v>
      </c>
      <c r="J2302" t="s">
        <v>44</v>
      </c>
      <c r="K2302" t="s">
        <v>45</v>
      </c>
      <c r="L2302">
        <v>6</v>
      </c>
      <c r="M2302">
        <v>2210</v>
      </c>
      <c r="N2302" t="s">
        <v>46</v>
      </c>
    </row>
    <row r="2303" spans="1:14" x14ac:dyDescent="0.2">
      <c r="A2303" s="3">
        <f t="shared" si="37"/>
        <v>305237</v>
      </c>
      <c r="B2303" t="str">
        <f>"03052370006"</f>
        <v>03052370006</v>
      </c>
      <c r="C2303" t="s">
        <v>2662</v>
      </c>
      <c r="D2303" t="s">
        <v>52</v>
      </c>
      <c r="E2303">
        <v>124</v>
      </c>
      <c r="F2303">
        <v>2597</v>
      </c>
      <c r="G2303" t="s">
        <v>2663</v>
      </c>
      <c r="H2303" t="s">
        <v>44</v>
      </c>
      <c r="I2303" t="s">
        <v>45</v>
      </c>
      <c r="J2303" t="s">
        <v>44</v>
      </c>
      <c r="K2303" t="s">
        <v>45</v>
      </c>
      <c r="L2303">
        <v>6</v>
      </c>
      <c r="M2303">
        <v>2211</v>
      </c>
      <c r="N2303" t="s">
        <v>46</v>
      </c>
    </row>
    <row r="2304" spans="1:14" x14ac:dyDescent="0.2">
      <c r="A2304" s="3">
        <f t="shared" si="37"/>
        <v>305371</v>
      </c>
      <c r="B2304" t="str">
        <f>"03053710012"</f>
        <v>03053710012</v>
      </c>
      <c r="C2304" t="s">
        <v>2664</v>
      </c>
      <c r="D2304" t="s">
        <v>52</v>
      </c>
      <c r="E2304">
        <v>111</v>
      </c>
      <c r="F2304">
        <v>4691</v>
      </c>
      <c r="G2304" t="s">
        <v>1268</v>
      </c>
      <c r="H2304" t="s">
        <v>44</v>
      </c>
      <c r="I2304" t="s">
        <v>45</v>
      </c>
      <c r="J2304" t="s">
        <v>44</v>
      </c>
      <c r="K2304" t="s">
        <v>45</v>
      </c>
      <c r="L2304">
        <v>6</v>
      </c>
      <c r="M2304">
        <v>2212</v>
      </c>
      <c r="N2304" t="s">
        <v>46</v>
      </c>
    </row>
    <row r="2305" spans="1:14" x14ac:dyDescent="0.2">
      <c r="A2305" s="3">
        <f t="shared" si="37"/>
        <v>305401</v>
      </c>
      <c r="B2305" t="str">
        <f>"03054010012"</f>
        <v>03054010012</v>
      </c>
      <c r="C2305" t="s">
        <v>2665</v>
      </c>
      <c r="D2305" t="s">
        <v>52</v>
      </c>
      <c r="E2305">
        <v>100</v>
      </c>
      <c r="F2305">
        <v>4691</v>
      </c>
      <c r="G2305" t="s">
        <v>1268</v>
      </c>
      <c r="H2305" t="s">
        <v>44</v>
      </c>
      <c r="I2305" t="s">
        <v>45</v>
      </c>
      <c r="J2305" t="s">
        <v>44</v>
      </c>
      <c r="K2305" t="s">
        <v>45</v>
      </c>
      <c r="L2305">
        <v>6</v>
      </c>
      <c r="M2305">
        <v>52106</v>
      </c>
      <c r="N2305" t="s">
        <v>46</v>
      </c>
    </row>
    <row r="2306" spans="1:14" x14ac:dyDescent="0.2">
      <c r="A2306" s="3">
        <f t="shared" si="37"/>
        <v>305402</v>
      </c>
      <c r="B2306" t="str">
        <f>"03054020012"</f>
        <v>03054020012</v>
      </c>
      <c r="C2306" t="s">
        <v>2666</v>
      </c>
      <c r="D2306" t="s">
        <v>52</v>
      </c>
      <c r="E2306">
        <v>100</v>
      </c>
      <c r="F2306">
        <v>4691</v>
      </c>
      <c r="G2306" t="s">
        <v>1268</v>
      </c>
      <c r="H2306" t="s">
        <v>44</v>
      </c>
      <c r="I2306" t="s">
        <v>45</v>
      </c>
      <c r="J2306" t="s">
        <v>44</v>
      </c>
      <c r="K2306" t="s">
        <v>45</v>
      </c>
      <c r="L2306">
        <v>6</v>
      </c>
      <c r="M2306">
        <v>52107</v>
      </c>
      <c r="N2306" t="s">
        <v>46</v>
      </c>
    </row>
    <row r="2307" spans="1:14" x14ac:dyDescent="0.2">
      <c r="A2307" s="3">
        <f t="shared" si="37"/>
        <v>305434</v>
      </c>
      <c r="B2307" t="str">
        <f>"03054340006"</f>
        <v>03054340006</v>
      </c>
      <c r="C2307" t="s">
        <v>2667</v>
      </c>
      <c r="D2307" t="s">
        <v>52</v>
      </c>
      <c r="E2307">
        <v>122</v>
      </c>
      <c r="F2307">
        <v>4691</v>
      </c>
      <c r="G2307" t="s">
        <v>1268</v>
      </c>
      <c r="H2307" t="s">
        <v>44</v>
      </c>
      <c r="I2307" t="s">
        <v>45</v>
      </c>
      <c r="J2307" t="s">
        <v>44</v>
      </c>
      <c r="K2307" t="s">
        <v>45</v>
      </c>
      <c r="L2307">
        <v>6</v>
      </c>
      <c r="M2307">
        <v>2213</v>
      </c>
      <c r="N2307" t="s">
        <v>46</v>
      </c>
    </row>
    <row r="2308" spans="1:14" x14ac:dyDescent="0.2">
      <c r="A2308" s="3">
        <f t="shared" ref="A2308:A2371" si="38">(B2308-RIGHT(B2308,4))/10000</f>
        <v>305450</v>
      </c>
      <c r="B2308" t="str">
        <f>"03054500005"</f>
        <v>03054500005</v>
      </c>
      <c r="C2308" t="s">
        <v>2668</v>
      </c>
      <c r="D2308" t="s">
        <v>52</v>
      </c>
      <c r="E2308">
        <v>100</v>
      </c>
      <c r="F2308">
        <v>4691</v>
      </c>
      <c r="G2308" t="s">
        <v>1268</v>
      </c>
      <c r="H2308" t="s">
        <v>44</v>
      </c>
      <c r="I2308" t="s">
        <v>45</v>
      </c>
      <c r="J2308" t="s">
        <v>44</v>
      </c>
      <c r="K2308" t="s">
        <v>45</v>
      </c>
      <c r="L2308">
        <v>6</v>
      </c>
      <c r="M2308">
        <v>52032</v>
      </c>
      <c r="N2308" t="s">
        <v>46</v>
      </c>
    </row>
    <row r="2309" spans="1:14" x14ac:dyDescent="0.2">
      <c r="A2309" s="3">
        <f t="shared" si="38"/>
        <v>305451</v>
      </c>
      <c r="B2309" t="str">
        <f>"03054510005"</f>
        <v>03054510005</v>
      </c>
      <c r="C2309" t="s">
        <v>2669</v>
      </c>
      <c r="D2309" t="s">
        <v>52</v>
      </c>
      <c r="E2309">
        <v>100</v>
      </c>
      <c r="F2309">
        <v>4691</v>
      </c>
      <c r="G2309" t="s">
        <v>1268</v>
      </c>
      <c r="H2309" t="s">
        <v>44</v>
      </c>
      <c r="I2309" t="s">
        <v>45</v>
      </c>
      <c r="J2309" t="s">
        <v>44</v>
      </c>
      <c r="K2309" t="s">
        <v>45</v>
      </c>
      <c r="L2309">
        <v>6</v>
      </c>
      <c r="M2309">
        <v>52033</v>
      </c>
      <c r="N2309" t="s">
        <v>46</v>
      </c>
    </row>
    <row r="2310" spans="1:14" x14ac:dyDescent="0.2">
      <c r="A2310" s="3">
        <f t="shared" si="38"/>
        <v>305456</v>
      </c>
      <c r="B2310" t="str">
        <f>"03054560020"</f>
        <v>03054560020</v>
      </c>
      <c r="C2310" t="s">
        <v>2670</v>
      </c>
      <c r="D2310" t="s">
        <v>52</v>
      </c>
      <c r="E2310">
        <v>100</v>
      </c>
      <c r="F2310">
        <v>3535</v>
      </c>
      <c r="G2310" t="s">
        <v>2671</v>
      </c>
      <c r="H2310" t="s">
        <v>44</v>
      </c>
      <c r="I2310" t="s">
        <v>45</v>
      </c>
      <c r="J2310" t="s">
        <v>44</v>
      </c>
      <c r="K2310" t="s">
        <v>45</v>
      </c>
      <c r="L2310">
        <v>5</v>
      </c>
      <c r="M2310" t="s">
        <v>65</v>
      </c>
      <c r="N2310" t="s">
        <v>46</v>
      </c>
    </row>
    <row r="2311" spans="1:14" x14ac:dyDescent="0.2">
      <c r="A2311" s="3">
        <f t="shared" si="38"/>
        <v>305457</v>
      </c>
      <c r="B2311" t="str">
        <f>"03054570020"</f>
        <v>03054570020</v>
      </c>
      <c r="C2311" t="s">
        <v>2672</v>
      </c>
      <c r="D2311" t="s">
        <v>52</v>
      </c>
      <c r="E2311">
        <v>100</v>
      </c>
      <c r="F2311">
        <v>3535</v>
      </c>
      <c r="G2311" t="s">
        <v>2671</v>
      </c>
      <c r="H2311" t="s">
        <v>44</v>
      </c>
      <c r="I2311" t="s">
        <v>45</v>
      </c>
      <c r="J2311" t="s">
        <v>44</v>
      </c>
      <c r="K2311" t="s">
        <v>45</v>
      </c>
      <c r="L2311">
        <v>5</v>
      </c>
      <c r="M2311" t="s">
        <v>65</v>
      </c>
      <c r="N2311" t="s">
        <v>46</v>
      </c>
    </row>
    <row r="2312" spans="1:14" x14ac:dyDescent="0.2">
      <c r="A2312" s="3">
        <f t="shared" si="38"/>
        <v>305482</v>
      </c>
      <c r="B2312" t="str">
        <f>"03054820012"</f>
        <v>03054820012</v>
      </c>
      <c r="C2312" t="s">
        <v>2673</v>
      </c>
      <c r="D2312" t="s">
        <v>52</v>
      </c>
      <c r="E2312">
        <v>122</v>
      </c>
      <c r="F2312">
        <v>4691</v>
      </c>
      <c r="G2312" t="s">
        <v>1268</v>
      </c>
      <c r="H2312" t="s">
        <v>44</v>
      </c>
      <c r="I2312" t="s">
        <v>45</v>
      </c>
      <c r="J2312" t="s">
        <v>44</v>
      </c>
      <c r="K2312" t="s">
        <v>45</v>
      </c>
      <c r="L2312">
        <v>6</v>
      </c>
      <c r="M2312">
        <v>2214</v>
      </c>
      <c r="N2312" t="s">
        <v>46</v>
      </c>
    </row>
    <row r="2313" spans="1:14" x14ac:dyDescent="0.2">
      <c r="A2313" s="3">
        <f t="shared" si="38"/>
        <v>305626</v>
      </c>
      <c r="B2313" t="str">
        <f>"03056260003"</f>
        <v>03056260003</v>
      </c>
      <c r="C2313" t="s">
        <v>2674</v>
      </c>
      <c r="D2313" t="s">
        <v>52</v>
      </c>
      <c r="E2313">
        <v>112</v>
      </c>
      <c r="F2313">
        <v>4691</v>
      </c>
      <c r="G2313" t="s">
        <v>1268</v>
      </c>
      <c r="H2313" t="s">
        <v>44</v>
      </c>
      <c r="I2313" t="s">
        <v>45</v>
      </c>
      <c r="J2313" t="s">
        <v>44</v>
      </c>
      <c r="K2313" t="s">
        <v>45</v>
      </c>
      <c r="L2313">
        <v>5</v>
      </c>
      <c r="M2313" t="s">
        <v>65</v>
      </c>
      <c r="N2313" t="s">
        <v>46</v>
      </c>
    </row>
    <row r="2314" spans="1:14" x14ac:dyDescent="0.2">
      <c r="A2314" s="3">
        <f t="shared" si="38"/>
        <v>305702</v>
      </c>
      <c r="B2314" t="str">
        <f>"03057020006"</f>
        <v>03057020006</v>
      </c>
      <c r="C2314" t="s">
        <v>2675</v>
      </c>
      <c r="D2314" t="s">
        <v>52</v>
      </c>
      <c r="E2314">
        <v>121</v>
      </c>
      <c r="F2314">
        <v>4691</v>
      </c>
      <c r="G2314" t="s">
        <v>1268</v>
      </c>
      <c r="H2314" t="s">
        <v>44</v>
      </c>
      <c r="I2314" t="s">
        <v>45</v>
      </c>
      <c r="J2314" t="s">
        <v>44</v>
      </c>
      <c r="K2314" t="s">
        <v>45</v>
      </c>
      <c r="L2314">
        <v>6</v>
      </c>
      <c r="M2314">
        <v>1206</v>
      </c>
      <c r="N2314" t="s">
        <v>46</v>
      </c>
    </row>
    <row r="2315" spans="1:14" x14ac:dyDescent="0.2">
      <c r="A2315" s="3">
        <f t="shared" si="38"/>
        <v>305713</v>
      </c>
      <c r="B2315" t="str">
        <f>"03057130014"</f>
        <v>03057130014</v>
      </c>
      <c r="C2315" t="s">
        <v>2676</v>
      </c>
      <c r="D2315" t="s">
        <v>52</v>
      </c>
      <c r="E2315">
        <v>105</v>
      </c>
      <c r="F2315">
        <v>1033</v>
      </c>
      <c r="G2315" t="s">
        <v>2677</v>
      </c>
      <c r="H2315" t="s">
        <v>44</v>
      </c>
      <c r="I2315" t="s">
        <v>45</v>
      </c>
      <c r="J2315" t="s">
        <v>44</v>
      </c>
      <c r="K2315" t="s">
        <v>45</v>
      </c>
      <c r="L2315">
        <v>6</v>
      </c>
      <c r="M2315">
        <v>2000</v>
      </c>
      <c r="N2315" t="s">
        <v>46</v>
      </c>
    </row>
    <row r="2316" spans="1:14" x14ac:dyDescent="0.2">
      <c r="A2316" s="3">
        <f t="shared" si="38"/>
        <v>305714</v>
      </c>
      <c r="B2316" t="str">
        <f>"03057140016"</f>
        <v>03057140016</v>
      </c>
      <c r="C2316" t="s">
        <v>2678</v>
      </c>
      <c r="D2316" t="s">
        <v>52</v>
      </c>
      <c r="E2316">
        <v>105</v>
      </c>
      <c r="F2316">
        <v>4691</v>
      </c>
      <c r="G2316" t="s">
        <v>1268</v>
      </c>
      <c r="H2316" t="s">
        <v>44</v>
      </c>
      <c r="I2316" t="s">
        <v>45</v>
      </c>
      <c r="J2316" t="s">
        <v>44</v>
      </c>
      <c r="K2316" t="s">
        <v>45</v>
      </c>
      <c r="L2316">
        <v>6</v>
      </c>
      <c r="M2316">
        <v>52109</v>
      </c>
      <c r="N2316" t="s">
        <v>46</v>
      </c>
    </row>
    <row r="2317" spans="1:14" x14ac:dyDescent="0.2">
      <c r="A2317" s="3">
        <f t="shared" si="38"/>
        <v>305715</v>
      </c>
      <c r="B2317" t="str">
        <f>"03057150016"</f>
        <v>03057150016</v>
      </c>
      <c r="C2317" t="s">
        <v>2679</v>
      </c>
      <c r="D2317" t="s">
        <v>52</v>
      </c>
      <c r="E2317">
        <v>105</v>
      </c>
      <c r="F2317">
        <v>4691</v>
      </c>
      <c r="G2317" t="s">
        <v>1268</v>
      </c>
      <c r="H2317" t="s">
        <v>44</v>
      </c>
      <c r="I2317" t="s">
        <v>45</v>
      </c>
      <c r="J2317" t="s">
        <v>44</v>
      </c>
      <c r="K2317" t="s">
        <v>45</v>
      </c>
      <c r="L2317">
        <v>6</v>
      </c>
      <c r="M2317">
        <v>52110</v>
      </c>
      <c r="N2317" t="s">
        <v>46</v>
      </c>
    </row>
    <row r="2318" spans="1:14" x14ac:dyDescent="0.2">
      <c r="A2318" s="3">
        <f t="shared" si="38"/>
        <v>305745</v>
      </c>
      <c r="B2318" t="str">
        <f>"03057450014"</f>
        <v>03057450014</v>
      </c>
      <c r="C2318" t="s">
        <v>2680</v>
      </c>
      <c r="D2318" t="s">
        <v>52</v>
      </c>
      <c r="E2318">
        <v>105</v>
      </c>
      <c r="F2318">
        <v>4691</v>
      </c>
      <c r="G2318" t="s">
        <v>1268</v>
      </c>
      <c r="H2318" t="s">
        <v>44</v>
      </c>
      <c r="I2318" t="s">
        <v>45</v>
      </c>
      <c r="J2318" t="s">
        <v>44</v>
      </c>
      <c r="K2318" t="s">
        <v>45</v>
      </c>
      <c r="L2318">
        <v>6</v>
      </c>
      <c r="M2318">
        <v>52111</v>
      </c>
      <c r="N2318" t="s">
        <v>46</v>
      </c>
    </row>
    <row r="2319" spans="1:14" x14ac:dyDescent="0.2">
      <c r="A2319" s="3">
        <f t="shared" si="38"/>
        <v>305749</v>
      </c>
      <c r="B2319" t="str">
        <f>"03057490016"</f>
        <v>03057490016</v>
      </c>
      <c r="C2319" t="s">
        <v>2681</v>
      </c>
      <c r="D2319" t="s">
        <v>52</v>
      </c>
      <c r="E2319">
        <v>105</v>
      </c>
      <c r="F2319">
        <v>4691</v>
      </c>
      <c r="G2319" t="s">
        <v>1268</v>
      </c>
      <c r="H2319" t="s">
        <v>44</v>
      </c>
      <c r="I2319" t="s">
        <v>45</v>
      </c>
      <c r="J2319" t="s">
        <v>44</v>
      </c>
      <c r="K2319" t="s">
        <v>45</v>
      </c>
      <c r="L2319">
        <v>6</v>
      </c>
      <c r="M2319">
        <v>52112</v>
      </c>
      <c r="N2319" t="s">
        <v>46</v>
      </c>
    </row>
    <row r="2320" spans="1:14" x14ac:dyDescent="0.2">
      <c r="A2320" s="3">
        <f t="shared" si="38"/>
        <v>305868</v>
      </c>
      <c r="B2320" t="str">
        <f>"03058680006"</f>
        <v>03058680006</v>
      </c>
      <c r="C2320" t="s">
        <v>2682</v>
      </c>
      <c r="D2320" t="s">
        <v>52</v>
      </c>
      <c r="E2320">
        <v>115</v>
      </c>
      <c r="F2320">
        <v>4691</v>
      </c>
      <c r="G2320" t="s">
        <v>1268</v>
      </c>
      <c r="H2320" t="s">
        <v>44</v>
      </c>
      <c r="I2320" t="s">
        <v>45</v>
      </c>
      <c r="J2320" t="s">
        <v>44</v>
      </c>
      <c r="K2320" t="s">
        <v>45</v>
      </c>
      <c r="L2320">
        <v>5</v>
      </c>
      <c r="M2320" t="s">
        <v>65</v>
      </c>
      <c r="N2320" t="s">
        <v>46</v>
      </c>
    </row>
    <row r="2321" spans="1:14" x14ac:dyDescent="0.2">
      <c r="A2321" s="3">
        <f t="shared" si="38"/>
        <v>305869</v>
      </c>
      <c r="B2321" t="str">
        <f>"03058690012"</f>
        <v>03058690012</v>
      </c>
      <c r="C2321" t="s">
        <v>2683</v>
      </c>
      <c r="D2321" t="s">
        <v>52</v>
      </c>
      <c r="E2321">
        <v>115</v>
      </c>
      <c r="F2321">
        <v>4691</v>
      </c>
      <c r="G2321" t="s">
        <v>1268</v>
      </c>
      <c r="H2321" t="s">
        <v>44</v>
      </c>
      <c r="I2321" t="s">
        <v>45</v>
      </c>
      <c r="J2321" t="s">
        <v>44</v>
      </c>
      <c r="K2321" t="s">
        <v>45</v>
      </c>
      <c r="L2321">
        <v>5</v>
      </c>
      <c r="M2321" t="s">
        <v>65</v>
      </c>
      <c r="N2321" t="s">
        <v>46</v>
      </c>
    </row>
    <row r="2322" spans="1:14" x14ac:dyDescent="0.2">
      <c r="A2322" s="3">
        <f t="shared" si="38"/>
        <v>306038</v>
      </c>
      <c r="B2322" t="str">
        <f>"03060380005"</f>
        <v>03060380005</v>
      </c>
      <c r="C2322" t="s">
        <v>2684</v>
      </c>
      <c r="D2322" t="s">
        <v>52</v>
      </c>
      <c r="E2322">
        <v>118</v>
      </c>
      <c r="F2322">
        <v>2603</v>
      </c>
      <c r="G2322" t="s">
        <v>2685</v>
      </c>
      <c r="H2322" t="s">
        <v>44</v>
      </c>
      <c r="I2322" t="s">
        <v>45</v>
      </c>
      <c r="J2322" t="s">
        <v>44</v>
      </c>
      <c r="K2322" t="s">
        <v>45</v>
      </c>
      <c r="L2322">
        <v>6</v>
      </c>
      <c r="M2322">
        <v>4200</v>
      </c>
      <c r="N2322" t="s">
        <v>46</v>
      </c>
    </row>
    <row r="2323" spans="1:14" x14ac:dyDescent="0.2">
      <c r="A2323" s="3">
        <f t="shared" si="38"/>
        <v>306054</v>
      </c>
      <c r="B2323" t="str">
        <f>"03060540020"</f>
        <v>03060540020</v>
      </c>
      <c r="C2323" t="s">
        <v>2686</v>
      </c>
      <c r="D2323" t="s">
        <v>52</v>
      </c>
      <c r="E2323">
        <v>120</v>
      </c>
      <c r="F2323">
        <v>4501</v>
      </c>
      <c r="G2323" t="s">
        <v>2687</v>
      </c>
      <c r="H2323" t="s">
        <v>44</v>
      </c>
      <c r="I2323" t="s">
        <v>45</v>
      </c>
      <c r="J2323" t="s">
        <v>44</v>
      </c>
      <c r="K2323" t="s">
        <v>45</v>
      </c>
      <c r="L2323">
        <v>6</v>
      </c>
      <c r="M2323">
        <v>13100</v>
      </c>
      <c r="N2323" t="s">
        <v>46</v>
      </c>
    </row>
    <row r="2324" spans="1:14" x14ac:dyDescent="0.2">
      <c r="A2324" s="3">
        <f t="shared" si="38"/>
        <v>306054</v>
      </c>
      <c r="B2324" t="str">
        <f>"03060540020"</f>
        <v>03060540020</v>
      </c>
      <c r="C2324" t="s">
        <v>2686</v>
      </c>
      <c r="D2324" t="s">
        <v>52</v>
      </c>
      <c r="E2324">
        <v>120</v>
      </c>
      <c r="F2324">
        <v>6909</v>
      </c>
      <c r="G2324" t="s">
        <v>2688</v>
      </c>
      <c r="H2324" t="s">
        <v>44</v>
      </c>
      <c r="I2324" t="s">
        <v>45</v>
      </c>
      <c r="J2324" t="s">
        <v>44</v>
      </c>
      <c r="K2324" t="s">
        <v>45</v>
      </c>
      <c r="L2324">
        <v>6</v>
      </c>
      <c r="M2324">
        <v>13100</v>
      </c>
      <c r="N2324" t="s">
        <v>46</v>
      </c>
    </row>
    <row r="2325" spans="1:14" x14ac:dyDescent="0.2">
      <c r="A2325" s="3">
        <f t="shared" si="38"/>
        <v>306135</v>
      </c>
      <c r="B2325" t="str">
        <f>"03061350008"</f>
        <v>03061350008</v>
      </c>
      <c r="C2325" t="s">
        <v>2689</v>
      </c>
      <c r="D2325" t="s">
        <v>52</v>
      </c>
      <c r="E2325">
        <v>127</v>
      </c>
      <c r="F2325">
        <v>4691</v>
      </c>
      <c r="G2325" t="s">
        <v>1268</v>
      </c>
      <c r="H2325" t="s">
        <v>44</v>
      </c>
      <c r="I2325" t="s">
        <v>45</v>
      </c>
      <c r="J2325" t="s">
        <v>44</v>
      </c>
      <c r="K2325" t="s">
        <v>45</v>
      </c>
      <c r="L2325">
        <v>5</v>
      </c>
      <c r="M2325" t="s">
        <v>65</v>
      </c>
      <c r="N2325" t="s">
        <v>46</v>
      </c>
    </row>
    <row r="2326" spans="1:14" x14ac:dyDescent="0.2">
      <c r="A2326" s="3">
        <f t="shared" si="38"/>
        <v>306142</v>
      </c>
      <c r="B2326" t="str">
        <f>"03061420010"</f>
        <v>03061420010</v>
      </c>
      <c r="C2326" t="s">
        <v>2690</v>
      </c>
      <c r="D2326" t="s">
        <v>52</v>
      </c>
      <c r="E2326">
        <v>127</v>
      </c>
      <c r="F2326">
        <v>4691</v>
      </c>
      <c r="G2326" t="s">
        <v>1268</v>
      </c>
      <c r="H2326" t="s">
        <v>44</v>
      </c>
      <c r="I2326" t="s">
        <v>45</v>
      </c>
      <c r="J2326" t="s">
        <v>44</v>
      </c>
      <c r="K2326" t="s">
        <v>45</v>
      </c>
      <c r="L2326">
        <v>5</v>
      </c>
      <c r="M2326" t="s">
        <v>65</v>
      </c>
      <c r="N2326" t="s">
        <v>46</v>
      </c>
    </row>
    <row r="2327" spans="1:14" x14ac:dyDescent="0.2">
      <c r="A2327" s="3">
        <f t="shared" si="38"/>
        <v>306149</v>
      </c>
      <c r="B2327" t="str">
        <f>"03061490012"</f>
        <v>03061490012</v>
      </c>
      <c r="C2327" t="s">
        <v>2691</v>
      </c>
      <c r="D2327" t="s">
        <v>52</v>
      </c>
      <c r="E2327">
        <v>127</v>
      </c>
      <c r="F2327">
        <v>954</v>
      </c>
      <c r="G2327" t="s">
        <v>2692</v>
      </c>
      <c r="H2327" t="s">
        <v>44</v>
      </c>
      <c r="I2327" t="s">
        <v>45</v>
      </c>
      <c r="J2327" t="s">
        <v>44</v>
      </c>
      <c r="K2327" t="s">
        <v>45</v>
      </c>
      <c r="L2327">
        <v>5</v>
      </c>
      <c r="M2327" t="s">
        <v>65</v>
      </c>
      <c r="N2327" t="s">
        <v>46</v>
      </c>
    </row>
    <row r="2328" spans="1:14" x14ac:dyDescent="0.2">
      <c r="A2328" s="3">
        <f t="shared" si="38"/>
        <v>306158</v>
      </c>
      <c r="B2328" t="str">
        <f>"03061580020"</f>
        <v>03061580020</v>
      </c>
      <c r="C2328" t="s">
        <v>2693</v>
      </c>
      <c r="D2328" t="s">
        <v>52</v>
      </c>
      <c r="E2328">
        <v>127</v>
      </c>
      <c r="F2328">
        <v>4691</v>
      </c>
      <c r="G2328" t="s">
        <v>1268</v>
      </c>
      <c r="H2328" t="s">
        <v>44</v>
      </c>
      <c r="I2328" t="s">
        <v>45</v>
      </c>
      <c r="J2328" t="s">
        <v>44</v>
      </c>
      <c r="K2328" t="s">
        <v>45</v>
      </c>
      <c r="L2328">
        <v>5</v>
      </c>
      <c r="M2328" t="s">
        <v>65</v>
      </c>
      <c r="N2328" t="s">
        <v>46</v>
      </c>
    </row>
    <row r="2329" spans="1:14" x14ac:dyDescent="0.2">
      <c r="A2329" s="3">
        <f t="shared" si="38"/>
        <v>306161</v>
      </c>
      <c r="B2329" t="str">
        <f>"03061610024"</f>
        <v>03061610024</v>
      </c>
      <c r="C2329" t="s">
        <v>2694</v>
      </c>
      <c r="D2329" t="s">
        <v>52</v>
      </c>
      <c r="E2329">
        <v>127</v>
      </c>
      <c r="F2329">
        <v>954</v>
      </c>
      <c r="G2329" t="s">
        <v>2692</v>
      </c>
      <c r="H2329" t="s">
        <v>44</v>
      </c>
      <c r="I2329" t="s">
        <v>45</v>
      </c>
      <c r="J2329" t="s">
        <v>44</v>
      </c>
      <c r="K2329" t="s">
        <v>45</v>
      </c>
      <c r="L2329">
        <v>5</v>
      </c>
      <c r="M2329" t="s">
        <v>65</v>
      </c>
      <c r="N2329" t="s">
        <v>46</v>
      </c>
    </row>
    <row r="2330" spans="1:14" x14ac:dyDescent="0.2">
      <c r="A2330" s="3">
        <f t="shared" si="38"/>
        <v>306266</v>
      </c>
      <c r="B2330" t="str">
        <f>"03062660028"</f>
        <v>03062660028</v>
      </c>
      <c r="C2330" t="s">
        <v>2695</v>
      </c>
      <c r="D2330" t="s">
        <v>52</v>
      </c>
      <c r="E2330">
        <v>119</v>
      </c>
      <c r="F2330">
        <v>7512</v>
      </c>
      <c r="G2330" t="s">
        <v>2596</v>
      </c>
      <c r="H2330" t="s">
        <v>44</v>
      </c>
      <c r="I2330" t="s">
        <v>45</v>
      </c>
      <c r="J2330" t="s">
        <v>44</v>
      </c>
      <c r="K2330" t="s">
        <v>45</v>
      </c>
      <c r="L2330">
        <v>5</v>
      </c>
      <c r="M2330" t="s">
        <v>65</v>
      </c>
      <c r="N2330" t="s">
        <v>46</v>
      </c>
    </row>
    <row r="2331" spans="1:14" x14ac:dyDescent="0.2">
      <c r="A2331" s="3">
        <f t="shared" si="38"/>
        <v>306269</v>
      </c>
      <c r="B2331" t="str">
        <f>"03062690001"</f>
        <v>03062690001</v>
      </c>
      <c r="C2331" t="s">
        <v>2696</v>
      </c>
      <c r="D2331" t="s">
        <v>52</v>
      </c>
      <c r="E2331">
        <v>108</v>
      </c>
      <c r="F2331">
        <v>4691</v>
      </c>
      <c r="G2331" t="s">
        <v>1268</v>
      </c>
      <c r="H2331" t="s">
        <v>44</v>
      </c>
      <c r="I2331" t="s">
        <v>45</v>
      </c>
      <c r="J2331" t="s">
        <v>44</v>
      </c>
      <c r="K2331" t="s">
        <v>45</v>
      </c>
      <c r="L2331">
        <v>5</v>
      </c>
      <c r="M2331" t="s">
        <v>65</v>
      </c>
      <c r="N2331" t="s">
        <v>46</v>
      </c>
    </row>
    <row r="2332" spans="1:14" x14ac:dyDescent="0.2">
      <c r="A2332" s="3">
        <f t="shared" si="38"/>
        <v>306371</v>
      </c>
      <c r="B2332" t="str">
        <f>"03063710024"</f>
        <v>03063710024</v>
      </c>
      <c r="C2332" t="s">
        <v>2697</v>
      </c>
      <c r="D2332" t="s">
        <v>52</v>
      </c>
      <c r="E2332">
        <v>115</v>
      </c>
      <c r="F2332">
        <v>4691</v>
      </c>
      <c r="G2332" t="s">
        <v>1268</v>
      </c>
      <c r="H2332" t="s">
        <v>44</v>
      </c>
      <c r="I2332" t="s">
        <v>45</v>
      </c>
      <c r="J2332" t="s">
        <v>44</v>
      </c>
      <c r="K2332" t="s">
        <v>45</v>
      </c>
      <c r="L2332">
        <v>5</v>
      </c>
      <c r="M2332" t="s">
        <v>65</v>
      </c>
      <c r="N2332" t="s">
        <v>46</v>
      </c>
    </row>
    <row r="2333" spans="1:14" x14ac:dyDescent="0.2">
      <c r="A2333" s="3">
        <f t="shared" si="38"/>
        <v>306387</v>
      </c>
      <c r="B2333" t="str">
        <f>"03063870008"</f>
        <v>03063870008</v>
      </c>
      <c r="C2333" t="s">
        <v>2698</v>
      </c>
      <c r="D2333" t="s">
        <v>52</v>
      </c>
      <c r="E2333">
        <v>115</v>
      </c>
      <c r="F2333">
        <v>2053</v>
      </c>
      <c r="G2333" t="s">
        <v>2699</v>
      </c>
      <c r="H2333" t="s">
        <v>44</v>
      </c>
      <c r="I2333" t="s">
        <v>45</v>
      </c>
      <c r="J2333" t="s">
        <v>44</v>
      </c>
      <c r="K2333" t="s">
        <v>45</v>
      </c>
      <c r="L2333">
        <v>5</v>
      </c>
      <c r="M2333" t="s">
        <v>65</v>
      </c>
      <c r="N2333" t="s">
        <v>46</v>
      </c>
    </row>
    <row r="2334" spans="1:14" x14ac:dyDescent="0.2">
      <c r="A2334" s="3">
        <f t="shared" si="38"/>
        <v>306476</v>
      </c>
      <c r="B2334" t="str">
        <f>"03064760012"</f>
        <v>03064760012</v>
      </c>
      <c r="C2334" t="s">
        <v>2700</v>
      </c>
      <c r="D2334" t="s">
        <v>52</v>
      </c>
      <c r="E2334">
        <v>120</v>
      </c>
      <c r="F2334">
        <v>1743</v>
      </c>
      <c r="G2334" t="s">
        <v>2701</v>
      </c>
      <c r="H2334" t="s">
        <v>44</v>
      </c>
      <c r="I2334" t="s">
        <v>45</v>
      </c>
      <c r="J2334" t="s">
        <v>44</v>
      </c>
      <c r="K2334" t="s">
        <v>45</v>
      </c>
      <c r="L2334">
        <v>6</v>
      </c>
      <c r="M2334">
        <v>52100</v>
      </c>
      <c r="N2334" t="s">
        <v>46</v>
      </c>
    </row>
    <row r="2335" spans="1:14" x14ac:dyDescent="0.2">
      <c r="A2335" s="3">
        <f t="shared" si="38"/>
        <v>306498</v>
      </c>
      <c r="B2335" t="str">
        <f>"03064980010"</f>
        <v>03064980010</v>
      </c>
      <c r="C2335" t="s">
        <v>2702</v>
      </c>
      <c r="D2335" t="s">
        <v>52</v>
      </c>
      <c r="E2335">
        <v>115</v>
      </c>
      <c r="F2335">
        <v>3859</v>
      </c>
      <c r="G2335" t="s">
        <v>2703</v>
      </c>
      <c r="H2335" t="s">
        <v>44</v>
      </c>
      <c r="I2335" t="s">
        <v>45</v>
      </c>
      <c r="J2335" t="s">
        <v>44</v>
      </c>
      <c r="K2335" t="s">
        <v>45</v>
      </c>
      <c r="L2335">
        <v>5</v>
      </c>
      <c r="M2335" t="s">
        <v>65</v>
      </c>
      <c r="N2335" t="s">
        <v>46</v>
      </c>
    </row>
    <row r="2336" spans="1:14" x14ac:dyDescent="0.2">
      <c r="A2336" s="3">
        <f t="shared" si="38"/>
        <v>306552</v>
      </c>
      <c r="B2336" t="str">
        <f>"03065520012"</f>
        <v>03065520012</v>
      </c>
      <c r="C2336" t="s">
        <v>2704</v>
      </c>
      <c r="D2336" t="s">
        <v>52</v>
      </c>
      <c r="E2336">
        <v>103</v>
      </c>
      <c r="F2336">
        <v>4691</v>
      </c>
      <c r="G2336" t="s">
        <v>1268</v>
      </c>
      <c r="H2336" t="s">
        <v>44</v>
      </c>
      <c r="I2336" t="s">
        <v>45</v>
      </c>
      <c r="J2336" t="s">
        <v>44</v>
      </c>
      <c r="K2336" t="s">
        <v>45</v>
      </c>
      <c r="L2336">
        <v>5</v>
      </c>
      <c r="M2336" t="s">
        <v>65</v>
      </c>
      <c r="N2336" t="s">
        <v>46</v>
      </c>
    </row>
    <row r="2337" spans="1:14" x14ac:dyDescent="0.2">
      <c r="A2337" s="3">
        <f t="shared" si="38"/>
        <v>306625</v>
      </c>
      <c r="B2337" t="str">
        <f>"03066250008"</f>
        <v>03066250008</v>
      </c>
      <c r="C2337" t="s">
        <v>2705</v>
      </c>
      <c r="D2337" t="s">
        <v>52</v>
      </c>
      <c r="E2337">
        <v>100</v>
      </c>
      <c r="F2337">
        <v>4691</v>
      </c>
      <c r="G2337" t="s">
        <v>1268</v>
      </c>
      <c r="H2337" t="s">
        <v>44</v>
      </c>
      <c r="I2337" t="s">
        <v>45</v>
      </c>
      <c r="J2337" t="s">
        <v>44</v>
      </c>
      <c r="K2337" t="s">
        <v>45</v>
      </c>
      <c r="L2337">
        <v>6</v>
      </c>
      <c r="M2337">
        <v>52034</v>
      </c>
      <c r="N2337" t="s">
        <v>46</v>
      </c>
    </row>
    <row r="2338" spans="1:14" x14ac:dyDescent="0.2">
      <c r="A2338" s="3">
        <f t="shared" si="38"/>
        <v>306626</v>
      </c>
      <c r="B2338" t="str">
        <f>"03066260008"</f>
        <v>03066260008</v>
      </c>
      <c r="C2338" t="s">
        <v>2605</v>
      </c>
      <c r="D2338" t="s">
        <v>52</v>
      </c>
      <c r="E2338">
        <v>100</v>
      </c>
      <c r="F2338">
        <v>4691</v>
      </c>
      <c r="G2338" t="s">
        <v>1268</v>
      </c>
      <c r="H2338" t="s">
        <v>44</v>
      </c>
      <c r="I2338" t="s">
        <v>45</v>
      </c>
      <c r="J2338" t="s">
        <v>44</v>
      </c>
      <c r="K2338" t="s">
        <v>45</v>
      </c>
      <c r="L2338">
        <v>6</v>
      </c>
      <c r="M2338">
        <v>52035</v>
      </c>
      <c r="N2338" t="s">
        <v>46</v>
      </c>
    </row>
    <row r="2339" spans="1:14" x14ac:dyDescent="0.2">
      <c r="A2339" s="3">
        <f t="shared" si="38"/>
        <v>306627</v>
      </c>
      <c r="B2339" t="str">
        <f>"03066270009"</f>
        <v>03066270009</v>
      </c>
      <c r="C2339" t="s">
        <v>2706</v>
      </c>
      <c r="D2339" t="s">
        <v>52</v>
      </c>
      <c r="E2339">
        <v>100</v>
      </c>
      <c r="F2339">
        <v>4691</v>
      </c>
      <c r="G2339" t="s">
        <v>1268</v>
      </c>
      <c r="H2339" t="s">
        <v>44</v>
      </c>
      <c r="I2339" t="s">
        <v>45</v>
      </c>
      <c r="J2339" t="s">
        <v>44</v>
      </c>
      <c r="K2339" t="s">
        <v>45</v>
      </c>
      <c r="L2339">
        <v>6</v>
      </c>
      <c r="M2339">
        <v>52036</v>
      </c>
      <c r="N2339" t="s">
        <v>46</v>
      </c>
    </row>
    <row r="2340" spans="1:14" x14ac:dyDescent="0.2">
      <c r="A2340" s="3">
        <f t="shared" si="38"/>
        <v>306628</v>
      </c>
      <c r="B2340" t="str">
        <f>"03066280009"</f>
        <v>03066280009</v>
      </c>
      <c r="C2340" t="s">
        <v>2707</v>
      </c>
      <c r="D2340" t="s">
        <v>52</v>
      </c>
      <c r="E2340">
        <v>100</v>
      </c>
      <c r="F2340">
        <v>4691</v>
      </c>
      <c r="G2340" t="s">
        <v>1268</v>
      </c>
      <c r="H2340" t="s">
        <v>44</v>
      </c>
      <c r="I2340" t="s">
        <v>45</v>
      </c>
      <c r="J2340" t="s">
        <v>44</v>
      </c>
      <c r="K2340" t="s">
        <v>45</v>
      </c>
      <c r="L2340">
        <v>6</v>
      </c>
      <c r="M2340">
        <v>52037</v>
      </c>
      <c r="N2340" t="s">
        <v>46</v>
      </c>
    </row>
    <row r="2341" spans="1:14" x14ac:dyDescent="0.2">
      <c r="A2341" s="3">
        <f t="shared" si="38"/>
        <v>306652</v>
      </c>
      <c r="B2341" t="str">
        <f>"03066520015"</f>
        <v>03066520015</v>
      </c>
      <c r="C2341" t="s">
        <v>2708</v>
      </c>
      <c r="D2341" t="s">
        <v>52</v>
      </c>
      <c r="E2341">
        <v>128</v>
      </c>
      <c r="F2341">
        <v>4691</v>
      </c>
      <c r="G2341" t="s">
        <v>1268</v>
      </c>
      <c r="H2341" t="s">
        <v>44</v>
      </c>
      <c r="I2341" t="s">
        <v>45</v>
      </c>
      <c r="J2341" t="s">
        <v>44</v>
      </c>
      <c r="K2341" t="s">
        <v>45</v>
      </c>
      <c r="L2341">
        <v>5</v>
      </c>
      <c r="M2341" t="s">
        <v>65</v>
      </c>
      <c r="N2341" t="s">
        <v>46</v>
      </c>
    </row>
    <row r="2342" spans="1:14" x14ac:dyDescent="0.2">
      <c r="A2342" s="3">
        <f t="shared" si="38"/>
        <v>306712</v>
      </c>
      <c r="B2342" t="str">
        <f>"03067120001"</f>
        <v>03067120001</v>
      </c>
      <c r="C2342" t="s">
        <v>2709</v>
      </c>
      <c r="D2342" t="s">
        <v>52</v>
      </c>
      <c r="E2342">
        <v>115</v>
      </c>
      <c r="F2342">
        <v>4208</v>
      </c>
      <c r="G2342" t="s">
        <v>2710</v>
      </c>
      <c r="H2342" t="s">
        <v>44</v>
      </c>
      <c r="I2342" t="s">
        <v>45</v>
      </c>
      <c r="J2342" t="s">
        <v>44</v>
      </c>
      <c r="K2342" t="s">
        <v>45</v>
      </c>
      <c r="L2342">
        <v>5</v>
      </c>
      <c r="M2342" t="s">
        <v>65</v>
      </c>
      <c r="N2342" t="s">
        <v>46</v>
      </c>
    </row>
    <row r="2343" spans="1:14" x14ac:dyDescent="0.2">
      <c r="A2343" s="3">
        <f t="shared" si="38"/>
        <v>306713</v>
      </c>
      <c r="B2343" t="str">
        <f>"03067130001"</f>
        <v>03067130001</v>
      </c>
      <c r="C2343" t="s">
        <v>2711</v>
      </c>
      <c r="D2343" t="s">
        <v>52</v>
      </c>
      <c r="E2343">
        <v>108</v>
      </c>
      <c r="F2343">
        <v>4691</v>
      </c>
      <c r="G2343" t="s">
        <v>1268</v>
      </c>
      <c r="H2343" t="s">
        <v>44</v>
      </c>
      <c r="I2343" t="s">
        <v>45</v>
      </c>
      <c r="J2343" t="s">
        <v>44</v>
      </c>
      <c r="K2343" t="s">
        <v>45</v>
      </c>
      <c r="L2343">
        <v>5</v>
      </c>
      <c r="M2343" t="s">
        <v>65</v>
      </c>
      <c r="N2343" t="s">
        <v>46</v>
      </c>
    </row>
    <row r="2344" spans="1:14" x14ac:dyDescent="0.2">
      <c r="A2344" s="3">
        <f t="shared" si="38"/>
        <v>306716</v>
      </c>
      <c r="B2344" t="str">
        <f>"03067160025"</f>
        <v>03067160025</v>
      </c>
      <c r="C2344" t="s">
        <v>2712</v>
      </c>
      <c r="D2344" t="s">
        <v>52</v>
      </c>
      <c r="E2344">
        <v>115</v>
      </c>
      <c r="F2344">
        <v>4691</v>
      </c>
      <c r="G2344" t="s">
        <v>1268</v>
      </c>
      <c r="H2344" t="s">
        <v>44</v>
      </c>
      <c r="I2344" t="s">
        <v>45</v>
      </c>
      <c r="J2344" t="s">
        <v>44</v>
      </c>
      <c r="K2344" t="s">
        <v>45</v>
      </c>
      <c r="L2344">
        <v>5</v>
      </c>
      <c r="M2344" t="s">
        <v>65</v>
      </c>
      <c r="N2344" t="s">
        <v>46</v>
      </c>
    </row>
    <row r="2345" spans="1:14" x14ac:dyDescent="0.2">
      <c r="A2345" s="3">
        <f t="shared" si="38"/>
        <v>306718</v>
      </c>
      <c r="B2345" t="str">
        <f>"03067180006"</f>
        <v>03067180006</v>
      </c>
      <c r="C2345" t="s">
        <v>2713</v>
      </c>
      <c r="D2345" t="s">
        <v>52</v>
      </c>
      <c r="E2345">
        <v>112</v>
      </c>
      <c r="F2345">
        <v>4691</v>
      </c>
      <c r="G2345" t="s">
        <v>1268</v>
      </c>
      <c r="H2345" t="s">
        <v>44</v>
      </c>
      <c r="I2345" t="s">
        <v>45</v>
      </c>
      <c r="J2345" t="s">
        <v>44</v>
      </c>
      <c r="K2345" t="s">
        <v>45</v>
      </c>
      <c r="L2345">
        <v>6</v>
      </c>
      <c r="M2345">
        <v>52115</v>
      </c>
      <c r="N2345" t="s">
        <v>46</v>
      </c>
    </row>
    <row r="2346" spans="1:14" x14ac:dyDescent="0.2">
      <c r="A2346" s="3">
        <f t="shared" si="38"/>
        <v>306722</v>
      </c>
      <c r="B2346" t="str">
        <f>"03067220020"</f>
        <v>03067220020</v>
      </c>
      <c r="C2346" t="s">
        <v>2714</v>
      </c>
      <c r="D2346" t="s">
        <v>52</v>
      </c>
      <c r="E2346">
        <v>115</v>
      </c>
      <c r="F2346">
        <v>4691</v>
      </c>
      <c r="G2346" t="s">
        <v>1268</v>
      </c>
      <c r="H2346" t="s">
        <v>44</v>
      </c>
      <c r="I2346" t="s">
        <v>45</v>
      </c>
      <c r="J2346" t="s">
        <v>44</v>
      </c>
      <c r="K2346" t="s">
        <v>45</v>
      </c>
      <c r="L2346">
        <v>5</v>
      </c>
      <c r="M2346" t="s">
        <v>65</v>
      </c>
      <c r="N2346" t="s">
        <v>46</v>
      </c>
    </row>
    <row r="2347" spans="1:14" x14ac:dyDescent="0.2">
      <c r="A2347" s="3">
        <f t="shared" si="38"/>
        <v>306730</v>
      </c>
      <c r="B2347" t="str">
        <f>"03067300020"</f>
        <v>03067300020</v>
      </c>
      <c r="C2347" t="s">
        <v>2715</v>
      </c>
      <c r="D2347" t="s">
        <v>52</v>
      </c>
      <c r="E2347">
        <v>100</v>
      </c>
      <c r="F2347">
        <v>4691</v>
      </c>
      <c r="G2347" t="s">
        <v>1268</v>
      </c>
      <c r="H2347" t="s">
        <v>44</v>
      </c>
      <c r="I2347" t="s">
        <v>45</v>
      </c>
      <c r="J2347" t="s">
        <v>44</v>
      </c>
      <c r="K2347" t="s">
        <v>45</v>
      </c>
      <c r="L2347">
        <v>5</v>
      </c>
      <c r="M2347" t="s">
        <v>65</v>
      </c>
      <c r="N2347" t="s">
        <v>46</v>
      </c>
    </row>
    <row r="2348" spans="1:14" x14ac:dyDescent="0.2">
      <c r="A2348" s="3">
        <f t="shared" si="38"/>
        <v>306732</v>
      </c>
      <c r="B2348" t="str">
        <f>"03067320008"</f>
        <v>03067320008</v>
      </c>
      <c r="C2348" t="s">
        <v>2716</v>
      </c>
      <c r="D2348" t="s">
        <v>52</v>
      </c>
      <c r="E2348">
        <v>115</v>
      </c>
      <c r="F2348">
        <v>4691</v>
      </c>
      <c r="G2348" t="s">
        <v>1268</v>
      </c>
      <c r="H2348" t="s">
        <v>44</v>
      </c>
      <c r="I2348" t="s">
        <v>45</v>
      </c>
      <c r="J2348" t="s">
        <v>44</v>
      </c>
      <c r="K2348" t="s">
        <v>45</v>
      </c>
      <c r="L2348">
        <v>5</v>
      </c>
      <c r="M2348" t="s">
        <v>65</v>
      </c>
      <c r="N2348" t="s">
        <v>46</v>
      </c>
    </row>
    <row r="2349" spans="1:14" x14ac:dyDescent="0.2">
      <c r="A2349" s="3">
        <f t="shared" si="38"/>
        <v>306753</v>
      </c>
      <c r="B2349" t="str">
        <f>"03067530008"</f>
        <v>03067530008</v>
      </c>
      <c r="C2349" t="s">
        <v>2584</v>
      </c>
      <c r="D2349" t="s">
        <v>52</v>
      </c>
      <c r="E2349">
        <v>112</v>
      </c>
      <c r="F2349">
        <v>4691</v>
      </c>
      <c r="G2349" t="s">
        <v>1268</v>
      </c>
      <c r="H2349" t="s">
        <v>44</v>
      </c>
      <c r="I2349" t="s">
        <v>45</v>
      </c>
      <c r="J2349" t="s">
        <v>44</v>
      </c>
      <c r="K2349" t="s">
        <v>45</v>
      </c>
      <c r="L2349">
        <v>5</v>
      </c>
      <c r="M2349" t="s">
        <v>65</v>
      </c>
      <c r="N2349" t="s">
        <v>46</v>
      </c>
    </row>
    <row r="2350" spans="1:14" x14ac:dyDescent="0.2">
      <c r="A2350" s="3">
        <f t="shared" si="38"/>
        <v>306755</v>
      </c>
      <c r="B2350" t="str">
        <f>"03067550004"</f>
        <v>03067550004</v>
      </c>
      <c r="C2350" t="s">
        <v>2717</v>
      </c>
      <c r="D2350" t="s">
        <v>52</v>
      </c>
      <c r="E2350">
        <v>120</v>
      </c>
      <c r="F2350">
        <v>3513</v>
      </c>
      <c r="G2350" t="s">
        <v>2718</v>
      </c>
      <c r="H2350" t="s">
        <v>44</v>
      </c>
      <c r="I2350" t="s">
        <v>45</v>
      </c>
      <c r="J2350" t="s">
        <v>44</v>
      </c>
      <c r="K2350" t="s">
        <v>45</v>
      </c>
      <c r="L2350">
        <v>5</v>
      </c>
      <c r="M2350" t="s">
        <v>65</v>
      </c>
      <c r="N2350" t="s">
        <v>46</v>
      </c>
    </row>
    <row r="2351" spans="1:14" x14ac:dyDescent="0.2">
      <c r="A2351" s="3">
        <f t="shared" si="38"/>
        <v>306787</v>
      </c>
      <c r="B2351" t="str">
        <f>"03067870002"</f>
        <v>03067870002</v>
      </c>
      <c r="C2351" t="s">
        <v>2719</v>
      </c>
      <c r="D2351" t="s">
        <v>52</v>
      </c>
      <c r="E2351">
        <v>120</v>
      </c>
      <c r="F2351">
        <v>3513</v>
      </c>
      <c r="G2351" t="s">
        <v>2718</v>
      </c>
      <c r="H2351" t="s">
        <v>44</v>
      </c>
      <c r="I2351" t="s">
        <v>45</v>
      </c>
      <c r="J2351" t="s">
        <v>44</v>
      </c>
      <c r="K2351" t="s">
        <v>45</v>
      </c>
      <c r="L2351">
        <v>6</v>
      </c>
      <c r="M2351">
        <v>2215</v>
      </c>
      <c r="N2351" t="s">
        <v>46</v>
      </c>
    </row>
    <row r="2352" spans="1:14" x14ac:dyDescent="0.2">
      <c r="A2352" s="3">
        <f t="shared" si="38"/>
        <v>306792</v>
      </c>
      <c r="B2352" t="str">
        <f>"03067920006"</f>
        <v>03067920006</v>
      </c>
      <c r="C2352" t="s">
        <v>2720</v>
      </c>
      <c r="D2352" t="s">
        <v>52</v>
      </c>
      <c r="E2352">
        <v>120</v>
      </c>
      <c r="F2352">
        <v>3221</v>
      </c>
      <c r="G2352" t="s">
        <v>2721</v>
      </c>
      <c r="H2352" t="s">
        <v>44</v>
      </c>
      <c r="I2352" t="s">
        <v>45</v>
      </c>
      <c r="J2352" t="s">
        <v>44</v>
      </c>
      <c r="K2352" t="s">
        <v>45</v>
      </c>
      <c r="L2352">
        <v>5</v>
      </c>
      <c r="M2352" t="s">
        <v>65</v>
      </c>
      <c r="N2352" t="s">
        <v>46</v>
      </c>
    </row>
    <row r="2353" spans="1:14" x14ac:dyDescent="0.2">
      <c r="A2353" s="3">
        <f t="shared" si="38"/>
        <v>306909</v>
      </c>
      <c r="B2353" t="str">
        <f>"03069090012"</f>
        <v>03069090012</v>
      </c>
      <c r="C2353" t="s">
        <v>2722</v>
      </c>
      <c r="D2353" t="s">
        <v>52</v>
      </c>
      <c r="E2353">
        <v>123</v>
      </c>
      <c r="F2353">
        <v>3800</v>
      </c>
      <c r="G2353" t="s">
        <v>2723</v>
      </c>
      <c r="H2353" t="s">
        <v>44</v>
      </c>
      <c r="I2353" t="s">
        <v>45</v>
      </c>
      <c r="J2353" t="s">
        <v>44</v>
      </c>
      <c r="K2353" t="s">
        <v>45</v>
      </c>
      <c r="L2353">
        <v>5</v>
      </c>
      <c r="M2353" t="s">
        <v>65</v>
      </c>
      <c r="N2353" t="s">
        <v>46</v>
      </c>
    </row>
    <row r="2354" spans="1:14" x14ac:dyDescent="0.2">
      <c r="A2354" s="3">
        <f t="shared" si="38"/>
        <v>306935</v>
      </c>
      <c r="B2354" t="str">
        <f>"03069350020"</f>
        <v>03069350020</v>
      </c>
      <c r="C2354" t="s">
        <v>2724</v>
      </c>
      <c r="D2354" t="s">
        <v>52</v>
      </c>
      <c r="E2354">
        <v>112</v>
      </c>
      <c r="F2354">
        <v>7512</v>
      </c>
      <c r="G2354" t="s">
        <v>2596</v>
      </c>
      <c r="H2354" t="s">
        <v>44</v>
      </c>
      <c r="I2354" t="s">
        <v>45</v>
      </c>
      <c r="J2354" t="s">
        <v>44</v>
      </c>
      <c r="K2354" t="s">
        <v>45</v>
      </c>
      <c r="L2354">
        <v>5</v>
      </c>
      <c r="M2354" t="s">
        <v>65</v>
      </c>
      <c r="N2354" t="s">
        <v>46</v>
      </c>
    </row>
    <row r="2355" spans="1:14" x14ac:dyDescent="0.2">
      <c r="A2355" s="3">
        <f t="shared" si="38"/>
        <v>306936</v>
      </c>
      <c r="B2355" t="str">
        <f>"03069360024"</f>
        <v>03069360024</v>
      </c>
      <c r="C2355" t="s">
        <v>2725</v>
      </c>
      <c r="D2355" t="s">
        <v>52</v>
      </c>
      <c r="E2355">
        <v>123</v>
      </c>
      <c r="F2355">
        <v>2118</v>
      </c>
      <c r="G2355" t="s">
        <v>2726</v>
      </c>
      <c r="H2355" t="s">
        <v>44</v>
      </c>
      <c r="I2355" t="s">
        <v>45</v>
      </c>
      <c r="J2355" t="s">
        <v>44</v>
      </c>
      <c r="K2355" t="s">
        <v>45</v>
      </c>
      <c r="L2355">
        <v>5</v>
      </c>
      <c r="M2355" t="s">
        <v>65</v>
      </c>
      <c r="N2355" t="s">
        <v>46</v>
      </c>
    </row>
    <row r="2356" spans="1:14" x14ac:dyDescent="0.2">
      <c r="A2356" s="3">
        <f t="shared" si="38"/>
        <v>306937</v>
      </c>
      <c r="B2356" t="str">
        <f>"03069370024"</f>
        <v>03069370024</v>
      </c>
      <c r="C2356" t="s">
        <v>2727</v>
      </c>
      <c r="D2356" t="s">
        <v>52</v>
      </c>
      <c r="E2356">
        <v>123</v>
      </c>
      <c r="F2356">
        <v>6922</v>
      </c>
      <c r="G2356" t="s">
        <v>2728</v>
      </c>
      <c r="H2356" t="s">
        <v>44</v>
      </c>
      <c r="I2356" t="s">
        <v>45</v>
      </c>
      <c r="J2356" t="s">
        <v>44</v>
      </c>
      <c r="K2356" t="s">
        <v>45</v>
      </c>
      <c r="L2356">
        <v>5</v>
      </c>
      <c r="M2356" t="s">
        <v>65</v>
      </c>
      <c r="N2356" t="s">
        <v>46</v>
      </c>
    </row>
    <row r="2357" spans="1:14" x14ac:dyDescent="0.2">
      <c r="A2357" s="3">
        <f t="shared" si="38"/>
        <v>306940</v>
      </c>
      <c r="B2357" t="str">
        <f>"03069400016"</f>
        <v>03069400016</v>
      </c>
      <c r="C2357" t="s">
        <v>2729</v>
      </c>
      <c r="D2357" t="s">
        <v>52</v>
      </c>
      <c r="E2357">
        <v>123</v>
      </c>
      <c r="F2357">
        <v>4691</v>
      </c>
      <c r="G2357" t="s">
        <v>1268</v>
      </c>
      <c r="H2357" t="s">
        <v>44</v>
      </c>
      <c r="I2357" t="s">
        <v>45</v>
      </c>
      <c r="J2357" t="s">
        <v>44</v>
      </c>
      <c r="K2357" t="s">
        <v>45</v>
      </c>
      <c r="L2357">
        <v>6</v>
      </c>
      <c r="M2357">
        <v>2262</v>
      </c>
      <c r="N2357" t="s">
        <v>46</v>
      </c>
    </row>
    <row r="2358" spans="1:14" x14ac:dyDescent="0.2">
      <c r="A2358" s="3">
        <f t="shared" si="38"/>
        <v>306941</v>
      </c>
      <c r="B2358" t="str">
        <f>"03069410040"</f>
        <v>03069410040</v>
      </c>
      <c r="C2358" t="s">
        <v>2730</v>
      </c>
      <c r="D2358" t="s">
        <v>52</v>
      </c>
      <c r="E2358">
        <v>119</v>
      </c>
      <c r="F2358">
        <v>4691</v>
      </c>
      <c r="G2358" t="s">
        <v>1268</v>
      </c>
      <c r="H2358" t="s">
        <v>44</v>
      </c>
      <c r="I2358" t="s">
        <v>45</v>
      </c>
      <c r="J2358" t="s">
        <v>44</v>
      </c>
      <c r="K2358" t="s">
        <v>45</v>
      </c>
      <c r="L2358">
        <v>6</v>
      </c>
      <c r="M2358">
        <v>2263</v>
      </c>
      <c r="N2358" t="s">
        <v>46</v>
      </c>
    </row>
    <row r="2359" spans="1:14" x14ac:dyDescent="0.2">
      <c r="A2359" s="3">
        <f t="shared" si="38"/>
        <v>306944</v>
      </c>
      <c r="B2359" t="str">
        <f>"03069440050"</f>
        <v>03069440050</v>
      </c>
      <c r="C2359" t="s">
        <v>2731</v>
      </c>
      <c r="D2359" t="s">
        <v>52</v>
      </c>
      <c r="E2359">
        <v>112</v>
      </c>
      <c r="F2359">
        <v>4691</v>
      </c>
      <c r="G2359" t="s">
        <v>1268</v>
      </c>
      <c r="H2359" t="s">
        <v>44</v>
      </c>
      <c r="I2359" t="s">
        <v>45</v>
      </c>
      <c r="J2359" t="s">
        <v>44</v>
      </c>
      <c r="K2359" t="s">
        <v>45</v>
      </c>
      <c r="L2359">
        <v>6</v>
      </c>
      <c r="M2359">
        <v>2280</v>
      </c>
      <c r="N2359" t="s">
        <v>46</v>
      </c>
    </row>
    <row r="2360" spans="1:14" x14ac:dyDescent="0.2">
      <c r="A2360" s="3">
        <f t="shared" si="38"/>
        <v>306946</v>
      </c>
      <c r="B2360" t="str">
        <f>"03069460011"</f>
        <v>03069460011</v>
      </c>
      <c r="C2360" t="s">
        <v>2732</v>
      </c>
      <c r="D2360" t="s">
        <v>52</v>
      </c>
      <c r="E2360">
        <v>119</v>
      </c>
      <c r="F2360">
        <v>7512</v>
      </c>
      <c r="G2360" t="s">
        <v>2596</v>
      </c>
      <c r="H2360" t="s">
        <v>44</v>
      </c>
      <c r="I2360" t="s">
        <v>45</v>
      </c>
      <c r="J2360" t="s">
        <v>44</v>
      </c>
      <c r="K2360" t="s">
        <v>45</v>
      </c>
      <c r="L2360">
        <v>5</v>
      </c>
      <c r="M2360" t="s">
        <v>65</v>
      </c>
      <c r="N2360" t="s">
        <v>46</v>
      </c>
    </row>
    <row r="2361" spans="1:14" x14ac:dyDescent="0.2">
      <c r="A2361" s="3">
        <f t="shared" si="38"/>
        <v>306948</v>
      </c>
      <c r="B2361" t="str">
        <f>"03069480004"</f>
        <v>03069480004</v>
      </c>
      <c r="C2361" t="s">
        <v>2733</v>
      </c>
      <c r="D2361" t="s">
        <v>52</v>
      </c>
      <c r="E2361">
        <v>112</v>
      </c>
      <c r="F2361">
        <v>4691</v>
      </c>
      <c r="G2361" t="s">
        <v>1268</v>
      </c>
      <c r="H2361" t="s">
        <v>44</v>
      </c>
      <c r="I2361" t="s">
        <v>45</v>
      </c>
      <c r="J2361" t="s">
        <v>44</v>
      </c>
      <c r="K2361" t="s">
        <v>45</v>
      </c>
      <c r="L2361">
        <v>6</v>
      </c>
      <c r="M2361">
        <v>2264</v>
      </c>
      <c r="N2361" t="s">
        <v>46</v>
      </c>
    </row>
    <row r="2362" spans="1:14" x14ac:dyDescent="0.2">
      <c r="A2362" s="3">
        <f t="shared" si="38"/>
        <v>306954</v>
      </c>
      <c r="B2362" t="str">
        <f>"03069540012"</f>
        <v>03069540012</v>
      </c>
      <c r="C2362" t="s">
        <v>2734</v>
      </c>
      <c r="D2362" t="s">
        <v>52</v>
      </c>
      <c r="E2362">
        <v>119</v>
      </c>
      <c r="F2362">
        <v>4691</v>
      </c>
      <c r="G2362" t="s">
        <v>1268</v>
      </c>
      <c r="H2362" t="s">
        <v>44</v>
      </c>
      <c r="I2362" t="s">
        <v>45</v>
      </c>
      <c r="J2362" t="s">
        <v>44</v>
      </c>
      <c r="K2362" t="s">
        <v>45</v>
      </c>
      <c r="L2362">
        <v>6</v>
      </c>
      <c r="M2362">
        <v>2281</v>
      </c>
      <c r="N2362" t="s">
        <v>46</v>
      </c>
    </row>
    <row r="2363" spans="1:14" x14ac:dyDescent="0.2">
      <c r="A2363" s="3">
        <f t="shared" si="38"/>
        <v>306958</v>
      </c>
      <c r="B2363" t="str">
        <f>"03069580010"</f>
        <v>03069580010</v>
      </c>
      <c r="C2363" t="s">
        <v>2735</v>
      </c>
      <c r="D2363" t="s">
        <v>52</v>
      </c>
      <c r="E2363">
        <v>112</v>
      </c>
      <c r="F2363">
        <v>4691</v>
      </c>
      <c r="G2363" t="s">
        <v>1268</v>
      </c>
      <c r="H2363" t="s">
        <v>44</v>
      </c>
      <c r="I2363" t="s">
        <v>45</v>
      </c>
      <c r="J2363" t="s">
        <v>44</v>
      </c>
      <c r="K2363" t="s">
        <v>45</v>
      </c>
      <c r="L2363">
        <v>6</v>
      </c>
      <c r="M2363">
        <v>2265</v>
      </c>
      <c r="N2363" t="s">
        <v>46</v>
      </c>
    </row>
    <row r="2364" spans="1:14" x14ac:dyDescent="0.2">
      <c r="A2364" s="3">
        <f t="shared" si="38"/>
        <v>306962</v>
      </c>
      <c r="B2364" t="str">
        <f>"03069620002"</f>
        <v>03069620002</v>
      </c>
      <c r="C2364" t="s">
        <v>2736</v>
      </c>
      <c r="D2364" t="s">
        <v>52</v>
      </c>
      <c r="E2364">
        <v>112</v>
      </c>
      <c r="F2364">
        <v>6099</v>
      </c>
      <c r="G2364" t="s">
        <v>2737</v>
      </c>
      <c r="H2364" t="s">
        <v>44</v>
      </c>
      <c r="I2364" t="s">
        <v>45</v>
      </c>
      <c r="J2364" t="s">
        <v>44</v>
      </c>
      <c r="K2364" t="s">
        <v>45</v>
      </c>
      <c r="L2364">
        <v>5</v>
      </c>
      <c r="M2364" t="s">
        <v>65</v>
      </c>
      <c r="N2364" t="s">
        <v>46</v>
      </c>
    </row>
    <row r="2365" spans="1:14" x14ac:dyDescent="0.2">
      <c r="A2365" s="3">
        <f t="shared" si="38"/>
        <v>306964</v>
      </c>
      <c r="B2365" t="str">
        <f>"03069640040"</f>
        <v>03069640040</v>
      </c>
      <c r="C2365" t="s">
        <v>2738</v>
      </c>
      <c r="D2365" t="s">
        <v>52</v>
      </c>
      <c r="E2365">
        <v>119</v>
      </c>
      <c r="F2365">
        <v>4691</v>
      </c>
      <c r="G2365" t="s">
        <v>1268</v>
      </c>
      <c r="H2365" t="s">
        <v>44</v>
      </c>
      <c r="I2365" t="s">
        <v>45</v>
      </c>
      <c r="J2365" t="s">
        <v>44</v>
      </c>
      <c r="K2365" t="s">
        <v>45</v>
      </c>
      <c r="L2365">
        <v>6</v>
      </c>
      <c r="M2365">
        <v>2266</v>
      </c>
      <c r="N2365" t="s">
        <v>46</v>
      </c>
    </row>
    <row r="2366" spans="1:14" x14ac:dyDescent="0.2">
      <c r="A2366" s="3">
        <f t="shared" si="38"/>
        <v>306968</v>
      </c>
      <c r="B2366" t="str">
        <f>"03069680006"</f>
        <v>03069680006</v>
      </c>
      <c r="C2366" t="s">
        <v>2739</v>
      </c>
      <c r="D2366" t="s">
        <v>52</v>
      </c>
      <c r="E2366">
        <v>112</v>
      </c>
      <c r="F2366">
        <v>4691</v>
      </c>
      <c r="G2366" t="s">
        <v>1268</v>
      </c>
      <c r="H2366" t="s">
        <v>44</v>
      </c>
      <c r="I2366" t="s">
        <v>45</v>
      </c>
      <c r="J2366" t="s">
        <v>44</v>
      </c>
      <c r="K2366" t="s">
        <v>45</v>
      </c>
      <c r="L2366">
        <v>5</v>
      </c>
      <c r="M2366" t="s">
        <v>65</v>
      </c>
      <c r="N2366" t="s">
        <v>46</v>
      </c>
    </row>
    <row r="2367" spans="1:14" x14ac:dyDescent="0.2">
      <c r="A2367" s="3">
        <f t="shared" si="38"/>
        <v>307182</v>
      </c>
      <c r="B2367" t="str">
        <f>"03071820008"</f>
        <v>03071820008</v>
      </c>
      <c r="C2367" t="s">
        <v>2740</v>
      </c>
      <c r="D2367" t="s">
        <v>52</v>
      </c>
      <c r="E2367">
        <v>115</v>
      </c>
      <c r="F2367">
        <v>4691</v>
      </c>
      <c r="G2367" t="s">
        <v>1268</v>
      </c>
      <c r="H2367" t="s">
        <v>44</v>
      </c>
      <c r="I2367" t="s">
        <v>45</v>
      </c>
      <c r="J2367" t="s">
        <v>44</v>
      </c>
      <c r="K2367" t="s">
        <v>45</v>
      </c>
      <c r="L2367">
        <v>5</v>
      </c>
      <c r="M2367" t="s">
        <v>65</v>
      </c>
      <c r="N2367" t="s">
        <v>46</v>
      </c>
    </row>
    <row r="2368" spans="1:14" x14ac:dyDescent="0.2">
      <c r="A2368" s="3">
        <f t="shared" si="38"/>
        <v>307236</v>
      </c>
      <c r="B2368" t="str">
        <f>"03072360010"</f>
        <v>03072360010</v>
      </c>
      <c r="C2368" t="s">
        <v>2741</v>
      </c>
      <c r="D2368" t="s">
        <v>52</v>
      </c>
      <c r="E2368">
        <v>118</v>
      </c>
      <c r="F2368">
        <v>4691</v>
      </c>
      <c r="G2368" t="s">
        <v>1268</v>
      </c>
      <c r="H2368" t="s">
        <v>44</v>
      </c>
      <c r="I2368" t="s">
        <v>45</v>
      </c>
      <c r="J2368" t="s">
        <v>44</v>
      </c>
      <c r="K2368" t="s">
        <v>45</v>
      </c>
      <c r="L2368">
        <v>5</v>
      </c>
      <c r="M2368" t="s">
        <v>65</v>
      </c>
      <c r="N2368" t="s">
        <v>46</v>
      </c>
    </row>
    <row r="2369" spans="1:14" x14ac:dyDescent="0.2">
      <c r="A2369" s="3">
        <f t="shared" si="38"/>
        <v>307240</v>
      </c>
      <c r="B2369" t="str">
        <f>"03072400012"</f>
        <v>03072400012</v>
      </c>
      <c r="C2369" t="s">
        <v>2742</v>
      </c>
      <c r="D2369" t="s">
        <v>52</v>
      </c>
      <c r="E2369">
        <v>118</v>
      </c>
      <c r="F2369">
        <v>2603</v>
      </c>
      <c r="G2369" t="s">
        <v>2685</v>
      </c>
      <c r="H2369" t="s">
        <v>44</v>
      </c>
      <c r="I2369" t="s">
        <v>45</v>
      </c>
      <c r="J2369" t="s">
        <v>44</v>
      </c>
      <c r="K2369" t="s">
        <v>45</v>
      </c>
      <c r="L2369">
        <v>6</v>
      </c>
      <c r="M2369">
        <v>4201</v>
      </c>
      <c r="N2369" t="s">
        <v>46</v>
      </c>
    </row>
    <row r="2370" spans="1:14" x14ac:dyDescent="0.2">
      <c r="A2370" s="3">
        <f t="shared" si="38"/>
        <v>307241</v>
      </c>
      <c r="B2370" t="str">
        <f>"03072410012"</f>
        <v>03072410012</v>
      </c>
      <c r="C2370" t="s">
        <v>2743</v>
      </c>
      <c r="D2370" t="s">
        <v>52</v>
      </c>
      <c r="E2370">
        <v>118</v>
      </c>
      <c r="F2370">
        <v>2486</v>
      </c>
      <c r="G2370" t="s">
        <v>2744</v>
      </c>
      <c r="H2370" t="s">
        <v>44</v>
      </c>
      <c r="I2370" t="s">
        <v>45</v>
      </c>
      <c r="J2370" t="s">
        <v>44</v>
      </c>
      <c r="K2370" t="s">
        <v>45</v>
      </c>
      <c r="L2370">
        <v>6</v>
      </c>
      <c r="M2370">
        <v>4202</v>
      </c>
      <c r="N2370" t="s">
        <v>46</v>
      </c>
    </row>
    <row r="2371" spans="1:14" x14ac:dyDescent="0.2">
      <c r="A2371" s="3">
        <f t="shared" si="38"/>
        <v>307250</v>
      </c>
      <c r="B2371" t="str">
        <f>"03072500006"</f>
        <v>03072500006</v>
      </c>
      <c r="C2371" t="s">
        <v>2745</v>
      </c>
      <c r="D2371" t="s">
        <v>52</v>
      </c>
      <c r="E2371">
        <v>112</v>
      </c>
      <c r="F2371">
        <v>4691</v>
      </c>
      <c r="G2371" t="s">
        <v>1268</v>
      </c>
      <c r="H2371" t="s">
        <v>44</v>
      </c>
      <c r="I2371" t="s">
        <v>45</v>
      </c>
      <c r="J2371" t="s">
        <v>44</v>
      </c>
      <c r="K2371" t="s">
        <v>45</v>
      </c>
      <c r="L2371">
        <v>5</v>
      </c>
      <c r="M2371" t="s">
        <v>65</v>
      </c>
      <c r="N2371" t="s">
        <v>46</v>
      </c>
    </row>
    <row r="2372" spans="1:14" x14ac:dyDescent="0.2">
      <c r="A2372" s="3">
        <f t="shared" ref="A2372:A2435" si="39">(B2372-RIGHT(B2372,4))/10000</f>
        <v>307348</v>
      </c>
      <c r="B2372" t="str">
        <f>"03073480006"</f>
        <v>03073480006</v>
      </c>
      <c r="C2372" t="s">
        <v>2746</v>
      </c>
      <c r="D2372" t="s">
        <v>52</v>
      </c>
      <c r="E2372">
        <v>111</v>
      </c>
      <c r="F2372">
        <v>4691</v>
      </c>
      <c r="G2372" t="s">
        <v>1268</v>
      </c>
      <c r="H2372" t="s">
        <v>44</v>
      </c>
      <c r="I2372" t="s">
        <v>45</v>
      </c>
      <c r="J2372" t="s">
        <v>44</v>
      </c>
      <c r="K2372" t="s">
        <v>45</v>
      </c>
      <c r="L2372">
        <v>6</v>
      </c>
      <c r="M2372">
        <v>3255</v>
      </c>
      <c r="N2372" t="s">
        <v>46</v>
      </c>
    </row>
    <row r="2373" spans="1:14" x14ac:dyDescent="0.2">
      <c r="A2373" s="3">
        <f t="shared" si="39"/>
        <v>307357</v>
      </c>
      <c r="B2373" t="str">
        <f>"03073570008"</f>
        <v>03073570008</v>
      </c>
      <c r="C2373" t="s">
        <v>2747</v>
      </c>
      <c r="D2373" t="s">
        <v>52</v>
      </c>
      <c r="E2373">
        <v>120</v>
      </c>
      <c r="F2373">
        <v>1729</v>
      </c>
      <c r="G2373" t="s">
        <v>2748</v>
      </c>
      <c r="H2373" t="s">
        <v>44</v>
      </c>
      <c r="I2373" t="s">
        <v>45</v>
      </c>
      <c r="J2373" t="s">
        <v>44</v>
      </c>
      <c r="K2373" t="s">
        <v>45</v>
      </c>
      <c r="L2373">
        <v>5</v>
      </c>
      <c r="M2373" t="s">
        <v>65</v>
      </c>
      <c r="N2373" t="s">
        <v>46</v>
      </c>
    </row>
    <row r="2374" spans="1:14" x14ac:dyDescent="0.2">
      <c r="A2374" s="3">
        <f t="shared" si="39"/>
        <v>307367</v>
      </c>
      <c r="B2374" t="str">
        <f>"03073670020"</f>
        <v>03073670020</v>
      </c>
      <c r="C2374" t="s">
        <v>2749</v>
      </c>
      <c r="D2374" t="s">
        <v>52</v>
      </c>
      <c r="E2374">
        <v>116</v>
      </c>
      <c r="F2374">
        <v>4691</v>
      </c>
      <c r="G2374" t="s">
        <v>1268</v>
      </c>
      <c r="H2374" t="s">
        <v>44</v>
      </c>
      <c r="I2374" t="s">
        <v>45</v>
      </c>
      <c r="J2374" t="s">
        <v>44</v>
      </c>
      <c r="K2374" t="s">
        <v>45</v>
      </c>
      <c r="L2374">
        <v>6</v>
      </c>
      <c r="M2374">
        <v>1207</v>
      </c>
      <c r="N2374" t="s">
        <v>46</v>
      </c>
    </row>
    <row r="2375" spans="1:14" x14ac:dyDescent="0.2">
      <c r="A2375" s="3">
        <f t="shared" si="39"/>
        <v>307371</v>
      </c>
      <c r="B2375" t="str">
        <f>"03073710002"</f>
        <v>03073710002</v>
      </c>
      <c r="C2375" t="s">
        <v>2750</v>
      </c>
      <c r="D2375" t="s">
        <v>52</v>
      </c>
      <c r="E2375">
        <v>112</v>
      </c>
      <c r="F2375">
        <v>4691</v>
      </c>
      <c r="G2375" t="s">
        <v>1268</v>
      </c>
      <c r="H2375" t="s">
        <v>44</v>
      </c>
      <c r="I2375" t="s">
        <v>45</v>
      </c>
      <c r="J2375" t="s">
        <v>44</v>
      </c>
      <c r="K2375" t="s">
        <v>45</v>
      </c>
      <c r="L2375">
        <v>6</v>
      </c>
      <c r="M2375">
        <v>1208</v>
      </c>
      <c r="N2375" t="s">
        <v>46</v>
      </c>
    </row>
    <row r="2376" spans="1:14" x14ac:dyDescent="0.2">
      <c r="A2376" s="3">
        <f t="shared" si="39"/>
        <v>307373</v>
      </c>
      <c r="B2376" t="str">
        <f>"03073730020"</f>
        <v>03073730020</v>
      </c>
      <c r="C2376" t="s">
        <v>2751</v>
      </c>
      <c r="D2376" t="s">
        <v>52</v>
      </c>
      <c r="E2376">
        <v>116</v>
      </c>
      <c r="F2376">
        <v>4691</v>
      </c>
      <c r="G2376" t="s">
        <v>1268</v>
      </c>
      <c r="H2376" t="s">
        <v>44</v>
      </c>
      <c r="I2376" t="s">
        <v>45</v>
      </c>
      <c r="J2376" t="s">
        <v>44</v>
      </c>
      <c r="K2376" t="s">
        <v>45</v>
      </c>
      <c r="L2376">
        <v>6</v>
      </c>
      <c r="M2376">
        <v>1209</v>
      </c>
      <c r="N2376" t="s">
        <v>46</v>
      </c>
    </row>
    <row r="2377" spans="1:14" x14ac:dyDescent="0.2">
      <c r="A2377" s="3">
        <f t="shared" si="39"/>
        <v>307376</v>
      </c>
      <c r="B2377" t="str">
        <f>"03073760004"</f>
        <v>03073760004</v>
      </c>
      <c r="C2377" t="s">
        <v>2752</v>
      </c>
      <c r="D2377" t="s">
        <v>52</v>
      </c>
      <c r="E2377">
        <v>112</v>
      </c>
      <c r="F2377">
        <v>2063</v>
      </c>
      <c r="G2377" t="s">
        <v>2558</v>
      </c>
      <c r="H2377" t="s">
        <v>44</v>
      </c>
      <c r="I2377" t="s">
        <v>45</v>
      </c>
      <c r="J2377" t="s">
        <v>44</v>
      </c>
      <c r="K2377" t="s">
        <v>45</v>
      </c>
      <c r="L2377">
        <v>6</v>
      </c>
      <c r="M2377">
        <v>1210</v>
      </c>
      <c r="N2377" t="s">
        <v>46</v>
      </c>
    </row>
    <row r="2378" spans="1:14" x14ac:dyDescent="0.2">
      <c r="A2378" s="3">
        <f t="shared" si="39"/>
        <v>307379</v>
      </c>
      <c r="B2378" t="str">
        <f>"03073790010"</f>
        <v>03073790010</v>
      </c>
      <c r="C2378" t="s">
        <v>2753</v>
      </c>
      <c r="D2378" t="s">
        <v>52</v>
      </c>
      <c r="E2378">
        <v>116</v>
      </c>
      <c r="F2378">
        <v>4691</v>
      </c>
      <c r="G2378" t="s">
        <v>1268</v>
      </c>
      <c r="H2378" t="s">
        <v>44</v>
      </c>
      <c r="I2378" t="s">
        <v>45</v>
      </c>
      <c r="J2378" t="s">
        <v>44</v>
      </c>
      <c r="K2378" t="s">
        <v>45</v>
      </c>
      <c r="L2378">
        <v>6</v>
      </c>
      <c r="M2378">
        <v>1211</v>
      </c>
      <c r="N2378" t="s">
        <v>46</v>
      </c>
    </row>
    <row r="2379" spans="1:14" x14ac:dyDescent="0.2">
      <c r="A2379" s="3">
        <f t="shared" si="39"/>
        <v>307443</v>
      </c>
      <c r="B2379" t="str">
        <f>"03074430025"</f>
        <v>03074430025</v>
      </c>
      <c r="C2379" t="s">
        <v>2754</v>
      </c>
      <c r="D2379" t="s">
        <v>52</v>
      </c>
      <c r="E2379">
        <v>114</v>
      </c>
      <c r="F2379">
        <v>3800</v>
      </c>
      <c r="G2379" t="s">
        <v>2723</v>
      </c>
      <c r="H2379" t="s">
        <v>44</v>
      </c>
      <c r="I2379" t="s">
        <v>45</v>
      </c>
      <c r="J2379" t="s">
        <v>44</v>
      </c>
      <c r="K2379" t="s">
        <v>45</v>
      </c>
      <c r="L2379">
        <v>5</v>
      </c>
      <c r="M2379" t="s">
        <v>65</v>
      </c>
      <c r="N2379" t="s">
        <v>46</v>
      </c>
    </row>
    <row r="2380" spans="1:14" x14ac:dyDescent="0.2">
      <c r="A2380" s="3">
        <f t="shared" si="39"/>
        <v>307445</v>
      </c>
      <c r="B2380" t="str">
        <f>"03074450001"</f>
        <v>03074450001</v>
      </c>
      <c r="C2380" t="s">
        <v>2755</v>
      </c>
      <c r="D2380" t="s">
        <v>52</v>
      </c>
      <c r="E2380">
        <v>114</v>
      </c>
      <c r="F2380">
        <v>4691</v>
      </c>
      <c r="G2380" t="s">
        <v>1268</v>
      </c>
      <c r="H2380" t="s">
        <v>44</v>
      </c>
      <c r="I2380" t="s">
        <v>45</v>
      </c>
      <c r="J2380" t="s">
        <v>44</v>
      </c>
      <c r="K2380" t="s">
        <v>45</v>
      </c>
      <c r="L2380">
        <v>5</v>
      </c>
      <c r="M2380" t="s">
        <v>65</v>
      </c>
      <c r="N2380" t="s">
        <v>46</v>
      </c>
    </row>
    <row r="2381" spans="1:14" x14ac:dyDescent="0.2">
      <c r="A2381" s="3">
        <f t="shared" si="39"/>
        <v>307458</v>
      </c>
      <c r="B2381" t="str">
        <f>"03074580205"</f>
        <v>03074580205</v>
      </c>
      <c r="C2381" t="s">
        <v>2756</v>
      </c>
      <c r="D2381" t="s">
        <v>52</v>
      </c>
      <c r="E2381">
        <v>114</v>
      </c>
      <c r="F2381">
        <v>3278</v>
      </c>
      <c r="G2381" t="s">
        <v>2757</v>
      </c>
      <c r="H2381" t="s">
        <v>44</v>
      </c>
      <c r="I2381" t="s">
        <v>45</v>
      </c>
      <c r="J2381" t="s">
        <v>44</v>
      </c>
      <c r="K2381" t="s">
        <v>45</v>
      </c>
      <c r="L2381">
        <v>5</v>
      </c>
      <c r="M2381" t="s">
        <v>65</v>
      </c>
      <c r="N2381" t="s">
        <v>46</v>
      </c>
    </row>
    <row r="2382" spans="1:14" x14ac:dyDescent="0.2">
      <c r="A2382" s="3">
        <f t="shared" si="39"/>
        <v>307459</v>
      </c>
      <c r="B2382" t="str">
        <f>"03074590021"</f>
        <v>03074590021</v>
      </c>
      <c r="C2382" t="s">
        <v>2758</v>
      </c>
      <c r="D2382" t="s">
        <v>52</v>
      </c>
      <c r="E2382">
        <v>114</v>
      </c>
      <c r="F2382">
        <v>4691</v>
      </c>
      <c r="G2382" t="s">
        <v>1268</v>
      </c>
      <c r="H2382" t="s">
        <v>44</v>
      </c>
      <c r="I2382" t="s">
        <v>45</v>
      </c>
      <c r="J2382" t="s">
        <v>44</v>
      </c>
      <c r="K2382" t="s">
        <v>45</v>
      </c>
      <c r="L2382">
        <v>5</v>
      </c>
      <c r="M2382" t="s">
        <v>65</v>
      </c>
      <c r="N2382" t="s">
        <v>46</v>
      </c>
    </row>
    <row r="2383" spans="1:14" x14ac:dyDescent="0.2">
      <c r="A2383" s="3">
        <f t="shared" si="39"/>
        <v>307460</v>
      </c>
      <c r="B2383" t="str">
        <f>"03074600020"</f>
        <v>03074600020</v>
      </c>
      <c r="C2383" t="s">
        <v>2759</v>
      </c>
      <c r="D2383" t="s">
        <v>52</v>
      </c>
      <c r="E2383">
        <v>114</v>
      </c>
      <c r="F2383">
        <v>550</v>
      </c>
      <c r="G2383" t="s">
        <v>2760</v>
      </c>
      <c r="H2383" t="s">
        <v>44</v>
      </c>
      <c r="I2383" t="s">
        <v>45</v>
      </c>
      <c r="J2383" t="s">
        <v>44</v>
      </c>
      <c r="K2383" t="s">
        <v>45</v>
      </c>
      <c r="L2383">
        <v>5</v>
      </c>
      <c r="M2383" t="s">
        <v>65</v>
      </c>
      <c r="N2383" t="s">
        <v>46</v>
      </c>
    </row>
    <row r="2384" spans="1:14" x14ac:dyDescent="0.2">
      <c r="A2384" s="3">
        <f t="shared" si="39"/>
        <v>307468</v>
      </c>
      <c r="B2384" t="str">
        <f>"03074680020"</f>
        <v>03074680020</v>
      </c>
      <c r="C2384" t="s">
        <v>2761</v>
      </c>
      <c r="D2384" t="s">
        <v>52</v>
      </c>
      <c r="E2384">
        <v>114</v>
      </c>
      <c r="F2384">
        <v>1729</v>
      </c>
      <c r="G2384" t="s">
        <v>2748</v>
      </c>
      <c r="H2384" t="s">
        <v>44</v>
      </c>
      <c r="I2384" t="s">
        <v>45</v>
      </c>
      <c r="J2384" t="s">
        <v>44</v>
      </c>
      <c r="K2384" t="s">
        <v>45</v>
      </c>
      <c r="L2384">
        <v>6</v>
      </c>
      <c r="M2384">
        <v>3256</v>
      </c>
      <c r="N2384" t="s">
        <v>46</v>
      </c>
    </row>
    <row r="2385" spans="1:14" x14ac:dyDescent="0.2">
      <c r="A2385" s="3">
        <f t="shared" si="39"/>
        <v>307470</v>
      </c>
      <c r="B2385" t="str">
        <f>"03074700018"</f>
        <v>03074700018</v>
      </c>
      <c r="C2385" t="s">
        <v>2762</v>
      </c>
      <c r="D2385" t="s">
        <v>52</v>
      </c>
      <c r="E2385">
        <v>114</v>
      </c>
      <c r="F2385">
        <v>4691</v>
      </c>
      <c r="G2385" t="s">
        <v>1268</v>
      </c>
      <c r="H2385" t="s">
        <v>44</v>
      </c>
      <c r="I2385" t="s">
        <v>45</v>
      </c>
      <c r="J2385" t="s">
        <v>44</v>
      </c>
      <c r="K2385" t="s">
        <v>45</v>
      </c>
      <c r="L2385">
        <v>5</v>
      </c>
      <c r="M2385" t="s">
        <v>65</v>
      </c>
      <c r="N2385" t="s">
        <v>46</v>
      </c>
    </row>
    <row r="2386" spans="1:14" x14ac:dyDescent="0.2">
      <c r="A2386" s="3">
        <f t="shared" si="39"/>
        <v>307472</v>
      </c>
      <c r="B2386" t="str">
        <f>"03074720020"</f>
        <v>03074720020</v>
      </c>
      <c r="C2386" t="s">
        <v>2763</v>
      </c>
      <c r="D2386" t="s">
        <v>52</v>
      </c>
      <c r="E2386">
        <v>114</v>
      </c>
      <c r="F2386">
        <v>2608</v>
      </c>
      <c r="G2386" t="s">
        <v>2764</v>
      </c>
      <c r="H2386" t="s">
        <v>44</v>
      </c>
      <c r="I2386" t="s">
        <v>45</v>
      </c>
      <c r="J2386" t="s">
        <v>44</v>
      </c>
      <c r="K2386" t="s">
        <v>45</v>
      </c>
      <c r="L2386">
        <v>5</v>
      </c>
      <c r="M2386" t="s">
        <v>65</v>
      </c>
      <c r="N2386" t="s">
        <v>46</v>
      </c>
    </row>
    <row r="2387" spans="1:14" x14ac:dyDescent="0.2">
      <c r="A2387" s="3">
        <f t="shared" si="39"/>
        <v>307476</v>
      </c>
      <c r="B2387" t="str">
        <f>"03074760020"</f>
        <v>03074760020</v>
      </c>
      <c r="C2387" t="s">
        <v>2765</v>
      </c>
      <c r="D2387" t="s">
        <v>52</v>
      </c>
      <c r="E2387">
        <v>114</v>
      </c>
      <c r="F2387">
        <v>4691</v>
      </c>
      <c r="G2387" t="s">
        <v>1268</v>
      </c>
      <c r="H2387" t="s">
        <v>44</v>
      </c>
      <c r="I2387" t="s">
        <v>45</v>
      </c>
      <c r="J2387" t="s">
        <v>44</v>
      </c>
      <c r="K2387" t="s">
        <v>45</v>
      </c>
      <c r="L2387">
        <v>5</v>
      </c>
      <c r="M2387" t="s">
        <v>65</v>
      </c>
      <c r="N2387" t="s">
        <v>46</v>
      </c>
    </row>
    <row r="2388" spans="1:14" x14ac:dyDescent="0.2">
      <c r="A2388" s="3">
        <f t="shared" si="39"/>
        <v>307480</v>
      </c>
      <c r="B2388" t="str">
        <f>"03074800012"</f>
        <v>03074800012</v>
      </c>
      <c r="C2388" t="s">
        <v>2766</v>
      </c>
      <c r="D2388" t="s">
        <v>52</v>
      </c>
      <c r="E2388">
        <v>114</v>
      </c>
      <c r="F2388">
        <v>4691</v>
      </c>
      <c r="G2388" t="s">
        <v>1268</v>
      </c>
      <c r="H2388" t="s">
        <v>44</v>
      </c>
      <c r="I2388" t="s">
        <v>45</v>
      </c>
      <c r="J2388" t="s">
        <v>44</v>
      </c>
      <c r="K2388" t="s">
        <v>45</v>
      </c>
      <c r="L2388">
        <v>5</v>
      </c>
      <c r="M2388" t="s">
        <v>65</v>
      </c>
      <c r="N2388" t="s">
        <v>46</v>
      </c>
    </row>
    <row r="2389" spans="1:14" x14ac:dyDescent="0.2">
      <c r="A2389" s="3">
        <f t="shared" si="39"/>
        <v>307482</v>
      </c>
      <c r="B2389" t="str">
        <f>"03074820024"</f>
        <v>03074820024</v>
      </c>
      <c r="C2389" t="s">
        <v>2767</v>
      </c>
      <c r="D2389" t="s">
        <v>52</v>
      </c>
      <c r="E2389">
        <v>114</v>
      </c>
      <c r="F2389">
        <v>231</v>
      </c>
      <c r="G2389" t="s">
        <v>2768</v>
      </c>
      <c r="H2389" t="s">
        <v>44</v>
      </c>
      <c r="I2389" t="s">
        <v>45</v>
      </c>
      <c r="J2389" t="s">
        <v>44</v>
      </c>
      <c r="K2389" t="s">
        <v>45</v>
      </c>
      <c r="L2389">
        <v>5</v>
      </c>
      <c r="M2389" t="s">
        <v>65</v>
      </c>
      <c r="N2389" t="s">
        <v>46</v>
      </c>
    </row>
    <row r="2390" spans="1:14" x14ac:dyDescent="0.2">
      <c r="A2390" s="3">
        <f t="shared" si="39"/>
        <v>307484</v>
      </c>
      <c r="B2390" t="str">
        <f>"03074840008"</f>
        <v>03074840008</v>
      </c>
      <c r="C2390" t="s">
        <v>2769</v>
      </c>
      <c r="D2390" t="s">
        <v>52</v>
      </c>
      <c r="E2390">
        <v>120</v>
      </c>
      <c r="F2390">
        <v>4691</v>
      </c>
      <c r="G2390" t="s">
        <v>1268</v>
      </c>
      <c r="H2390" t="s">
        <v>44</v>
      </c>
      <c r="I2390" t="s">
        <v>45</v>
      </c>
      <c r="J2390" t="s">
        <v>44</v>
      </c>
      <c r="K2390" t="s">
        <v>45</v>
      </c>
      <c r="L2390">
        <v>5</v>
      </c>
      <c r="M2390" t="s">
        <v>65</v>
      </c>
      <c r="N2390" t="s">
        <v>46</v>
      </c>
    </row>
    <row r="2391" spans="1:14" x14ac:dyDescent="0.2">
      <c r="A2391" s="3">
        <f t="shared" si="39"/>
        <v>307488</v>
      </c>
      <c r="B2391" t="str">
        <f>"03074880004"</f>
        <v>03074880004</v>
      </c>
      <c r="C2391" t="s">
        <v>2770</v>
      </c>
      <c r="D2391" t="s">
        <v>52</v>
      </c>
      <c r="E2391">
        <v>112</v>
      </c>
      <c r="F2391">
        <v>4691</v>
      </c>
      <c r="G2391" t="s">
        <v>1268</v>
      </c>
      <c r="H2391" t="s">
        <v>44</v>
      </c>
      <c r="I2391" t="s">
        <v>45</v>
      </c>
      <c r="J2391" t="s">
        <v>44</v>
      </c>
      <c r="K2391" t="s">
        <v>45</v>
      </c>
      <c r="L2391">
        <v>5</v>
      </c>
      <c r="M2391" t="s">
        <v>65</v>
      </c>
      <c r="N2391" t="s">
        <v>46</v>
      </c>
    </row>
    <row r="2392" spans="1:14" x14ac:dyDescent="0.2">
      <c r="A2392" s="3">
        <f t="shared" si="39"/>
        <v>307609</v>
      </c>
      <c r="B2392" t="str">
        <f>"03076090010"</f>
        <v>03076090010</v>
      </c>
      <c r="C2392" t="s">
        <v>2771</v>
      </c>
      <c r="D2392" t="s">
        <v>52</v>
      </c>
      <c r="E2392">
        <v>115</v>
      </c>
      <c r="F2392">
        <v>3755</v>
      </c>
      <c r="G2392" t="s">
        <v>2772</v>
      </c>
      <c r="H2392" t="s">
        <v>44</v>
      </c>
      <c r="I2392" t="s">
        <v>45</v>
      </c>
      <c r="J2392" t="s">
        <v>44</v>
      </c>
      <c r="K2392" t="s">
        <v>45</v>
      </c>
      <c r="L2392">
        <v>5</v>
      </c>
      <c r="M2392" t="s">
        <v>65</v>
      </c>
      <c r="N2392" t="s">
        <v>46</v>
      </c>
    </row>
    <row r="2393" spans="1:14" x14ac:dyDescent="0.2">
      <c r="A2393" s="3">
        <f t="shared" si="39"/>
        <v>307619</v>
      </c>
      <c r="B2393" t="str">
        <f>"03076190006"</f>
        <v>03076190006</v>
      </c>
      <c r="C2393" t="s">
        <v>2773</v>
      </c>
      <c r="D2393" t="s">
        <v>52</v>
      </c>
      <c r="E2393">
        <v>122</v>
      </c>
      <c r="F2393">
        <v>4691</v>
      </c>
      <c r="G2393" t="s">
        <v>1268</v>
      </c>
      <c r="H2393" t="s">
        <v>44</v>
      </c>
      <c r="I2393" t="s">
        <v>45</v>
      </c>
      <c r="J2393" t="s">
        <v>44</v>
      </c>
      <c r="K2393" t="s">
        <v>45</v>
      </c>
      <c r="L2393">
        <v>6</v>
      </c>
      <c r="M2393">
        <v>2216</v>
      </c>
      <c r="N2393" t="s">
        <v>46</v>
      </c>
    </row>
    <row r="2394" spans="1:14" x14ac:dyDescent="0.2">
      <c r="A2394" s="3">
        <f t="shared" si="39"/>
        <v>307629</v>
      </c>
      <c r="B2394" t="str">
        <f>"03076290002"</f>
        <v>03076290002</v>
      </c>
      <c r="C2394" t="s">
        <v>2774</v>
      </c>
      <c r="D2394" t="s">
        <v>52</v>
      </c>
      <c r="E2394">
        <v>112</v>
      </c>
      <c r="F2394">
        <v>4691</v>
      </c>
      <c r="G2394" t="s">
        <v>1268</v>
      </c>
      <c r="H2394" t="s">
        <v>44</v>
      </c>
      <c r="I2394" t="s">
        <v>45</v>
      </c>
      <c r="J2394" t="s">
        <v>44</v>
      </c>
      <c r="K2394" t="s">
        <v>45</v>
      </c>
      <c r="L2394">
        <v>6</v>
      </c>
      <c r="M2394">
        <v>3249</v>
      </c>
      <c r="N2394" t="s">
        <v>46</v>
      </c>
    </row>
    <row r="2395" spans="1:14" x14ac:dyDescent="0.2">
      <c r="A2395" s="3">
        <f t="shared" si="39"/>
        <v>307695</v>
      </c>
      <c r="B2395" t="str">
        <f>"03076950010"</f>
        <v>03076950010</v>
      </c>
      <c r="C2395" t="s">
        <v>2586</v>
      </c>
      <c r="D2395" t="s">
        <v>52</v>
      </c>
      <c r="E2395">
        <v>112</v>
      </c>
      <c r="F2395">
        <v>2063</v>
      </c>
      <c r="G2395" t="s">
        <v>2558</v>
      </c>
      <c r="H2395" t="s">
        <v>44</v>
      </c>
      <c r="I2395" t="s">
        <v>45</v>
      </c>
      <c r="J2395" t="s">
        <v>44</v>
      </c>
      <c r="K2395" t="s">
        <v>45</v>
      </c>
      <c r="L2395">
        <v>6</v>
      </c>
      <c r="M2395">
        <v>1312</v>
      </c>
      <c r="N2395" t="s">
        <v>46</v>
      </c>
    </row>
    <row r="2396" spans="1:14" x14ac:dyDescent="0.2">
      <c r="A2396" s="3">
        <f t="shared" si="39"/>
        <v>307697</v>
      </c>
      <c r="B2396" t="str">
        <f>"03076970012"</f>
        <v>03076970012</v>
      </c>
      <c r="C2396" t="s">
        <v>2775</v>
      </c>
      <c r="D2396" t="s">
        <v>52</v>
      </c>
      <c r="E2396">
        <v>119</v>
      </c>
      <c r="F2396">
        <v>4691</v>
      </c>
      <c r="G2396" t="s">
        <v>1268</v>
      </c>
      <c r="H2396" t="s">
        <v>44</v>
      </c>
      <c r="I2396" t="s">
        <v>45</v>
      </c>
      <c r="J2396" t="s">
        <v>44</v>
      </c>
      <c r="K2396" t="s">
        <v>45</v>
      </c>
      <c r="L2396">
        <v>5</v>
      </c>
      <c r="M2396" t="s">
        <v>65</v>
      </c>
      <c r="N2396" t="s">
        <v>46</v>
      </c>
    </row>
    <row r="2397" spans="1:14" x14ac:dyDescent="0.2">
      <c r="A2397" s="3">
        <f t="shared" si="39"/>
        <v>307698</v>
      </c>
      <c r="B2397" t="str">
        <f>"03076980008"</f>
        <v>03076980008</v>
      </c>
      <c r="C2397" t="s">
        <v>2776</v>
      </c>
      <c r="D2397" t="s">
        <v>52</v>
      </c>
      <c r="E2397">
        <v>112</v>
      </c>
      <c r="F2397">
        <v>5857</v>
      </c>
      <c r="G2397" t="s">
        <v>2777</v>
      </c>
      <c r="H2397" t="s">
        <v>44</v>
      </c>
      <c r="I2397" t="s">
        <v>45</v>
      </c>
      <c r="J2397" t="s">
        <v>44</v>
      </c>
      <c r="K2397" t="s">
        <v>45</v>
      </c>
      <c r="L2397">
        <v>5</v>
      </c>
      <c r="M2397" t="s">
        <v>65</v>
      </c>
      <c r="N2397" t="s">
        <v>46</v>
      </c>
    </row>
    <row r="2398" spans="1:14" x14ac:dyDescent="0.2">
      <c r="A2398" s="3">
        <f t="shared" si="39"/>
        <v>307737</v>
      </c>
      <c r="B2398" t="str">
        <f>"03077370030"</f>
        <v>03077370030</v>
      </c>
      <c r="C2398" t="s">
        <v>2778</v>
      </c>
      <c r="D2398" t="s">
        <v>52</v>
      </c>
      <c r="E2398">
        <v>116</v>
      </c>
      <c r="F2398">
        <v>5998</v>
      </c>
      <c r="G2398" t="s">
        <v>2064</v>
      </c>
      <c r="H2398" t="s">
        <v>44</v>
      </c>
      <c r="I2398" t="s">
        <v>45</v>
      </c>
      <c r="J2398" t="s">
        <v>44</v>
      </c>
      <c r="K2398" t="s">
        <v>45</v>
      </c>
      <c r="L2398">
        <v>6</v>
      </c>
      <c r="M2398">
        <v>1228</v>
      </c>
      <c r="N2398" t="s">
        <v>46</v>
      </c>
    </row>
    <row r="2399" spans="1:14" x14ac:dyDescent="0.2">
      <c r="A2399" s="3">
        <f t="shared" si="39"/>
        <v>307751</v>
      </c>
      <c r="B2399" t="str">
        <f>"03077510010"</f>
        <v>03077510010</v>
      </c>
      <c r="C2399" t="s">
        <v>2779</v>
      </c>
      <c r="D2399" t="s">
        <v>52</v>
      </c>
      <c r="E2399">
        <v>116</v>
      </c>
      <c r="F2399">
        <v>3256</v>
      </c>
      <c r="G2399" t="s">
        <v>2780</v>
      </c>
      <c r="H2399" t="s">
        <v>44</v>
      </c>
      <c r="I2399" t="s">
        <v>45</v>
      </c>
      <c r="J2399" t="s">
        <v>44</v>
      </c>
      <c r="K2399" t="s">
        <v>45</v>
      </c>
      <c r="L2399">
        <v>6</v>
      </c>
      <c r="M2399">
        <v>1214</v>
      </c>
      <c r="N2399" t="s">
        <v>46</v>
      </c>
    </row>
    <row r="2400" spans="1:14" x14ac:dyDescent="0.2">
      <c r="A2400" s="3">
        <f t="shared" si="39"/>
        <v>307752</v>
      </c>
      <c r="B2400" t="str">
        <f>"03077520010"</f>
        <v>03077520010</v>
      </c>
      <c r="C2400" t="s">
        <v>2781</v>
      </c>
      <c r="D2400" t="s">
        <v>52</v>
      </c>
      <c r="E2400">
        <v>116</v>
      </c>
      <c r="F2400">
        <v>3256</v>
      </c>
      <c r="G2400" t="s">
        <v>2780</v>
      </c>
      <c r="H2400" t="s">
        <v>44</v>
      </c>
      <c r="I2400" t="s">
        <v>45</v>
      </c>
      <c r="J2400" t="s">
        <v>44</v>
      </c>
      <c r="K2400" t="s">
        <v>45</v>
      </c>
      <c r="L2400">
        <v>6</v>
      </c>
      <c r="M2400">
        <v>1215</v>
      </c>
      <c r="N2400" t="s">
        <v>46</v>
      </c>
    </row>
    <row r="2401" spans="1:14" x14ac:dyDescent="0.2">
      <c r="A2401" s="3">
        <f t="shared" si="39"/>
        <v>307772</v>
      </c>
      <c r="B2401" t="str">
        <f>"03077720020"</f>
        <v>03077720020</v>
      </c>
      <c r="C2401" t="s">
        <v>2782</v>
      </c>
      <c r="D2401" t="s">
        <v>52</v>
      </c>
      <c r="E2401">
        <v>100</v>
      </c>
      <c r="F2401">
        <v>4289</v>
      </c>
      <c r="G2401" t="s">
        <v>2783</v>
      </c>
      <c r="H2401" t="s">
        <v>44</v>
      </c>
      <c r="I2401" t="s">
        <v>45</v>
      </c>
      <c r="J2401" t="s">
        <v>44</v>
      </c>
      <c r="K2401" t="s">
        <v>45</v>
      </c>
      <c r="L2401">
        <v>6</v>
      </c>
      <c r="M2401">
        <v>3251</v>
      </c>
      <c r="N2401" t="s">
        <v>46</v>
      </c>
    </row>
    <row r="2402" spans="1:14" x14ac:dyDescent="0.2">
      <c r="A2402" s="3">
        <f t="shared" si="39"/>
        <v>307787</v>
      </c>
      <c r="B2402" t="str">
        <f>"03077870020"</f>
        <v>03077870020</v>
      </c>
      <c r="C2402" t="s">
        <v>2784</v>
      </c>
      <c r="D2402" t="s">
        <v>52</v>
      </c>
      <c r="E2402">
        <v>100</v>
      </c>
      <c r="F2402">
        <v>2506</v>
      </c>
      <c r="G2402" t="s">
        <v>2785</v>
      </c>
      <c r="H2402" t="s">
        <v>44</v>
      </c>
      <c r="I2402" t="s">
        <v>45</v>
      </c>
      <c r="J2402" t="s">
        <v>44</v>
      </c>
      <c r="K2402" t="s">
        <v>45</v>
      </c>
      <c r="L2402">
        <v>6</v>
      </c>
      <c r="M2402">
        <v>3252</v>
      </c>
      <c r="N2402" t="s">
        <v>46</v>
      </c>
    </row>
    <row r="2403" spans="1:14" x14ac:dyDescent="0.2">
      <c r="A2403" s="3">
        <f t="shared" si="39"/>
        <v>307796</v>
      </c>
      <c r="B2403" t="str">
        <f>"03077960020"</f>
        <v>03077960020</v>
      </c>
      <c r="C2403" t="s">
        <v>2786</v>
      </c>
      <c r="D2403" t="s">
        <v>52</v>
      </c>
      <c r="E2403">
        <v>100</v>
      </c>
      <c r="F2403">
        <v>4691</v>
      </c>
      <c r="G2403" t="s">
        <v>1268</v>
      </c>
      <c r="H2403" t="s">
        <v>44</v>
      </c>
      <c r="I2403" t="s">
        <v>45</v>
      </c>
      <c r="J2403" t="s">
        <v>44</v>
      </c>
      <c r="K2403" t="s">
        <v>45</v>
      </c>
      <c r="L2403">
        <v>5</v>
      </c>
      <c r="M2403" t="s">
        <v>65</v>
      </c>
      <c r="N2403" t="s">
        <v>46</v>
      </c>
    </row>
    <row r="2404" spans="1:14" x14ac:dyDescent="0.2">
      <c r="A2404" s="3">
        <f t="shared" si="39"/>
        <v>307804</v>
      </c>
      <c r="B2404" t="str">
        <f>"03078040020"</f>
        <v>03078040020</v>
      </c>
      <c r="C2404" t="s">
        <v>2787</v>
      </c>
      <c r="D2404" t="s">
        <v>52</v>
      </c>
      <c r="E2404">
        <v>100</v>
      </c>
      <c r="F2404">
        <v>4691</v>
      </c>
      <c r="G2404" t="s">
        <v>1268</v>
      </c>
      <c r="H2404" t="s">
        <v>44</v>
      </c>
      <c r="I2404" t="s">
        <v>45</v>
      </c>
      <c r="J2404" t="s">
        <v>44</v>
      </c>
      <c r="K2404" t="s">
        <v>45</v>
      </c>
      <c r="L2404">
        <v>5</v>
      </c>
      <c r="M2404" t="s">
        <v>65</v>
      </c>
      <c r="N2404" t="s">
        <v>46</v>
      </c>
    </row>
    <row r="2405" spans="1:14" x14ac:dyDescent="0.2">
      <c r="A2405" s="3">
        <f t="shared" si="39"/>
        <v>307807</v>
      </c>
      <c r="B2405" t="str">
        <f>"03078070016"</f>
        <v>03078070016</v>
      </c>
      <c r="C2405" t="s">
        <v>2788</v>
      </c>
      <c r="D2405" t="s">
        <v>52</v>
      </c>
      <c r="E2405">
        <v>100</v>
      </c>
      <c r="F2405">
        <v>1070</v>
      </c>
      <c r="G2405" t="s">
        <v>2789</v>
      </c>
      <c r="H2405" t="s">
        <v>44</v>
      </c>
      <c r="I2405" t="s">
        <v>45</v>
      </c>
      <c r="J2405" t="s">
        <v>44</v>
      </c>
      <c r="K2405" t="s">
        <v>45</v>
      </c>
      <c r="L2405">
        <v>6</v>
      </c>
      <c r="M2405">
        <v>3253</v>
      </c>
      <c r="N2405" t="s">
        <v>46</v>
      </c>
    </row>
    <row r="2406" spans="1:14" x14ac:dyDescent="0.2">
      <c r="A2406" s="3">
        <f t="shared" si="39"/>
        <v>307813</v>
      </c>
      <c r="B2406" t="str">
        <f>"03078130016"</f>
        <v>03078130016</v>
      </c>
      <c r="C2406" t="s">
        <v>2790</v>
      </c>
      <c r="D2406" t="s">
        <v>52</v>
      </c>
      <c r="E2406">
        <v>100</v>
      </c>
      <c r="F2406">
        <v>4691</v>
      </c>
      <c r="G2406" t="s">
        <v>1268</v>
      </c>
      <c r="H2406" t="s">
        <v>44</v>
      </c>
      <c r="I2406" t="s">
        <v>45</v>
      </c>
      <c r="J2406" t="s">
        <v>44</v>
      </c>
      <c r="K2406" t="s">
        <v>45</v>
      </c>
      <c r="L2406">
        <v>5</v>
      </c>
      <c r="M2406" t="s">
        <v>65</v>
      </c>
      <c r="N2406" t="s">
        <v>46</v>
      </c>
    </row>
    <row r="2407" spans="1:14" x14ac:dyDescent="0.2">
      <c r="A2407" s="3">
        <f t="shared" si="39"/>
        <v>307819</v>
      </c>
      <c r="B2407" t="str">
        <f>"03078190020"</f>
        <v>03078190020</v>
      </c>
      <c r="C2407" t="s">
        <v>2791</v>
      </c>
      <c r="D2407" t="s">
        <v>52</v>
      </c>
      <c r="E2407">
        <v>100</v>
      </c>
      <c r="F2407">
        <v>4691</v>
      </c>
      <c r="G2407" t="s">
        <v>1268</v>
      </c>
      <c r="H2407" t="s">
        <v>44</v>
      </c>
      <c r="I2407" t="s">
        <v>45</v>
      </c>
      <c r="J2407" t="s">
        <v>44</v>
      </c>
      <c r="K2407" t="s">
        <v>45</v>
      </c>
      <c r="L2407">
        <v>5</v>
      </c>
      <c r="M2407" t="s">
        <v>65</v>
      </c>
      <c r="N2407" t="s">
        <v>46</v>
      </c>
    </row>
    <row r="2408" spans="1:14" x14ac:dyDescent="0.2">
      <c r="A2408" s="3">
        <f t="shared" si="39"/>
        <v>307825</v>
      </c>
      <c r="B2408" t="str">
        <f>"03078250020"</f>
        <v>03078250020</v>
      </c>
      <c r="C2408" t="s">
        <v>2792</v>
      </c>
      <c r="D2408" t="s">
        <v>52</v>
      </c>
      <c r="E2408">
        <v>100</v>
      </c>
      <c r="F2408">
        <v>947</v>
      </c>
      <c r="G2408" t="s">
        <v>2793</v>
      </c>
      <c r="H2408" t="s">
        <v>44</v>
      </c>
      <c r="I2408" t="s">
        <v>45</v>
      </c>
      <c r="J2408" t="s">
        <v>44</v>
      </c>
      <c r="K2408" t="s">
        <v>45</v>
      </c>
      <c r="L2408">
        <v>6</v>
      </c>
      <c r="M2408">
        <v>3254</v>
      </c>
      <c r="N2408" t="s">
        <v>46</v>
      </c>
    </row>
    <row r="2409" spans="1:14" x14ac:dyDescent="0.2">
      <c r="A2409" s="3">
        <f t="shared" si="39"/>
        <v>307894</v>
      </c>
      <c r="B2409" t="str">
        <f>"03078940014"</f>
        <v>03078940014</v>
      </c>
      <c r="C2409" t="s">
        <v>2794</v>
      </c>
      <c r="D2409" t="s">
        <v>52</v>
      </c>
      <c r="E2409">
        <v>100</v>
      </c>
      <c r="F2409">
        <v>4691</v>
      </c>
      <c r="G2409" t="s">
        <v>1268</v>
      </c>
      <c r="H2409" t="s">
        <v>44</v>
      </c>
      <c r="I2409" t="s">
        <v>45</v>
      </c>
      <c r="J2409" t="s">
        <v>44</v>
      </c>
      <c r="K2409" t="s">
        <v>45</v>
      </c>
      <c r="L2409">
        <v>5</v>
      </c>
      <c r="M2409" t="s">
        <v>65</v>
      </c>
      <c r="N2409" t="s">
        <v>46</v>
      </c>
    </row>
    <row r="2410" spans="1:14" x14ac:dyDescent="0.2">
      <c r="A2410" s="3">
        <f t="shared" si="39"/>
        <v>307897</v>
      </c>
      <c r="B2410" t="str">
        <f>"03078970014"</f>
        <v>03078970014</v>
      </c>
      <c r="C2410" t="s">
        <v>2795</v>
      </c>
      <c r="D2410" t="s">
        <v>52</v>
      </c>
      <c r="E2410">
        <v>100</v>
      </c>
      <c r="F2410">
        <v>4691</v>
      </c>
      <c r="G2410" t="s">
        <v>1268</v>
      </c>
      <c r="H2410" t="s">
        <v>44</v>
      </c>
      <c r="I2410" t="s">
        <v>45</v>
      </c>
      <c r="J2410" t="s">
        <v>44</v>
      </c>
      <c r="K2410" t="s">
        <v>45</v>
      </c>
      <c r="L2410">
        <v>5</v>
      </c>
      <c r="M2410" t="s">
        <v>65</v>
      </c>
      <c r="N2410" t="s">
        <v>46</v>
      </c>
    </row>
    <row r="2411" spans="1:14" x14ac:dyDescent="0.2">
      <c r="A2411" s="3">
        <f t="shared" si="39"/>
        <v>307899</v>
      </c>
      <c r="B2411" t="str">
        <f>"03078990014"</f>
        <v>03078990014</v>
      </c>
      <c r="C2411" t="s">
        <v>2796</v>
      </c>
      <c r="D2411" t="s">
        <v>52</v>
      </c>
      <c r="E2411">
        <v>100</v>
      </c>
      <c r="F2411">
        <v>4691</v>
      </c>
      <c r="G2411" t="s">
        <v>1268</v>
      </c>
      <c r="H2411" t="s">
        <v>44</v>
      </c>
      <c r="I2411" t="s">
        <v>45</v>
      </c>
      <c r="J2411" t="s">
        <v>44</v>
      </c>
      <c r="K2411" t="s">
        <v>45</v>
      </c>
      <c r="L2411">
        <v>5</v>
      </c>
      <c r="M2411" t="s">
        <v>65</v>
      </c>
      <c r="N2411" t="s">
        <v>46</v>
      </c>
    </row>
    <row r="2412" spans="1:14" x14ac:dyDescent="0.2">
      <c r="A2412" s="3">
        <f t="shared" si="39"/>
        <v>307948</v>
      </c>
      <c r="B2412" t="str">
        <f>"03079480016"</f>
        <v>03079480016</v>
      </c>
      <c r="C2412" t="s">
        <v>2797</v>
      </c>
      <c r="D2412" t="s">
        <v>52</v>
      </c>
      <c r="E2412">
        <v>100</v>
      </c>
      <c r="F2412">
        <v>4691</v>
      </c>
      <c r="G2412" t="s">
        <v>1268</v>
      </c>
      <c r="H2412" t="s">
        <v>44</v>
      </c>
      <c r="I2412" t="s">
        <v>45</v>
      </c>
      <c r="J2412" t="s">
        <v>44</v>
      </c>
      <c r="K2412" t="s">
        <v>45</v>
      </c>
      <c r="L2412">
        <v>5</v>
      </c>
      <c r="M2412" t="s">
        <v>65</v>
      </c>
      <c r="N2412" t="s">
        <v>46</v>
      </c>
    </row>
    <row r="2413" spans="1:14" x14ac:dyDescent="0.2">
      <c r="A2413" s="3">
        <f t="shared" si="39"/>
        <v>307949</v>
      </c>
      <c r="B2413" t="str">
        <f>"03079490014"</f>
        <v>03079490014</v>
      </c>
      <c r="C2413" t="s">
        <v>2798</v>
      </c>
      <c r="D2413" t="s">
        <v>52</v>
      </c>
      <c r="E2413">
        <v>100</v>
      </c>
      <c r="F2413">
        <v>4691</v>
      </c>
      <c r="G2413" t="s">
        <v>1268</v>
      </c>
      <c r="H2413" t="s">
        <v>44</v>
      </c>
      <c r="I2413" t="s">
        <v>45</v>
      </c>
      <c r="J2413" t="s">
        <v>44</v>
      </c>
      <c r="K2413" t="s">
        <v>45</v>
      </c>
      <c r="L2413">
        <v>5</v>
      </c>
      <c r="M2413" t="s">
        <v>65</v>
      </c>
      <c r="N2413" t="s">
        <v>46</v>
      </c>
    </row>
    <row r="2414" spans="1:14" x14ac:dyDescent="0.2">
      <c r="A2414" s="3">
        <f t="shared" si="39"/>
        <v>308016</v>
      </c>
      <c r="B2414" t="str">
        <f>"03080160012"</f>
        <v>03080160012</v>
      </c>
      <c r="C2414" t="s">
        <v>2799</v>
      </c>
      <c r="D2414" t="s">
        <v>52</v>
      </c>
      <c r="E2414">
        <v>100</v>
      </c>
      <c r="F2414">
        <v>4691</v>
      </c>
      <c r="G2414" t="s">
        <v>1268</v>
      </c>
      <c r="H2414" t="s">
        <v>44</v>
      </c>
      <c r="I2414" t="s">
        <v>45</v>
      </c>
      <c r="J2414" t="s">
        <v>44</v>
      </c>
      <c r="K2414" t="s">
        <v>45</v>
      </c>
      <c r="L2414">
        <v>5</v>
      </c>
      <c r="M2414" t="s">
        <v>65</v>
      </c>
      <c r="N2414" t="s">
        <v>46</v>
      </c>
    </row>
    <row r="2415" spans="1:14" x14ac:dyDescent="0.2">
      <c r="A2415" s="3">
        <f t="shared" si="39"/>
        <v>308018</v>
      </c>
      <c r="B2415" t="str">
        <f>"03080180012"</f>
        <v>03080180012</v>
      </c>
      <c r="C2415" t="s">
        <v>2800</v>
      </c>
      <c r="D2415" t="s">
        <v>52</v>
      </c>
      <c r="E2415">
        <v>100</v>
      </c>
      <c r="F2415">
        <v>4691</v>
      </c>
      <c r="G2415" t="s">
        <v>1268</v>
      </c>
      <c r="H2415" t="s">
        <v>44</v>
      </c>
      <c r="I2415" t="s">
        <v>45</v>
      </c>
      <c r="J2415" t="s">
        <v>44</v>
      </c>
      <c r="K2415" t="s">
        <v>45</v>
      </c>
      <c r="L2415">
        <v>5</v>
      </c>
      <c r="M2415" t="s">
        <v>65</v>
      </c>
      <c r="N2415" t="s">
        <v>46</v>
      </c>
    </row>
    <row r="2416" spans="1:14" x14ac:dyDescent="0.2">
      <c r="A2416" s="3">
        <f t="shared" si="39"/>
        <v>308045</v>
      </c>
      <c r="B2416" t="str">
        <f>"03080450012"</f>
        <v>03080450012</v>
      </c>
      <c r="C2416" t="s">
        <v>2801</v>
      </c>
      <c r="D2416" t="s">
        <v>52</v>
      </c>
      <c r="E2416">
        <v>100</v>
      </c>
      <c r="F2416">
        <v>4691</v>
      </c>
      <c r="G2416" t="s">
        <v>1268</v>
      </c>
      <c r="H2416" t="s">
        <v>44</v>
      </c>
      <c r="I2416" t="s">
        <v>45</v>
      </c>
      <c r="J2416" t="s">
        <v>44</v>
      </c>
      <c r="K2416" t="s">
        <v>45</v>
      </c>
      <c r="L2416">
        <v>5</v>
      </c>
      <c r="M2416" t="s">
        <v>65</v>
      </c>
      <c r="N2416" t="s">
        <v>46</v>
      </c>
    </row>
    <row r="2417" spans="1:14" x14ac:dyDescent="0.2">
      <c r="A2417" s="3">
        <f t="shared" si="39"/>
        <v>308046</v>
      </c>
      <c r="B2417" t="str">
        <f>"03080460012"</f>
        <v>03080460012</v>
      </c>
      <c r="C2417" t="s">
        <v>2802</v>
      </c>
      <c r="D2417" t="s">
        <v>52</v>
      </c>
      <c r="E2417">
        <v>100</v>
      </c>
      <c r="F2417">
        <v>4691</v>
      </c>
      <c r="G2417" t="s">
        <v>1268</v>
      </c>
      <c r="H2417" t="s">
        <v>44</v>
      </c>
      <c r="I2417" t="s">
        <v>45</v>
      </c>
      <c r="J2417" t="s">
        <v>44</v>
      </c>
      <c r="K2417" t="s">
        <v>45</v>
      </c>
      <c r="L2417">
        <v>5</v>
      </c>
      <c r="M2417" t="s">
        <v>65</v>
      </c>
      <c r="N2417" t="s">
        <v>46</v>
      </c>
    </row>
    <row r="2418" spans="1:14" x14ac:dyDescent="0.2">
      <c r="A2418" s="3">
        <f t="shared" si="39"/>
        <v>308052</v>
      </c>
      <c r="B2418" t="str">
        <f>"03080520014"</f>
        <v>03080520014</v>
      </c>
      <c r="C2418" t="s">
        <v>2803</v>
      </c>
      <c r="D2418" t="s">
        <v>52</v>
      </c>
      <c r="E2418">
        <v>100</v>
      </c>
      <c r="F2418">
        <v>4691</v>
      </c>
      <c r="G2418" t="s">
        <v>1268</v>
      </c>
      <c r="H2418" t="s">
        <v>44</v>
      </c>
      <c r="I2418" t="s">
        <v>45</v>
      </c>
      <c r="J2418" t="s">
        <v>44</v>
      </c>
      <c r="K2418" t="s">
        <v>45</v>
      </c>
      <c r="L2418">
        <v>5</v>
      </c>
      <c r="M2418" t="s">
        <v>65</v>
      </c>
      <c r="N2418" t="s">
        <v>46</v>
      </c>
    </row>
    <row r="2419" spans="1:14" x14ac:dyDescent="0.2">
      <c r="A2419" s="3">
        <f t="shared" si="39"/>
        <v>308053</v>
      </c>
      <c r="B2419" t="str">
        <f>"03080530012"</f>
        <v>03080530012</v>
      </c>
      <c r="C2419" t="s">
        <v>2804</v>
      </c>
      <c r="D2419" t="s">
        <v>52</v>
      </c>
      <c r="E2419">
        <v>100</v>
      </c>
      <c r="F2419">
        <v>4691</v>
      </c>
      <c r="G2419" t="s">
        <v>1268</v>
      </c>
      <c r="H2419" t="s">
        <v>44</v>
      </c>
      <c r="I2419" t="s">
        <v>45</v>
      </c>
      <c r="J2419" t="s">
        <v>44</v>
      </c>
      <c r="K2419" t="s">
        <v>45</v>
      </c>
      <c r="L2419">
        <v>5</v>
      </c>
      <c r="M2419" t="s">
        <v>65</v>
      </c>
      <c r="N2419" t="s">
        <v>46</v>
      </c>
    </row>
    <row r="2420" spans="1:14" x14ac:dyDescent="0.2">
      <c r="A2420" s="3">
        <f t="shared" si="39"/>
        <v>308054</v>
      </c>
      <c r="B2420" t="str">
        <f>"03080540012"</f>
        <v>03080540012</v>
      </c>
      <c r="C2420" t="s">
        <v>2805</v>
      </c>
      <c r="D2420" t="s">
        <v>52</v>
      </c>
      <c r="E2420">
        <v>100</v>
      </c>
      <c r="F2420">
        <v>4691</v>
      </c>
      <c r="G2420" t="s">
        <v>1268</v>
      </c>
      <c r="H2420" t="s">
        <v>44</v>
      </c>
      <c r="I2420" t="s">
        <v>45</v>
      </c>
      <c r="J2420" t="s">
        <v>44</v>
      </c>
      <c r="K2420" t="s">
        <v>45</v>
      </c>
      <c r="L2420">
        <v>5</v>
      </c>
      <c r="M2420" t="s">
        <v>65</v>
      </c>
      <c r="N2420" t="s">
        <v>46</v>
      </c>
    </row>
    <row r="2421" spans="1:14" x14ac:dyDescent="0.2">
      <c r="A2421" s="3">
        <f t="shared" si="39"/>
        <v>308055</v>
      </c>
      <c r="B2421" t="str">
        <f>"03080550012"</f>
        <v>03080550012</v>
      </c>
      <c r="C2421" t="s">
        <v>2806</v>
      </c>
      <c r="D2421" t="s">
        <v>52</v>
      </c>
      <c r="E2421">
        <v>100</v>
      </c>
      <c r="F2421">
        <v>4691</v>
      </c>
      <c r="G2421" t="s">
        <v>1268</v>
      </c>
      <c r="H2421" t="s">
        <v>44</v>
      </c>
      <c r="I2421" t="s">
        <v>45</v>
      </c>
      <c r="J2421" t="s">
        <v>44</v>
      </c>
      <c r="K2421" t="s">
        <v>45</v>
      </c>
      <c r="L2421">
        <v>5</v>
      </c>
      <c r="M2421" t="s">
        <v>65</v>
      </c>
      <c r="N2421" t="s">
        <v>46</v>
      </c>
    </row>
    <row r="2422" spans="1:14" x14ac:dyDescent="0.2">
      <c r="A2422" s="3">
        <f t="shared" si="39"/>
        <v>308077</v>
      </c>
      <c r="B2422" t="str">
        <f>"03080770012"</f>
        <v>03080770012</v>
      </c>
      <c r="C2422" t="s">
        <v>2807</v>
      </c>
      <c r="D2422" t="s">
        <v>52</v>
      </c>
      <c r="E2422">
        <v>100</v>
      </c>
      <c r="F2422">
        <v>4691</v>
      </c>
      <c r="G2422" t="s">
        <v>1268</v>
      </c>
      <c r="H2422" t="s">
        <v>44</v>
      </c>
      <c r="I2422" t="s">
        <v>45</v>
      </c>
      <c r="J2422" t="s">
        <v>44</v>
      </c>
      <c r="K2422" t="s">
        <v>45</v>
      </c>
      <c r="L2422">
        <v>6</v>
      </c>
      <c r="M2422">
        <v>1216</v>
      </c>
      <c r="N2422" t="s">
        <v>46</v>
      </c>
    </row>
    <row r="2423" spans="1:14" x14ac:dyDescent="0.2">
      <c r="A2423" s="3">
        <f t="shared" si="39"/>
        <v>308079</v>
      </c>
      <c r="B2423" t="str">
        <f>"03080790012"</f>
        <v>03080790012</v>
      </c>
      <c r="C2423" t="s">
        <v>2808</v>
      </c>
      <c r="D2423" t="s">
        <v>52</v>
      </c>
      <c r="E2423">
        <v>100</v>
      </c>
      <c r="F2423">
        <v>4691</v>
      </c>
      <c r="G2423" t="s">
        <v>1268</v>
      </c>
      <c r="H2423" t="s">
        <v>44</v>
      </c>
      <c r="I2423" t="s">
        <v>45</v>
      </c>
      <c r="J2423" t="s">
        <v>44</v>
      </c>
      <c r="K2423" t="s">
        <v>45</v>
      </c>
      <c r="L2423">
        <v>5</v>
      </c>
      <c r="M2423" t="s">
        <v>65</v>
      </c>
      <c r="N2423" t="s">
        <v>46</v>
      </c>
    </row>
    <row r="2424" spans="1:14" x14ac:dyDescent="0.2">
      <c r="A2424" s="3">
        <f t="shared" si="39"/>
        <v>308080</v>
      </c>
      <c r="B2424" t="str">
        <f>"03080800012"</f>
        <v>03080800012</v>
      </c>
      <c r="C2424" t="s">
        <v>2809</v>
      </c>
      <c r="D2424" t="s">
        <v>52</v>
      </c>
      <c r="E2424">
        <v>100</v>
      </c>
      <c r="F2424">
        <v>4691</v>
      </c>
      <c r="G2424" t="s">
        <v>1268</v>
      </c>
      <c r="H2424" t="s">
        <v>44</v>
      </c>
      <c r="I2424" t="s">
        <v>45</v>
      </c>
      <c r="J2424" t="s">
        <v>44</v>
      </c>
      <c r="K2424" t="s">
        <v>45</v>
      </c>
      <c r="L2424">
        <v>5</v>
      </c>
      <c r="M2424" t="s">
        <v>65</v>
      </c>
      <c r="N2424" t="s">
        <v>46</v>
      </c>
    </row>
    <row r="2425" spans="1:14" x14ac:dyDescent="0.2">
      <c r="A2425" s="3">
        <f t="shared" si="39"/>
        <v>308081</v>
      </c>
      <c r="B2425" t="str">
        <f>"03080810008"</f>
        <v>03080810008</v>
      </c>
      <c r="C2425" t="s">
        <v>2810</v>
      </c>
      <c r="D2425" t="s">
        <v>52</v>
      </c>
      <c r="E2425">
        <v>100</v>
      </c>
      <c r="F2425">
        <v>4691</v>
      </c>
      <c r="G2425" t="s">
        <v>1268</v>
      </c>
      <c r="H2425" t="s">
        <v>44</v>
      </c>
      <c r="I2425" t="s">
        <v>45</v>
      </c>
      <c r="J2425" t="s">
        <v>44</v>
      </c>
      <c r="K2425" t="s">
        <v>45</v>
      </c>
      <c r="L2425">
        <v>5</v>
      </c>
      <c r="M2425" t="s">
        <v>65</v>
      </c>
      <c r="N2425" t="s">
        <v>46</v>
      </c>
    </row>
    <row r="2426" spans="1:14" x14ac:dyDescent="0.2">
      <c r="A2426" s="3">
        <f t="shared" si="39"/>
        <v>308082</v>
      </c>
      <c r="B2426" t="str">
        <f>"03080820008"</f>
        <v>03080820008</v>
      </c>
      <c r="C2426" t="s">
        <v>2811</v>
      </c>
      <c r="D2426" t="s">
        <v>52</v>
      </c>
      <c r="E2426">
        <v>100</v>
      </c>
      <c r="F2426">
        <v>4691</v>
      </c>
      <c r="G2426" t="s">
        <v>1268</v>
      </c>
      <c r="H2426" t="s">
        <v>44</v>
      </c>
      <c r="I2426" t="s">
        <v>45</v>
      </c>
      <c r="J2426" t="s">
        <v>44</v>
      </c>
      <c r="K2426" t="s">
        <v>45</v>
      </c>
      <c r="L2426">
        <v>5</v>
      </c>
      <c r="M2426" t="s">
        <v>65</v>
      </c>
      <c r="N2426" t="s">
        <v>46</v>
      </c>
    </row>
    <row r="2427" spans="1:14" x14ac:dyDescent="0.2">
      <c r="A2427" s="3">
        <f t="shared" si="39"/>
        <v>308083</v>
      </c>
      <c r="B2427" t="str">
        <f>"03080830001"</f>
        <v>03080830001</v>
      </c>
      <c r="C2427" t="s">
        <v>2812</v>
      </c>
      <c r="D2427" t="s">
        <v>52</v>
      </c>
      <c r="E2427">
        <v>100</v>
      </c>
      <c r="F2427">
        <v>4691</v>
      </c>
      <c r="G2427" t="s">
        <v>1268</v>
      </c>
      <c r="H2427" t="s">
        <v>44</v>
      </c>
      <c r="I2427" t="s">
        <v>45</v>
      </c>
      <c r="J2427" t="s">
        <v>44</v>
      </c>
      <c r="K2427" t="s">
        <v>45</v>
      </c>
      <c r="L2427">
        <v>6</v>
      </c>
      <c r="M2427">
        <v>2217</v>
      </c>
      <c r="N2427" t="s">
        <v>46</v>
      </c>
    </row>
    <row r="2428" spans="1:14" x14ac:dyDescent="0.2">
      <c r="A2428" s="3">
        <f t="shared" si="39"/>
        <v>308084</v>
      </c>
      <c r="B2428" t="str">
        <f>"03080840012"</f>
        <v>03080840012</v>
      </c>
      <c r="C2428" t="s">
        <v>2813</v>
      </c>
      <c r="D2428" t="s">
        <v>52</v>
      </c>
      <c r="E2428">
        <v>100</v>
      </c>
      <c r="F2428">
        <v>4691</v>
      </c>
      <c r="G2428" t="s">
        <v>1268</v>
      </c>
      <c r="H2428" t="s">
        <v>44</v>
      </c>
      <c r="I2428" t="s">
        <v>45</v>
      </c>
      <c r="J2428" t="s">
        <v>44</v>
      </c>
      <c r="K2428" t="s">
        <v>45</v>
      </c>
      <c r="L2428">
        <v>5</v>
      </c>
      <c r="M2428" t="s">
        <v>65</v>
      </c>
      <c r="N2428" t="s">
        <v>46</v>
      </c>
    </row>
    <row r="2429" spans="1:14" x14ac:dyDescent="0.2">
      <c r="A2429" s="3">
        <f t="shared" si="39"/>
        <v>308085</v>
      </c>
      <c r="B2429" t="str">
        <f>"03080850001"</f>
        <v>03080850001</v>
      </c>
      <c r="C2429" t="s">
        <v>2814</v>
      </c>
      <c r="D2429" t="s">
        <v>52</v>
      </c>
      <c r="E2429">
        <v>100</v>
      </c>
      <c r="F2429">
        <v>4691</v>
      </c>
      <c r="G2429" t="s">
        <v>1268</v>
      </c>
      <c r="H2429" t="s">
        <v>44</v>
      </c>
      <c r="I2429" t="s">
        <v>45</v>
      </c>
      <c r="J2429" t="s">
        <v>44</v>
      </c>
      <c r="K2429" t="s">
        <v>45</v>
      </c>
      <c r="L2429">
        <v>6</v>
      </c>
      <c r="M2429">
        <v>2218</v>
      </c>
      <c r="N2429" t="s">
        <v>46</v>
      </c>
    </row>
    <row r="2430" spans="1:14" x14ac:dyDescent="0.2">
      <c r="A2430" s="3">
        <f t="shared" si="39"/>
        <v>308086</v>
      </c>
      <c r="B2430" t="str">
        <f>"03080860010"</f>
        <v>03080860010</v>
      </c>
      <c r="C2430" t="s">
        <v>2815</v>
      </c>
      <c r="D2430" t="s">
        <v>52</v>
      </c>
      <c r="E2430">
        <v>100</v>
      </c>
      <c r="F2430">
        <v>4691</v>
      </c>
      <c r="G2430" t="s">
        <v>1268</v>
      </c>
      <c r="H2430" t="s">
        <v>44</v>
      </c>
      <c r="I2430" t="s">
        <v>45</v>
      </c>
      <c r="J2430" t="s">
        <v>44</v>
      </c>
      <c r="K2430" t="s">
        <v>45</v>
      </c>
      <c r="L2430">
        <v>5</v>
      </c>
      <c r="M2430" t="s">
        <v>65</v>
      </c>
      <c r="N2430" t="s">
        <v>46</v>
      </c>
    </row>
    <row r="2431" spans="1:14" x14ac:dyDescent="0.2">
      <c r="A2431" s="3">
        <f t="shared" si="39"/>
        <v>308088</v>
      </c>
      <c r="B2431" t="str">
        <f>"03080880010"</f>
        <v>03080880010</v>
      </c>
      <c r="C2431" t="s">
        <v>2816</v>
      </c>
      <c r="D2431" t="s">
        <v>52</v>
      </c>
      <c r="E2431">
        <v>100</v>
      </c>
      <c r="F2431">
        <v>4691</v>
      </c>
      <c r="G2431" t="s">
        <v>1268</v>
      </c>
      <c r="H2431" t="s">
        <v>44</v>
      </c>
      <c r="I2431" t="s">
        <v>45</v>
      </c>
      <c r="J2431" t="s">
        <v>44</v>
      </c>
      <c r="K2431" t="s">
        <v>45</v>
      </c>
      <c r="L2431">
        <v>6</v>
      </c>
      <c r="M2431">
        <v>2219</v>
      </c>
      <c r="N2431" t="s">
        <v>46</v>
      </c>
    </row>
    <row r="2432" spans="1:14" x14ac:dyDescent="0.2">
      <c r="A2432" s="3">
        <f t="shared" si="39"/>
        <v>308089</v>
      </c>
      <c r="B2432" t="str">
        <f>"03080890020"</f>
        <v>03080890020</v>
      </c>
      <c r="C2432" t="s">
        <v>2817</v>
      </c>
      <c r="D2432" t="s">
        <v>52</v>
      </c>
      <c r="E2432">
        <v>100</v>
      </c>
      <c r="F2432">
        <v>4691</v>
      </c>
      <c r="G2432" t="s">
        <v>1268</v>
      </c>
      <c r="H2432" t="s">
        <v>44</v>
      </c>
      <c r="I2432" t="s">
        <v>45</v>
      </c>
      <c r="J2432" t="s">
        <v>44</v>
      </c>
      <c r="K2432" t="s">
        <v>45</v>
      </c>
      <c r="L2432">
        <v>6</v>
      </c>
      <c r="M2432">
        <v>2220</v>
      </c>
      <c r="N2432" t="s">
        <v>46</v>
      </c>
    </row>
    <row r="2433" spans="1:14" x14ac:dyDescent="0.2">
      <c r="A2433" s="3">
        <f t="shared" si="39"/>
        <v>308091</v>
      </c>
      <c r="B2433" t="str">
        <f>"03080910004"</f>
        <v>03080910004</v>
      </c>
      <c r="C2433" t="s">
        <v>2818</v>
      </c>
      <c r="D2433" t="s">
        <v>52</v>
      </c>
      <c r="E2433">
        <v>100</v>
      </c>
      <c r="F2433">
        <v>4691</v>
      </c>
      <c r="G2433" t="s">
        <v>1268</v>
      </c>
      <c r="H2433" t="s">
        <v>44</v>
      </c>
      <c r="I2433" t="s">
        <v>45</v>
      </c>
      <c r="J2433" t="s">
        <v>44</v>
      </c>
      <c r="K2433" t="s">
        <v>45</v>
      </c>
      <c r="L2433">
        <v>6</v>
      </c>
      <c r="M2433">
        <v>2221</v>
      </c>
      <c r="N2433" t="s">
        <v>46</v>
      </c>
    </row>
    <row r="2434" spans="1:14" x14ac:dyDescent="0.2">
      <c r="A2434" s="3">
        <f t="shared" si="39"/>
        <v>308093</v>
      </c>
      <c r="B2434" t="str">
        <f>"03080930004"</f>
        <v>03080930004</v>
      </c>
      <c r="C2434" t="s">
        <v>2819</v>
      </c>
      <c r="D2434" t="s">
        <v>52</v>
      </c>
      <c r="E2434">
        <v>100</v>
      </c>
      <c r="F2434">
        <v>4691</v>
      </c>
      <c r="G2434" t="s">
        <v>1268</v>
      </c>
      <c r="H2434" t="s">
        <v>44</v>
      </c>
      <c r="I2434" t="s">
        <v>45</v>
      </c>
      <c r="J2434" t="s">
        <v>44</v>
      </c>
      <c r="K2434" t="s">
        <v>45</v>
      </c>
      <c r="L2434">
        <v>6</v>
      </c>
      <c r="M2434">
        <v>2222</v>
      </c>
      <c r="N2434" t="s">
        <v>46</v>
      </c>
    </row>
    <row r="2435" spans="1:14" x14ac:dyDescent="0.2">
      <c r="A2435" s="3">
        <f t="shared" si="39"/>
        <v>308094</v>
      </c>
      <c r="B2435" t="str">
        <f>"03080940008"</f>
        <v>03080940008</v>
      </c>
      <c r="C2435" t="s">
        <v>2820</v>
      </c>
      <c r="D2435" t="s">
        <v>52</v>
      </c>
      <c r="E2435">
        <v>100</v>
      </c>
      <c r="F2435">
        <v>3724</v>
      </c>
      <c r="G2435" t="s">
        <v>2821</v>
      </c>
      <c r="H2435" t="s">
        <v>44</v>
      </c>
      <c r="I2435" t="s">
        <v>45</v>
      </c>
      <c r="J2435" t="s">
        <v>44</v>
      </c>
      <c r="K2435" t="s">
        <v>45</v>
      </c>
      <c r="L2435">
        <v>6</v>
      </c>
      <c r="M2435">
        <v>2223</v>
      </c>
      <c r="N2435" t="s">
        <v>46</v>
      </c>
    </row>
    <row r="2436" spans="1:14" x14ac:dyDescent="0.2">
      <c r="A2436" s="3">
        <f t="shared" ref="A2436:A2499" si="40">(B2436-RIGHT(B2436,4))/10000</f>
        <v>308101</v>
      </c>
      <c r="B2436" t="str">
        <f>"03081010040"</f>
        <v>03081010040</v>
      </c>
      <c r="C2436" t="s">
        <v>2822</v>
      </c>
      <c r="D2436" t="s">
        <v>52</v>
      </c>
      <c r="E2436">
        <v>100</v>
      </c>
      <c r="F2436">
        <v>2606</v>
      </c>
      <c r="G2436" t="s">
        <v>2823</v>
      </c>
      <c r="H2436" t="s">
        <v>44</v>
      </c>
      <c r="I2436" t="s">
        <v>45</v>
      </c>
      <c r="J2436" t="s">
        <v>44</v>
      </c>
      <c r="K2436" t="s">
        <v>45</v>
      </c>
      <c r="L2436">
        <v>6</v>
      </c>
      <c r="M2436">
        <v>4203</v>
      </c>
      <c r="N2436" t="s">
        <v>46</v>
      </c>
    </row>
    <row r="2437" spans="1:14" x14ac:dyDescent="0.2">
      <c r="A2437" s="3">
        <f t="shared" si="40"/>
        <v>308102</v>
      </c>
      <c r="B2437" t="str">
        <f>"03081020025"</f>
        <v>03081020025</v>
      </c>
      <c r="C2437" t="s">
        <v>2824</v>
      </c>
      <c r="D2437" t="s">
        <v>52</v>
      </c>
      <c r="E2437">
        <v>100</v>
      </c>
      <c r="F2437">
        <v>2606</v>
      </c>
      <c r="G2437" t="s">
        <v>2823</v>
      </c>
      <c r="H2437" t="s">
        <v>44</v>
      </c>
      <c r="I2437" t="s">
        <v>45</v>
      </c>
      <c r="J2437" t="s">
        <v>44</v>
      </c>
      <c r="K2437" t="s">
        <v>45</v>
      </c>
      <c r="L2437">
        <v>6</v>
      </c>
      <c r="M2437">
        <v>4204</v>
      </c>
      <c r="N2437" t="s">
        <v>46</v>
      </c>
    </row>
    <row r="2438" spans="1:14" x14ac:dyDescent="0.2">
      <c r="A2438" s="3">
        <f t="shared" si="40"/>
        <v>308103</v>
      </c>
      <c r="B2438" t="str">
        <f>"03081030030"</f>
        <v>03081030030</v>
      </c>
      <c r="C2438" t="s">
        <v>2825</v>
      </c>
      <c r="D2438" t="s">
        <v>52</v>
      </c>
      <c r="E2438">
        <v>100</v>
      </c>
      <c r="F2438">
        <v>2606</v>
      </c>
      <c r="G2438" t="s">
        <v>2823</v>
      </c>
      <c r="H2438" t="s">
        <v>44</v>
      </c>
      <c r="I2438" t="s">
        <v>45</v>
      </c>
      <c r="J2438" t="s">
        <v>44</v>
      </c>
      <c r="K2438" t="s">
        <v>45</v>
      </c>
      <c r="L2438">
        <v>5</v>
      </c>
      <c r="M2438" t="s">
        <v>65</v>
      </c>
      <c r="N2438" t="s">
        <v>46</v>
      </c>
    </row>
    <row r="2439" spans="1:14" x14ac:dyDescent="0.2">
      <c r="A2439" s="3">
        <f t="shared" si="40"/>
        <v>308104</v>
      </c>
      <c r="B2439" t="str">
        <f>"03081040008"</f>
        <v>03081040008</v>
      </c>
      <c r="C2439" t="s">
        <v>2826</v>
      </c>
      <c r="D2439" t="s">
        <v>52</v>
      </c>
      <c r="E2439">
        <v>100</v>
      </c>
      <c r="F2439">
        <v>4691</v>
      </c>
      <c r="G2439" t="s">
        <v>1268</v>
      </c>
      <c r="H2439" t="s">
        <v>44</v>
      </c>
      <c r="I2439" t="s">
        <v>45</v>
      </c>
      <c r="J2439" t="s">
        <v>44</v>
      </c>
      <c r="K2439" t="s">
        <v>45</v>
      </c>
      <c r="L2439">
        <v>5</v>
      </c>
      <c r="M2439" t="s">
        <v>65</v>
      </c>
      <c r="N2439" t="s">
        <v>46</v>
      </c>
    </row>
    <row r="2440" spans="1:14" x14ac:dyDescent="0.2">
      <c r="A2440" s="3">
        <f t="shared" si="40"/>
        <v>308113</v>
      </c>
      <c r="B2440" t="str">
        <f>"03081130080"</f>
        <v>03081130080</v>
      </c>
      <c r="C2440" t="s">
        <v>2827</v>
      </c>
      <c r="D2440" t="s">
        <v>52</v>
      </c>
      <c r="E2440">
        <v>100</v>
      </c>
      <c r="F2440">
        <v>2606</v>
      </c>
      <c r="G2440" t="s">
        <v>2823</v>
      </c>
      <c r="H2440" t="s">
        <v>44</v>
      </c>
      <c r="I2440" t="s">
        <v>45</v>
      </c>
      <c r="J2440" t="s">
        <v>44</v>
      </c>
      <c r="K2440" t="s">
        <v>45</v>
      </c>
      <c r="L2440">
        <v>6</v>
      </c>
      <c r="M2440">
        <v>4205</v>
      </c>
      <c r="N2440" t="s">
        <v>46</v>
      </c>
    </row>
    <row r="2441" spans="1:14" x14ac:dyDescent="0.2">
      <c r="A2441" s="3">
        <f t="shared" si="40"/>
        <v>308130</v>
      </c>
      <c r="B2441" t="str">
        <f>"03081300012"</f>
        <v>03081300012</v>
      </c>
      <c r="C2441" t="s">
        <v>2828</v>
      </c>
      <c r="D2441" t="s">
        <v>52</v>
      </c>
      <c r="E2441">
        <v>100</v>
      </c>
      <c r="F2441">
        <v>4691</v>
      </c>
      <c r="G2441" t="s">
        <v>1268</v>
      </c>
      <c r="H2441" t="s">
        <v>44</v>
      </c>
      <c r="I2441" t="s">
        <v>45</v>
      </c>
      <c r="J2441" t="s">
        <v>44</v>
      </c>
      <c r="K2441" t="s">
        <v>45</v>
      </c>
      <c r="L2441">
        <v>5</v>
      </c>
      <c r="M2441" t="s">
        <v>65</v>
      </c>
      <c r="N2441" t="s">
        <v>46</v>
      </c>
    </row>
    <row r="2442" spans="1:14" x14ac:dyDescent="0.2">
      <c r="A2442" s="3">
        <f t="shared" si="40"/>
        <v>308147</v>
      </c>
      <c r="B2442" t="str">
        <f>"03081470014"</f>
        <v>03081470014</v>
      </c>
      <c r="C2442" t="s">
        <v>2829</v>
      </c>
      <c r="D2442" t="s">
        <v>52</v>
      </c>
      <c r="E2442">
        <v>100</v>
      </c>
      <c r="F2442">
        <v>4691</v>
      </c>
      <c r="G2442" t="s">
        <v>1268</v>
      </c>
      <c r="H2442" t="s">
        <v>44</v>
      </c>
      <c r="I2442" t="s">
        <v>45</v>
      </c>
      <c r="J2442" t="s">
        <v>44</v>
      </c>
      <c r="K2442" t="s">
        <v>45</v>
      </c>
      <c r="L2442">
        <v>6</v>
      </c>
      <c r="M2442">
        <v>2267</v>
      </c>
      <c r="N2442" t="s">
        <v>46</v>
      </c>
    </row>
    <row r="2443" spans="1:14" x14ac:dyDescent="0.2">
      <c r="A2443" s="3">
        <f t="shared" si="40"/>
        <v>308150</v>
      </c>
      <c r="B2443" t="str">
        <f>"03081500012"</f>
        <v>03081500012</v>
      </c>
      <c r="C2443" t="s">
        <v>2830</v>
      </c>
      <c r="D2443" t="s">
        <v>52</v>
      </c>
      <c r="E2443">
        <v>100</v>
      </c>
      <c r="F2443">
        <v>6603</v>
      </c>
      <c r="G2443" t="s">
        <v>2831</v>
      </c>
      <c r="H2443" t="s">
        <v>44</v>
      </c>
      <c r="I2443" t="s">
        <v>45</v>
      </c>
      <c r="J2443" t="s">
        <v>44</v>
      </c>
      <c r="K2443" t="s">
        <v>45</v>
      </c>
      <c r="L2443">
        <v>6</v>
      </c>
      <c r="M2443">
        <v>2251</v>
      </c>
      <c r="N2443" t="s">
        <v>46</v>
      </c>
    </row>
    <row r="2444" spans="1:14" x14ac:dyDescent="0.2">
      <c r="A2444" s="3">
        <f t="shared" si="40"/>
        <v>308154</v>
      </c>
      <c r="B2444" t="str">
        <f>"03081540012"</f>
        <v>03081540012</v>
      </c>
      <c r="C2444" t="s">
        <v>2832</v>
      </c>
      <c r="D2444" t="s">
        <v>52</v>
      </c>
      <c r="E2444">
        <v>100</v>
      </c>
      <c r="F2444">
        <v>4691</v>
      </c>
      <c r="G2444" t="s">
        <v>1268</v>
      </c>
      <c r="H2444" t="s">
        <v>44</v>
      </c>
      <c r="I2444" t="s">
        <v>45</v>
      </c>
      <c r="J2444" t="s">
        <v>44</v>
      </c>
      <c r="K2444" t="s">
        <v>45</v>
      </c>
      <c r="L2444">
        <v>6</v>
      </c>
      <c r="M2444">
        <v>2268</v>
      </c>
      <c r="N2444" t="s">
        <v>46</v>
      </c>
    </row>
    <row r="2445" spans="1:14" x14ac:dyDescent="0.2">
      <c r="A2445" s="3">
        <f t="shared" si="40"/>
        <v>308156</v>
      </c>
      <c r="B2445" t="str">
        <f>"03081560014"</f>
        <v>03081560014</v>
      </c>
      <c r="C2445" t="s">
        <v>2833</v>
      </c>
      <c r="D2445" t="s">
        <v>52</v>
      </c>
      <c r="E2445">
        <v>100</v>
      </c>
      <c r="F2445">
        <v>947</v>
      </c>
      <c r="G2445" t="s">
        <v>2793</v>
      </c>
      <c r="H2445" t="s">
        <v>44</v>
      </c>
      <c r="I2445" t="s">
        <v>45</v>
      </c>
      <c r="J2445" t="s">
        <v>44</v>
      </c>
      <c r="K2445" t="s">
        <v>45</v>
      </c>
      <c r="L2445">
        <v>5</v>
      </c>
      <c r="M2445" t="s">
        <v>65</v>
      </c>
      <c r="N2445" t="s">
        <v>46</v>
      </c>
    </row>
    <row r="2446" spans="1:14" x14ac:dyDescent="0.2">
      <c r="A2446" s="3">
        <f t="shared" si="40"/>
        <v>308170</v>
      </c>
      <c r="B2446" t="str">
        <f>"03081700012"</f>
        <v>03081700012</v>
      </c>
      <c r="C2446" t="s">
        <v>2834</v>
      </c>
      <c r="D2446" t="s">
        <v>52</v>
      </c>
      <c r="E2446">
        <v>100</v>
      </c>
      <c r="F2446">
        <v>4691</v>
      </c>
      <c r="G2446" t="s">
        <v>1268</v>
      </c>
      <c r="H2446" t="s">
        <v>44</v>
      </c>
      <c r="I2446" t="s">
        <v>45</v>
      </c>
      <c r="J2446" t="s">
        <v>44</v>
      </c>
      <c r="K2446" t="s">
        <v>45</v>
      </c>
      <c r="L2446">
        <v>5</v>
      </c>
      <c r="M2446" t="s">
        <v>65</v>
      </c>
      <c r="N2446" t="s">
        <v>46</v>
      </c>
    </row>
    <row r="2447" spans="1:14" x14ac:dyDescent="0.2">
      <c r="A2447" s="3">
        <f t="shared" si="40"/>
        <v>308172</v>
      </c>
      <c r="B2447" t="str">
        <f>"03081720010"</f>
        <v>03081720010</v>
      </c>
      <c r="C2447" t="s">
        <v>2835</v>
      </c>
      <c r="D2447" t="s">
        <v>52</v>
      </c>
      <c r="E2447">
        <v>100</v>
      </c>
      <c r="F2447">
        <v>4691</v>
      </c>
      <c r="G2447" t="s">
        <v>1268</v>
      </c>
      <c r="H2447" t="s">
        <v>44</v>
      </c>
      <c r="I2447" t="s">
        <v>45</v>
      </c>
      <c r="J2447" t="s">
        <v>44</v>
      </c>
      <c r="K2447" t="s">
        <v>45</v>
      </c>
      <c r="L2447">
        <v>5</v>
      </c>
      <c r="M2447" t="s">
        <v>65</v>
      </c>
      <c r="N2447" t="s">
        <v>46</v>
      </c>
    </row>
    <row r="2448" spans="1:14" x14ac:dyDescent="0.2">
      <c r="A2448" s="3">
        <f t="shared" si="40"/>
        <v>308173</v>
      </c>
      <c r="B2448" t="str">
        <f>"03081730010"</f>
        <v>03081730010</v>
      </c>
      <c r="C2448" t="s">
        <v>2836</v>
      </c>
      <c r="D2448" t="s">
        <v>52</v>
      </c>
      <c r="E2448">
        <v>100</v>
      </c>
      <c r="F2448">
        <v>4691</v>
      </c>
      <c r="G2448" t="s">
        <v>1268</v>
      </c>
      <c r="H2448" t="s">
        <v>44</v>
      </c>
      <c r="I2448" t="s">
        <v>45</v>
      </c>
      <c r="J2448" t="s">
        <v>44</v>
      </c>
      <c r="K2448" t="s">
        <v>45</v>
      </c>
      <c r="L2448">
        <v>5</v>
      </c>
      <c r="M2448" t="s">
        <v>65</v>
      </c>
      <c r="N2448" t="s">
        <v>46</v>
      </c>
    </row>
    <row r="2449" spans="1:14" x14ac:dyDescent="0.2">
      <c r="A2449" s="3">
        <f t="shared" si="40"/>
        <v>308174</v>
      </c>
      <c r="B2449" t="str">
        <f>"03081740010"</f>
        <v>03081740010</v>
      </c>
      <c r="C2449" t="s">
        <v>2837</v>
      </c>
      <c r="D2449" t="s">
        <v>52</v>
      </c>
      <c r="E2449">
        <v>100</v>
      </c>
      <c r="F2449">
        <v>4691</v>
      </c>
      <c r="G2449" t="s">
        <v>1268</v>
      </c>
      <c r="H2449" t="s">
        <v>44</v>
      </c>
      <c r="I2449" t="s">
        <v>45</v>
      </c>
      <c r="J2449" t="s">
        <v>44</v>
      </c>
      <c r="K2449" t="s">
        <v>45</v>
      </c>
      <c r="L2449">
        <v>5</v>
      </c>
      <c r="M2449" t="s">
        <v>65</v>
      </c>
      <c r="N2449" t="s">
        <v>46</v>
      </c>
    </row>
    <row r="2450" spans="1:14" x14ac:dyDescent="0.2">
      <c r="A2450" s="3">
        <f t="shared" si="40"/>
        <v>308517</v>
      </c>
      <c r="B2450" t="str">
        <f>"03085170001"</f>
        <v>03085170001</v>
      </c>
      <c r="C2450" t="s">
        <v>2838</v>
      </c>
      <c r="D2450" t="s">
        <v>52</v>
      </c>
      <c r="E2450">
        <v>109</v>
      </c>
      <c r="F2450">
        <v>4691</v>
      </c>
      <c r="G2450" t="s">
        <v>1268</v>
      </c>
      <c r="H2450" t="s">
        <v>44</v>
      </c>
      <c r="I2450" t="s">
        <v>45</v>
      </c>
      <c r="J2450" t="s">
        <v>44</v>
      </c>
      <c r="K2450" t="s">
        <v>45</v>
      </c>
      <c r="L2450">
        <v>6</v>
      </c>
      <c r="M2450">
        <v>60001</v>
      </c>
      <c r="N2450" t="s">
        <v>46</v>
      </c>
    </row>
    <row r="2451" spans="1:14" x14ac:dyDescent="0.2">
      <c r="A2451" s="3">
        <f t="shared" si="40"/>
        <v>308519</v>
      </c>
      <c r="B2451" t="str">
        <f>"03085190001"</f>
        <v>03085190001</v>
      </c>
      <c r="C2451" t="s">
        <v>2839</v>
      </c>
      <c r="D2451" t="s">
        <v>52</v>
      </c>
      <c r="E2451">
        <v>109</v>
      </c>
      <c r="F2451">
        <v>4691</v>
      </c>
      <c r="G2451" t="s">
        <v>1268</v>
      </c>
      <c r="H2451" t="s">
        <v>44</v>
      </c>
      <c r="I2451" t="s">
        <v>45</v>
      </c>
      <c r="J2451" t="s">
        <v>44</v>
      </c>
      <c r="K2451" t="s">
        <v>45</v>
      </c>
      <c r="L2451">
        <v>6</v>
      </c>
      <c r="M2451">
        <v>60003</v>
      </c>
      <c r="N2451" t="s">
        <v>46</v>
      </c>
    </row>
    <row r="2452" spans="1:14" x14ac:dyDescent="0.2">
      <c r="A2452" s="3">
        <f t="shared" si="40"/>
        <v>308522</v>
      </c>
      <c r="B2452" t="str">
        <f>"03085220001"</f>
        <v>03085220001</v>
      </c>
      <c r="C2452" t="s">
        <v>2840</v>
      </c>
      <c r="D2452" t="s">
        <v>52</v>
      </c>
      <c r="E2452">
        <v>109</v>
      </c>
      <c r="F2452">
        <v>4691</v>
      </c>
      <c r="G2452" t="s">
        <v>1268</v>
      </c>
      <c r="H2452" t="s">
        <v>44</v>
      </c>
      <c r="I2452" t="s">
        <v>45</v>
      </c>
      <c r="J2452" t="s">
        <v>44</v>
      </c>
      <c r="K2452" t="s">
        <v>45</v>
      </c>
      <c r="L2452">
        <v>6</v>
      </c>
      <c r="M2452">
        <v>60004</v>
      </c>
      <c r="N2452" t="s">
        <v>46</v>
      </c>
    </row>
    <row r="2453" spans="1:14" x14ac:dyDescent="0.2">
      <c r="A2453" s="3">
        <f t="shared" si="40"/>
        <v>308524</v>
      </c>
      <c r="B2453" t="str">
        <f>"03085240001"</f>
        <v>03085240001</v>
      </c>
      <c r="C2453" t="s">
        <v>2841</v>
      </c>
      <c r="D2453" t="s">
        <v>52</v>
      </c>
      <c r="E2453">
        <v>109</v>
      </c>
      <c r="F2453">
        <v>4691</v>
      </c>
      <c r="G2453" t="s">
        <v>1268</v>
      </c>
      <c r="H2453" t="s">
        <v>44</v>
      </c>
      <c r="I2453" t="s">
        <v>45</v>
      </c>
      <c r="J2453" t="s">
        <v>44</v>
      </c>
      <c r="K2453" t="s">
        <v>45</v>
      </c>
      <c r="L2453">
        <v>6</v>
      </c>
      <c r="M2453">
        <v>60006</v>
      </c>
      <c r="N2453" t="s">
        <v>46</v>
      </c>
    </row>
    <row r="2454" spans="1:14" x14ac:dyDescent="0.2">
      <c r="A2454" s="3">
        <f t="shared" si="40"/>
        <v>308525</v>
      </c>
      <c r="B2454" t="str">
        <f>"03085250001"</f>
        <v>03085250001</v>
      </c>
      <c r="C2454" t="s">
        <v>2842</v>
      </c>
      <c r="D2454" t="s">
        <v>52</v>
      </c>
      <c r="E2454">
        <v>109</v>
      </c>
      <c r="F2454">
        <v>4691</v>
      </c>
      <c r="G2454" t="s">
        <v>1268</v>
      </c>
      <c r="H2454" t="s">
        <v>44</v>
      </c>
      <c r="I2454" t="s">
        <v>45</v>
      </c>
      <c r="J2454" t="s">
        <v>44</v>
      </c>
      <c r="K2454" t="s">
        <v>45</v>
      </c>
      <c r="L2454">
        <v>6</v>
      </c>
      <c r="M2454">
        <v>60007</v>
      </c>
      <c r="N2454" t="s">
        <v>46</v>
      </c>
    </row>
    <row r="2455" spans="1:14" x14ac:dyDescent="0.2">
      <c r="A2455" s="3">
        <f t="shared" si="40"/>
        <v>308527</v>
      </c>
      <c r="B2455" t="str">
        <f>"03085270001"</f>
        <v>03085270001</v>
      </c>
      <c r="C2455" t="s">
        <v>2843</v>
      </c>
      <c r="D2455" t="s">
        <v>52</v>
      </c>
      <c r="E2455">
        <v>109</v>
      </c>
      <c r="F2455">
        <v>4691</v>
      </c>
      <c r="G2455" t="s">
        <v>1268</v>
      </c>
      <c r="H2455" t="s">
        <v>44</v>
      </c>
      <c r="I2455" t="s">
        <v>45</v>
      </c>
      <c r="J2455" t="s">
        <v>44</v>
      </c>
      <c r="K2455" t="s">
        <v>45</v>
      </c>
      <c r="L2455">
        <v>6</v>
      </c>
      <c r="M2455">
        <v>60009</v>
      </c>
      <c r="N2455" t="s">
        <v>46</v>
      </c>
    </row>
    <row r="2456" spans="1:14" x14ac:dyDescent="0.2">
      <c r="A2456" s="3">
        <f t="shared" si="40"/>
        <v>308528</v>
      </c>
      <c r="B2456" t="str">
        <f>"03085280001"</f>
        <v>03085280001</v>
      </c>
      <c r="C2456" t="s">
        <v>2844</v>
      </c>
      <c r="D2456" t="s">
        <v>52</v>
      </c>
      <c r="E2456">
        <v>109</v>
      </c>
      <c r="F2456">
        <v>4691</v>
      </c>
      <c r="G2456" t="s">
        <v>1268</v>
      </c>
      <c r="H2456" t="s">
        <v>44</v>
      </c>
      <c r="I2456" t="s">
        <v>45</v>
      </c>
      <c r="J2456" t="s">
        <v>44</v>
      </c>
      <c r="K2456" t="s">
        <v>45</v>
      </c>
      <c r="L2456">
        <v>6</v>
      </c>
      <c r="M2456">
        <v>60010</v>
      </c>
      <c r="N2456" t="s">
        <v>46</v>
      </c>
    </row>
    <row r="2457" spans="1:14" x14ac:dyDescent="0.2">
      <c r="A2457" s="3">
        <f t="shared" si="40"/>
        <v>308529</v>
      </c>
      <c r="B2457" t="str">
        <f>"03085290001"</f>
        <v>03085290001</v>
      </c>
      <c r="C2457" t="s">
        <v>2845</v>
      </c>
      <c r="D2457" t="s">
        <v>52</v>
      </c>
      <c r="E2457">
        <v>109</v>
      </c>
      <c r="F2457">
        <v>4691</v>
      </c>
      <c r="G2457" t="s">
        <v>1268</v>
      </c>
      <c r="H2457" t="s">
        <v>44</v>
      </c>
      <c r="I2457" t="s">
        <v>45</v>
      </c>
      <c r="J2457" t="s">
        <v>44</v>
      </c>
      <c r="K2457" t="s">
        <v>45</v>
      </c>
      <c r="L2457">
        <v>6</v>
      </c>
      <c r="M2457">
        <v>60012</v>
      </c>
      <c r="N2457" t="s">
        <v>46</v>
      </c>
    </row>
    <row r="2458" spans="1:14" x14ac:dyDescent="0.2">
      <c r="A2458" s="3">
        <f t="shared" si="40"/>
        <v>308530</v>
      </c>
      <c r="B2458" t="str">
        <f>"03085300006"</f>
        <v>03085300006</v>
      </c>
      <c r="C2458" t="s">
        <v>2846</v>
      </c>
      <c r="D2458" t="s">
        <v>52</v>
      </c>
      <c r="E2458">
        <v>112</v>
      </c>
      <c r="F2458">
        <v>4691</v>
      </c>
      <c r="G2458" t="s">
        <v>1268</v>
      </c>
      <c r="H2458" t="s">
        <v>44</v>
      </c>
      <c r="I2458" t="s">
        <v>45</v>
      </c>
      <c r="J2458" t="s">
        <v>44</v>
      </c>
      <c r="K2458" t="s">
        <v>45</v>
      </c>
      <c r="L2458">
        <v>6</v>
      </c>
      <c r="M2458">
        <v>2269</v>
      </c>
      <c r="N2458" t="s">
        <v>46</v>
      </c>
    </row>
    <row r="2459" spans="1:14" x14ac:dyDescent="0.2">
      <c r="A2459" s="3">
        <f t="shared" si="40"/>
        <v>308549</v>
      </c>
      <c r="B2459" t="str">
        <f>"03085490008"</f>
        <v>03085490008</v>
      </c>
      <c r="C2459" t="s">
        <v>2847</v>
      </c>
      <c r="D2459" t="s">
        <v>52</v>
      </c>
      <c r="E2459">
        <v>100</v>
      </c>
      <c r="F2459">
        <v>2506</v>
      </c>
      <c r="G2459" t="s">
        <v>2785</v>
      </c>
      <c r="H2459" t="s">
        <v>44</v>
      </c>
      <c r="I2459" t="s">
        <v>45</v>
      </c>
      <c r="J2459" t="s">
        <v>44</v>
      </c>
      <c r="K2459" t="s">
        <v>45</v>
      </c>
      <c r="L2459">
        <v>5</v>
      </c>
      <c r="M2459" t="s">
        <v>65</v>
      </c>
      <c r="N2459" t="s">
        <v>46</v>
      </c>
    </row>
    <row r="2460" spans="1:14" x14ac:dyDescent="0.2">
      <c r="A2460" s="3">
        <f t="shared" si="40"/>
        <v>308724</v>
      </c>
      <c r="B2460" t="str">
        <f>"03087240014"</f>
        <v>03087240014</v>
      </c>
      <c r="C2460" t="s">
        <v>2848</v>
      </c>
      <c r="D2460" t="s">
        <v>52</v>
      </c>
      <c r="E2460">
        <v>100</v>
      </c>
      <c r="F2460">
        <v>4691</v>
      </c>
      <c r="G2460" t="s">
        <v>1268</v>
      </c>
      <c r="H2460" t="s">
        <v>44</v>
      </c>
      <c r="I2460" t="s">
        <v>45</v>
      </c>
      <c r="J2460" t="s">
        <v>44</v>
      </c>
      <c r="K2460" t="s">
        <v>45</v>
      </c>
      <c r="L2460">
        <v>6</v>
      </c>
      <c r="M2460">
        <v>1217</v>
      </c>
      <c r="N2460" t="s">
        <v>46</v>
      </c>
    </row>
    <row r="2461" spans="1:14" x14ac:dyDescent="0.2">
      <c r="A2461" s="3">
        <f t="shared" si="40"/>
        <v>308725</v>
      </c>
      <c r="B2461" t="str">
        <f>"03087250014"</f>
        <v>03087250014</v>
      </c>
      <c r="C2461" t="s">
        <v>2829</v>
      </c>
      <c r="D2461" t="s">
        <v>52</v>
      </c>
      <c r="E2461">
        <v>100</v>
      </c>
      <c r="F2461">
        <v>1021</v>
      </c>
      <c r="G2461" t="s">
        <v>2849</v>
      </c>
      <c r="H2461" t="s">
        <v>44</v>
      </c>
      <c r="I2461" t="s">
        <v>45</v>
      </c>
      <c r="J2461" t="s">
        <v>44</v>
      </c>
      <c r="K2461" t="s">
        <v>45</v>
      </c>
      <c r="L2461">
        <v>6</v>
      </c>
      <c r="M2461">
        <v>1218</v>
      </c>
      <c r="N2461" t="s">
        <v>46</v>
      </c>
    </row>
    <row r="2462" spans="1:14" x14ac:dyDescent="0.2">
      <c r="A2462" s="3">
        <f t="shared" si="40"/>
        <v>308726</v>
      </c>
      <c r="B2462" t="str">
        <f>"03087260014"</f>
        <v>03087260014</v>
      </c>
      <c r="C2462" t="s">
        <v>2850</v>
      </c>
      <c r="D2462" t="s">
        <v>52</v>
      </c>
      <c r="E2462">
        <v>100</v>
      </c>
      <c r="F2462">
        <v>1021</v>
      </c>
      <c r="G2462" t="s">
        <v>2849</v>
      </c>
      <c r="H2462" t="s">
        <v>44</v>
      </c>
      <c r="I2462" t="s">
        <v>45</v>
      </c>
      <c r="J2462" t="s">
        <v>44</v>
      </c>
      <c r="K2462" t="s">
        <v>45</v>
      </c>
      <c r="L2462">
        <v>6</v>
      </c>
      <c r="M2462">
        <v>1219</v>
      </c>
      <c r="N2462" t="s">
        <v>46</v>
      </c>
    </row>
    <row r="2463" spans="1:14" x14ac:dyDescent="0.2">
      <c r="A2463" s="3">
        <f t="shared" si="40"/>
        <v>308728</v>
      </c>
      <c r="B2463" t="str">
        <f>"03087280014"</f>
        <v>03087280014</v>
      </c>
      <c r="C2463" t="s">
        <v>2851</v>
      </c>
      <c r="D2463" t="s">
        <v>52</v>
      </c>
      <c r="E2463">
        <v>100</v>
      </c>
      <c r="F2463">
        <v>4691</v>
      </c>
      <c r="G2463" t="s">
        <v>1268</v>
      </c>
      <c r="H2463" t="s">
        <v>44</v>
      </c>
      <c r="I2463" t="s">
        <v>45</v>
      </c>
      <c r="J2463" t="s">
        <v>44</v>
      </c>
      <c r="K2463" t="s">
        <v>45</v>
      </c>
      <c r="L2463">
        <v>6</v>
      </c>
      <c r="M2463">
        <v>1220</v>
      </c>
      <c r="N2463" t="s">
        <v>46</v>
      </c>
    </row>
    <row r="2464" spans="1:14" x14ac:dyDescent="0.2">
      <c r="A2464" s="3">
        <f t="shared" si="40"/>
        <v>308730</v>
      </c>
      <c r="B2464" t="str">
        <f>"03087300014"</f>
        <v>03087300014</v>
      </c>
      <c r="C2464" t="s">
        <v>2852</v>
      </c>
      <c r="D2464" t="s">
        <v>52</v>
      </c>
      <c r="E2464">
        <v>100</v>
      </c>
      <c r="F2464">
        <v>4691</v>
      </c>
      <c r="G2464" t="s">
        <v>1268</v>
      </c>
      <c r="H2464" t="s">
        <v>44</v>
      </c>
      <c r="I2464" t="s">
        <v>45</v>
      </c>
      <c r="J2464" t="s">
        <v>44</v>
      </c>
      <c r="K2464" t="s">
        <v>45</v>
      </c>
      <c r="L2464">
        <v>6</v>
      </c>
      <c r="M2464">
        <v>1221</v>
      </c>
      <c r="N2464" t="s">
        <v>46</v>
      </c>
    </row>
    <row r="2465" spans="1:14" x14ac:dyDescent="0.2">
      <c r="A2465" s="3">
        <f t="shared" si="40"/>
        <v>308733</v>
      </c>
      <c r="B2465" t="str">
        <f>"03087330014"</f>
        <v>03087330014</v>
      </c>
      <c r="C2465" t="s">
        <v>2853</v>
      </c>
      <c r="D2465" t="s">
        <v>52</v>
      </c>
      <c r="E2465">
        <v>100</v>
      </c>
      <c r="F2465">
        <v>4691</v>
      </c>
      <c r="G2465" t="s">
        <v>1268</v>
      </c>
      <c r="H2465" t="s">
        <v>44</v>
      </c>
      <c r="I2465" t="s">
        <v>45</v>
      </c>
      <c r="J2465" t="s">
        <v>44</v>
      </c>
      <c r="K2465" t="s">
        <v>45</v>
      </c>
      <c r="L2465">
        <v>6</v>
      </c>
      <c r="M2465">
        <v>1222</v>
      </c>
      <c r="N2465" t="s">
        <v>46</v>
      </c>
    </row>
    <row r="2466" spans="1:14" x14ac:dyDescent="0.2">
      <c r="A2466" s="3">
        <f t="shared" si="40"/>
        <v>308742</v>
      </c>
      <c r="B2466" t="str">
        <f>"03087420014"</f>
        <v>03087420014</v>
      </c>
      <c r="C2466" t="s">
        <v>2852</v>
      </c>
      <c r="D2466" t="s">
        <v>52</v>
      </c>
      <c r="E2466">
        <v>100</v>
      </c>
      <c r="F2466">
        <v>4691</v>
      </c>
      <c r="G2466" t="s">
        <v>1268</v>
      </c>
      <c r="H2466" t="s">
        <v>44</v>
      </c>
      <c r="I2466" t="s">
        <v>45</v>
      </c>
      <c r="J2466" t="s">
        <v>44</v>
      </c>
      <c r="K2466" t="s">
        <v>45</v>
      </c>
      <c r="L2466">
        <v>5</v>
      </c>
      <c r="M2466" t="s">
        <v>65</v>
      </c>
      <c r="N2466" t="s">
        <v>46</v>
      </c>
    </row>
    <row r="2467" spans="1:14" x14ac:dyDescent="0.2">
      <c r="A2467" s="3">
        <f t="shared" si="40"/>
        <v>308743</v>
      </c>
      <c r="B2467" t="str">
        <f>"03087430014"</f>
        <v>03087430014</v>
      </c>
      <c r="C2467" t="s">
        <v>2854</v>
      </c>
      <c r="D2467" t="s">
        <v>52</v>
      </c>
      <c r="E2467">
        <v>100</v>
      </c>
      <c r="F2467">
        <v>1021</v>
      </c>
      <c r="G2467" t="s">
        <v>2849</v>
      </c>
      <c r="H2467" t="s">
        <v>44</v>
      </c>
      <c r="I2467" t="s">
        <v>45</v>
      </c>
      <c r="J2467" t="s">
        <v>44</v>
      </c>
      <c r="K2467" t="s">
        <v>45</v>
      </c>
      <c r="L2467">
        <v>5</v>
      </c>
      <c r="M2467" t="s">
        <v>65</v>
      </c>
      <c r="N2467" t="s">
        <v>46</v>
      </c>
    </row>
    <row r="2468" spans="1:14" x14ac:dyDescent="0.2">
      <c r="A2468" s="3">
        <f t="shared" si="40"/>
        <v>308744</v>
      </c>
      <c r="B2468" t="str">
        <f>"03087440014"</f>
        <v>03087440014</v>
      </c>
      <c r="C2468" t="s">
        <v>2855</v>
      </c>
      <c r="D2468" t="s">
        <v>52</v>
      </c>
      <c r="E2468">
        <v>100</v>
      </c>
      <c r="F2468">
        <v>4691</v>
      </c>
      <c r="G2468" t="s">
        <v>1268</v>
      </c>
      <c r="H2468" t="s">
        <v>44</v>
      </c>
      <c r="I2468" t="s">
        <v>45</v>
      </c>
      <c r="J2468" t="s">
        <v>44</v>
      </c>
      <c r="K2468" t="s">
        <v>45</v>
      </c>
      <c r="L2468">
        <v>5</v>
      </c>
      <c r="M2468" t="s">
        <v>65</v>
      </c>
      <c r="N2468" t="s">
        <v>46</v>
      </c>
    </row>
    <row r="2469" spans="1:14" x14ac:dyDescent="0.2">
      <c r="A2469" s="3">
        <f t="shared" si="40"/>
        <v>308747</v>
      </c>
      <c r="B2469" t="str">
        <f>"03087470014"</f>
        <v>03087470014</v>
      </c>
      <c r="C2469" t="s">
        <v>2856</v>
      </c>
      <c r="D2469" t="s">
        <v>52</v>
      </c>
      <c r="E2469">
        <v>100</v>
      </c>
      <c r="F2469">
        <v>4691</v>
      </c>
      <c r="G2469" t="s">
        <v>1268</v>
      </c>
      <c r="H2469" t="s">
        <v>44</v>
      </c>
      <c r="I2469" t="s">
        <v>45</v>
      </c>
      <c r="J2469" t="s">
        <v>44</v>
      </c>
      <c r="K2469" t="s">
        <v>45</v>
      </c>
      <c r="L2469">
        <v>5</v>
      </c>
      <c r="M2469" t="s">
        <v>65</v>
      </c>
      <c r="N2469" t="s">
        <v>46</v>
      </c>
    </row>
    <row r="2470" spans="1:14" x14ac:dyDescent="0.2">
      <c r="A2470" s="3">
        <f t="shared" si="40"/>
        <v>308772</v>
      </c>
      <c r="B2470" t="str">
        <f>"03087720014"</f>
        <v>03087720014</v>
      </c>
      <c r="C2470" t="s">
        <v>2857</v>
      </c>
      <c r="D2470" t="s">
        <v>52</v>
      </c>
      <c r="E2470">
        <v>100</v>
      </c>
      <c r="F2470">
        <v>4691</v>
      </c>
      <c r="G2470" t="s">
        <v>1268</v>
      </c>
      <c r="H2470" t="s">
        <v>44</v>
      </c>
      <c r="I2470" t="s">
        <v>45</v>
      </c>
      <c r="J2470" t="s">
        <v>44</v>
      </c>
      <c r="K2470" t="s">
        <v>45</v>
      </c>
      <c r="L2470">
        <v>5</v>
      </c>
      <c r="M2470" t="s">
        <v>65</v>
      </c>
      <c r="N2470" t="s">
        <v>46</v>
      </c>
    </row>
    <row r="2471" spans="1:14" x14ac:dyDescent="0.2">
      <c r="A2471" s="3">
        <f t="shared" si="40"/>
        <v>308848</v>
      </c>
      <c r="B2471" t="str">
        <f>"03088480016"</f>
        <v>03088480016</v>
      </c>
      <c r="C2471" t="s">
        <v>2858</v>
      </c>
      <c r="D2471" t="s">
        <v>52</v>
      </c>
      <c r="E2471">
        <v>100</v>
      </c>
      <c r="F2471">
        <v>4691</v>
      </c>
      <c r="G2471" t="s">
        <v>1268</v>
      </c>
      <c r="H2471" t="s">
        <v>44</v>
      </c>
      <c r="I2471" t="s">
        <v>45</v>
      </c>
      <c r="J2471" t="s">
        <v>44</v>
      </c>
      <c r="K2471" t="s">
        <v>45</v>
      </c>
      <c r="L2471">
        <v>5</v>
      </c>
      <c r="M2471" t="s">
        <v>65</v>
      </c>
      <c r="N2471" t="s">
        <v>46</v>
      </c>
    </row>
    <row r="2472" spans="1:14" x14ac:dyDescent="0.2">
      <c r="A2472" s="3">
        <f t="shared" si="40"/>
        <v>308850</v>
      </c>
      <c r="B2472" t="str">
        <f>"03088500016"</f>
        <v>03088500016</v>
      </c>
      <c r="C2472" t="s">
        <v>2859</v>
      </c>
      <c r="D2472" t="s">
        <v>52</v>
      </c>
      <c r="E2472">
        <v>100</v>
      </c>
      <c r="F2472">
        <v>4691</v>
      </c>
      <c r="G2472" t="s">
        <v>1268</v>
      </c>
      <c r="H2472" t="s">
        <v>44</v>
      </c>
      <c r="I2472" t="s">
        <v>45</v>
      </c>
      <c r="J2472" t="s">
        <v>44</v>
      </c>
      <c r="K2472" t="s">
        <v>45</v>
      </c>
      <c r="L2472">
        <v>5</v>
      </c>
      <c r="M2472" t="s">
        <v>65</v>
      </c>
      <c r="N2472" t="s">
        <v>46</v>
      </c>
    </row>
    <row r="2473" spans="1:14" x14ac:dyDescent="0.2">
      <c r="A2473" s="3">
        <f t="shared" si="40"/>
        <v>308852</v>
      </c>
      <c r="B2473" t="str">
        <f>"03088520014"</f>
        <v>03088520014</v>
      </c>
      <c r="C2473" t="s">
        <v>2860</v>
      </c>
      <c r="D2473" t="s">
        <v>52</v>
      </c>
      <c r="E2473">
        <v>100</v>
      </c>
      <c r="F2473">
        <v>4691</v>
      </c>
      <c r="G2473" t="s">
        <v>1268</v>
      </c>
      <c r="H2473" t="s">
        <v>44</v>
      </c>
      <c r="I2473" t="s">
        <v>45</v>
      </c>
      <c r="J2473" t="s">
        <v>44</v>
      </c>
      <c r="K2473" t="s">
        <v>45</v>
      </c>
      <c r="L2473">
        <v>5</v>
      </c>
      <c r="M2473" t="s">
        <v>65</v>
      </c>
      <c r="N2473" t="s">
        <v>46</v>
      </c>
    </row>
    <row r="2474" spans="1:14" x14ac:dyDescent="0.2">
      <c r="A2474" s="3">
        <f t="shared" si="40"/>
        <v>308864</v>
      </c>
      <c r="B2474" t="str">
        <f>"03088640016"</f>
        <v>03088640016</v>
      </c>
      <c r="C2474" t="s">
        <v>2861</v>
      </c>
      <c r="D2474" t="s">
        <v>52</v>
      </c>
      <c r="E2474">
        <v>100</v>
      </c>
      <c r="F2474">
        <v>4691</v>
      </c>
      <c r="G2474" t="s">
        <v>1268</v>
      </c>
      <c r="H2474" t="s">
        <v>44</v>
      </c>
      <c r="I2474" t="s">
        <v>45</v>
      </c>
      <c r="J2474" t="s">
        <v>44</v>
      </c>
      <c r="K2474" t="s">
        <v>45</v>
      </c>
      <c r="L2474">
        <v>5</v>
      </c>
      <c r="M2474" t="s">
        <v>65</v>
      </c>
      <c r="N2474" t="s">
        <v>46</v>
      </c>
    </row>
    <row r="2475" spans="1:14" x14ac:dyDescent="0.2">
      <c r="A2475" s="3">
        <f t="shared" si="40"/>
        <v>308866</v>
      </c>
      <c r="B2475" t="str">
        <f>"03088660016"</f>
        <v>03088660016</v>
      </c>
      <c r="C2475" t="s">
        <v>2862</v>
      </c>
      <c r="D2475" t="s">
        <v>52</v>
      </c>
      <c r="E2475">
        <v>100</v>
      </c>
      <c r="F2475">
        <v>4691</v>
      </c>
      <c r="G2475" t="s">
        <v>1268</v>
      </c>
      <c r="H2475" t="s">
        <v>44</v>
      </c>
      <c r="I2475" t="s">
        <v>45</v>
      </c>
      <c r="J2475" t="s">
        <v>44</v>
      </c>
      <c r="K2475" t="s">
        <v>45</v>
      </c>
      <c r="L2475">
        <v>5</v>
      </c>
      <c r="M2475" t="s">
        <v>65</v>
      </c>
      <c r="N2475" t="s">
        <v>46</v>
      </c>
    </row>
    <row r="2476" spans="1:14" x14ac:dyDescent="0.2">
      <c r="A2476" s="3">
        <f t="shared" si="40"/>
        <v>308869</v>
      </c>
      <c r="B2476" t="str">
        <f>"03088690014"</f>
        <v>03088690014</v>
      </c>
      <c r="C2476" t="s">
        <v>2863</v>
      </c>
      <c r="D2476" t="s">
        <v>52</v>
      </c>
      <c r="E2476">
        <v>100</v>
      </c>
      <c r="F2476">
        <v>4691</v>
      </c>
      <c r="G2476" t="s">
        <v>1268</v>
      </c>
      <c r="H2476" t="s">
        <v>44</v>
      </c>
      <c r="I2476" t="s">
        <v>45</v>
      </c>
      <c r="J2476" t="s">
        <v>44</v>
      </c>
      <c r="K2476" t="s">
        <v>45</v>
      </c>
      <c r="L2476">
        <v>5</v>
      </c>
      <c r="M2476" t="s">
        <v>65</v>
      </c>
      <c r="N2476" t="s">
        <v>46</v>
      </c>
    </row>
    <row r="2477" spans="1:14" x14ac:dyDescent="0.2">
      <c r="A2477" s="3">
        <f t="shared" si="40"/>
        <v>308893</v>
      </c>
      <c r="B2477" t="str">
        <f>"03088930008"</f>
        <v>03088930008</v>
      </c>
      <c r="C2477" t="s">
        <v>2864</v>
      </c>
      <c r="D2477" t="s">
        <v>52</v>
      </c>
      <c r="E2477">
        <v>112</v>
      </c>
      <c r="F2477">
        <v>6099</v>
      </c>
      <c r="G2477" t="s">
        <v>2737</v>
      </c>
      <c r="H2477" t="s">
        <v>44</v>
      </c>
      <c r="I2477" t="s">
        <v>45</v>
      </c>
      <c r="J2477" t="s">
        <v>44</v>
      </c>
      <c r="K2477" t="s">
        <v>45</v>
      </c>
      <c r="L2477">
        <v>5</v>
      </c>
      <c r="M2477" t="s">
        <v>65</v>
      </c>
      <c r="N2477" t="s">
        <v>46</v>
      </c>
    </row>
    <row r="2478" spans="1:14" x14ac:dyDescent="0.2">
      <c r="A2478" s="3">
        <f t="shared" si="40"/>
        <v>308989</v>
      </c>
      <c r="B2478" t="str">
        <f>"03089890014"</f>
        <v>03089890014</v>
      </c>
      <c r="C2478" t="s">
        <v>2865</v>
      </c>
      <c r="D2478" t="s">
        <v>52</v>
      </c>
      <c r="E2478">
        <v>100</v>
      </c>
      <c r="F2478">
        <v>4691</v>
      </c>
      <c r="G2478" t="s">
        <v>1268</v>
      </c>
      <c r="H2478" t="s">
        <v>44</v>
      </c>
      <c r="I2478" t="s">
        <v>45</v>
      </c>
      <c r="J2478" t="s">
        <v>44</v>
      </c>
      <c r="K2478" t="s">
        <v>45</v>
      </c>
      <c r="L2478">
        <v>5</v>
      </c>
      <c r="M2478" t="s">
        <v>65</v>
      </c>
      <c r="N2478" t="s">
        <v>46</v>
      </c>
    </row>
    <row r="2479" spans="1:14" x14ac:dyDescent="0.2">
      <c r="A2479" s="3">
        <f t="shared" si="40"/>
        <v>308995</v>
      </c>
      <c r="B2479" t="str">
        <f>"03089950016"</f>
        <v>03089950016</v>
      </c>
      <c r="C2479" t="s">
        <v>2866</v>
      </c>
      <c r="D2479" t="s">
        <v>52</v>
      </c>
      <c r="E2479">
        <v>100</v>
      </c>
      <c r="F2479">
        <v>4691</v>
      </c>
      <c r="G2479" t="s">
        <v>1268</v>
      </c>
      <c r="H2479" t="s">
        <v>44</v>
      </c>
      <c r="I2479" t="s">
        <v>45</v>
      </c>
      <c r="J2479" t="s">
        <v>44</v>
      </c>
      <c r="K2479" t="s">
        <v>45</v>
      </c>
      <c r="L2479">
        <v>5</v>
      </c>
      <c r="M2479" t="s">
        <v>65</v>
      </c>
      <c r="N2479" t="s">
        <v>46</v>
      </c>
    </row>
    <row r="2480" spans="1:14" x14ac:dyDescent="0.2">
      <c r="A2480" s="3">
        <f t="shared" si="40"/>
        <v>308999</v>
      </c>
      <c r="B2480" t="str">
        <f>"03089990018"</f>
        <v>03089990018</v>
      </c>
      <c r="C2480" t="s">
        <v>2867</v>
      </c>
      <c r="D2480" t="s">
        <v>52</v>
      </c>
      <c r="E2480">
        <v>100</v>
      </c>
      <c r="F2480">
        <v>4691</v>
      </c>
      <c r="G2480" t="s">
        <v>1268</v>
      </c>
      <c r="H2480" t="s">
        <v>44</v>
      </c>
      <c r="I2480" t="s">
        <v>45</v>
      </c>
      <c r="J2480" t="s">
        <v>44</v>
      </c>
      <c r="K2480" t="s">
        <v>45</v>
      </c>
      <c r="L2480">
        <v>5</v>
      </c>
      <c r="M2480" t="s">
        <v>65</v>
      </c>
      <c r="N2480" t="s">
        <v>46</v>
      </c>
    </row>
    <row r="2481" spans="1:14" x14ac:dyDescent="0.2">
      <c r="A2481" s="3">
        <f t="shared" si="40"/>
        <v>309001</v>
      </c>
      <c r="B2481" t="str">
        <f>"03090010018"</f>
        <v>03090010018</v>
      </c>
      <c r="C2481" t="s">
        <v>2868</v>
      </c>
      <c r="D2481" t="s">
        <v>52</v>
      </c>
      <c r="E2481">
        <v>100</v>
      </c>
      <c r="F2481">
        <v>4691</v>
      </c>
      <c r="G2481" t="s">
        <v>1268</v>
      </c>
      <c r="H2481" t="s">
        <v>44</v>
      </c>
      <c r="I2481" t="s">
        <v>45</v>
      </c>
      <c r="J2481" t="s">
        <v>44</v>
      </c>
      <c r="K2481" t="s">
        <v>45</v>
      </c>
      <c r="L2481">
        <v>5</v>
      </c>
      <c r="M2481" t="s">
        <v>65</v>
      </c>
      <c r="N2481" t="s">
        <v>46</v>
      </c>
    </row>
    <row r="2482" spans="1:14" x14ac:dyDescent="0.2">
      <c r="A2482" s="3">
        <f t="shared" si="40"/>
        <v>309060</v>
      </c>
      <c r="B2482" t="str">
        <f>"03090600012"</f>
        <v>03090600012</v>
      </c>
      <c r="C2482" t="s">
        <v>2869</v>
      </c>
      <c r="D2482" t="s">
        <v>52</v>
      </c>
      <c r="E2482">
        <v>105</v>
      </c>
      <c r="F2482">
        <v>4691</v>
      </c>
      <c r="G2482" t="s">
        <v>1268</v>
      </c>
      <c r="H2482" t="s">
        <v>44</v>
      </c>
      <c r="I2482" t="s">
        <v>45</v>
      </c>
      <c r="J2482" t="s">
        <v>44</v>
      </c>
      <c r="K2482" t="s">
        <v>45</v>
      </c>
      <c r="L2482">
        <v>6</v>
      </c>
      <c r="M2482">
        <v>1223</v>
      </c>
      <c r="N2482" t="s">
        <v>46</v>
      </c>
    </row>
    <row r="2483" spans="1:14" x14ac:dyDescent="0.2">
      <c r="A2483" s="3">
        <f t="shared" si="40"/>
        <v>309073</v>
      </c>
      <c r="B2483" t="str">
        <f>"03090730012"</f>
        <v>03090730012</v>
      </c>
      <c r="C2483" t="s">
        <v>2870</v>
      </c>
      <c r="D2483" t="s">
        <v>52</v>
      </c>
      <c r="E2483">
        <v>105</v>
      </c>
      <c r="F2483">
        <v>4691</v>
      </c>
      <c r="G2483" t="s">
        <v>1268</v>
      </c>
      <c r="H2483" t="s">
        <v>44</v>
      </c>
      <c r="I2483" t="s">
        <v>45</v>
      </c>
      <c r="J2483" t="s">
        <v>44</v>
      </c>
      <c r="K2483" t="s">
        <v>45</v>
      </c>
      <c r="L2483">
        <v>6</v>
      </c>
      <c r="M2483">
        <v>1224</v>
      </c>
      <c r="N2483" t="s">
        <v>46</v>
      </c>
    </row>
    <row r="2484" spans="1:14" x14ac:dyDescent="0.2">
      <c r="A2484" s="3">
        <f t="shared" si="40"/>
        <v>309116</v>
      </c>
      <c r="B2484" t="str">
        <f>"03091160012"</f>
        <v>03091160012</v>
      </c>
      <c r="C2484" t="s">
        <v>2869</v>
      </c>
      <c r="D2484" t="s">
        <v>52</v>
      </c>
      <c r="E2484">
        <v>105</v>
      </c>
      <c r="F2484">
        <v>6613</v>
      </c>
      <c r="G2484" t="s">
        <v>2550</v>
      </c>
      <c r="H2484" t="s">
        <v>44</v>
      </c>
      <c r="I2484" t="s">
        <v>45</v>
      </c>
      <c r="J2484" t="s">
        <v>44</v>
      </c>
      <c r="K2484" t="s">
        <v>45</v>
      </c>
      <c r="L2484">
        <v>5</v>
      </c>
      <c r="M2484" t="s">
        <v>65</v>
      </c>
      <c r="N2484" t="s">
        <v>46</v>
      </c>
    </row>
    <row r="2485" spans="1:14" x14ac:dyDescent="0.2">
      <c r="A2485" s="3">
        <f t="shared" si="40"/>
        <v>309118</v>
      </c>
      <c r="B2485" t="str">
        <f>"03091180012"</f>
        <v>03091180012</v>
      </c>
      <c r="C2485" t="s">
        <v>2871</v>
      </c>
      <c r="D2485" t="s">
        <v>52</v>
      </c>
      <c r="E2485">
        <v>105</v>
      </c>
      <c r="F2485">
        <v>6613</v>
      </c>
      <c r="G2485" t="s">
        <v>2550</v>
      </c>
      <c r="H2485" t="s">
        <v>44</v>
      </c>
      <c r="I2485" t="s">
        <v>45</v>
      </c>
      <c r="J2485" t="s">
        <v>44</v>
      </c>
      <c r="K2485" t="s">
        <v>45</v>
      </c>
      <c r="L2485">
        <v>5</v>
      </c>
      <c r="M2485" t="s">
        <v>65</v>
      </c>
      <c r="N2485" t="s">
        <v>46</v>
      </c>
    </row>
    <row r="2486" spans="1:14" x14ac:dyDescent="0.2">
      <c r="A2486" s="3">
        <f t="shared" si="40"/>
        <v>309147</v>
      </c>
      <c r="B2486" t="str">
        <f>"03091470014"</f>
        <v>03091470014</v>
      </c>
      <c r="C2486" t="s">
        <v>2872</v>
      </c>
      <c r="D2486" t="s">
        <v>52</v>
      </c>
      <c r="E2486">
        <v>100</v>
      </c>
      <c r="F2486">
        <v>4691</v>
      </c>
      <c r="G2486" t="s">
        <v>1268</v>
      </c>
      <c r="H2486" t="s">
        <v>44</v>
      </c>
      <c r="I2486" t="s">
        <v>45</v>
      </c>
      <c r="J2486" t="s">
        <v>44</v>
      </c>
      <c r="K2486" t="s">
        <v>45</v>
      </c>
      <c r="L2486">
        <v>6</v>
      </c>
      <c r="M2486">
        <v>2224</v>
      </c>
      <c r="N2486" t="s">
        <v>46</v>
      </c>
    </row>
    <row r="2487" spans="1:14" x14ac:dyDescent="0.2">
      <c r="A2487" s="3">
        <f t="shared" si="40"/>
        <v>309150</v>
      </c>
      <c r="B2487" t="str">
        <f>"03091500014"</f>
        <v>03091500014</v>
      </c>
      <c r="C2487" t="s">
        <v>2873</v>
      </c>
      <c r="D2487" t="s">
        <v>52</v>
      </c>
      <c r="E2487">
        <v>100</v>
      </c>
      <c r="F2487">
        <v>4691</v>
      </c>
      <c r="G2487" t="s">
        <v>1268</v>
      </c>
      <c r="H2487" t="s">
        <v>44</v>
      </c>
      <c r="I2487" t="s">
        <v>45</v>
      </c>
      <c r="J2487" t="s">
        <v>44</v>
      </c>
      <c r="K2487" t="s">
        <v>45</v>
      </c>
      <c r="L2487">
        <v>6</v>
      </c>
      <c r="M2487">
        <v>2225</v>
      </c>
      <c r="N2487" t="s">
        <v>46</v>
      </c>
    </row>
    <row r="2488" spans="1:14" x14ac:dyDescent="0.2">
      <c r="A2488" s="3">
        <f t="shared" si="40"/>
        <v>309153</v>
      </c>
      <c r="B2488" t="str">
        <f>"03091530014"</f>
        <v>03091530014</v>
      </c>
      <c r="C2488" t="s">
        <v>2874</v>
      </c>
      <c r="D2488" t="s">
        <v>52</v>
      </c>
      <c r="E2488">
        <v>100</v>
      </c>
      <c r="F2488">
        <v>4691</v>
      </c>
      <c r="G2488" t="s">
        <v>1268</v>
      </c>
      <c r="H2488" t="s">
        <v>44</v>
      </c>
      <c r="I2488" t="s">
        <v>45</v>
      </c>
      <c r="J2488" t="s">
        <v>44</v>
      </c>
      <c r="K2488" t="s">
        <v>45</v>
      </c>
      <c r="L2488">
        <v>6</v>
      </c>
      <c r="M2488">
        <v>2226</v>
      </c>
      <c r="N2488" t="s">
        <v>46</v>
      </c>
    </row>
    <row r="2489" spans="1:14" x14ac:dyDescent="0.2">
      <c r="A2489" s="3">
        <f t="shared" si="40"/>
        <v>309156</v>
      </c>
      <c r="B2489" t="str">
        <f>"03091560014"</f>
        <v>03091560014</v>
      </c>
      <c r="C2489" t="s">
        <v>2875</v>
      </c>
      <c r="D2489" t="s">
        <v>52</v>
      </c>
      <c r="E2489">
        <v>100</v>
      </c>
      <c r="F2489">
        <v>4691</v>
      </c>
      <c r="G2489" t="s">
        <v>1268</v>
      </c>
      <c r="H2489" t="s">
        <v>44</v>
      </c>
      <c r="I2489" t="s">
        <v>45</v>
      </c>
      <c r="J2489" t="s">
        <v>44</v>
      </c>
      <c r="K2489" t="s">
        <v>45</v>
      </c>
      <c r="L2489">
        <v>6</v>
      </c>
      <c r="M2489">
        <v>2227</v>
      </c>
      <c r="N2489" t="s">
        <v>46</v>
      </c>
    </row>
    <row r="2490" spans="1:14" x14ac:dyDescent="0.2">
      <c r="A2490" s="3">
        <f t="shared" si="40"/>
        <v>309164</v>
      </c>
      <c r="B2490" t="str">
        <f>"03091640014"</f>
        <v>03091640014</v>
      </c>
      <c r="C2490" t="s">
        <v>2876</v>
      </c>
      <c r="D2490" t="s">
        <v>52</v>
      </c>
      <c r="E2490">
        <v>100</v>
      </c>
      <c r="F2490">
        <v>4691</v>
      </c>
      <c r="G2490" t="s">
        <v>1268</v>
      </c>
      <c r="H2490" t="s">
        <v>44</v>
      </c>
      <c r="I2490" t="s">
        <v>45</v>
      </c>
      <c r="J2490" t="s">
        <v>44</v>
      </c>
      <c r="K2490" t="s">
        <v>45</v>
      </c>
      <c r="L2490">
        <v>6</v>
      </c>
      <c r="M2490">
        <v>2228</v>
      </c>
      <c r="N2490" t="s">
        <v>46</v>
      </c>
    </row>
    <row r="2491" spans="1:14" x14ac:dyDescent="0.2">
      <c r="A2491" s="3">
        <f t="shared" si="40"/>
        <v>309166</v>
      </c>
      <c r="B2491" t="str">
        <f>"03091660014"</f>
        <v>03091660014</v>
      </c>
      <c r="C2491" t="s">
        <v>2877</v>
      </c>
      <c r="D2491" t="s">
        <v>52</v>
      </c>
      <c r="E2491">
        <v>100</v>
      </c>
      <c r="F2491">
        <v>4691</v>
      </c>
      <c r="G2491" t="s">
        <v>1268</v>
      </c>
      <c r="H2491" t="s">
        <v>44</v>
      </c>
      <c r="I2491" t="s">
        <v>45</v>
      </c>
      <c r="J2491" t="s">
        <v>44</v>
      </c>
      <c r="K2491" t="s">
        <v>45</v>
      </c>
      <c r="L2491">
        <v>6</v>
      </c>
      <c r="M2491">
        <v>2229</v>
      </c>
      <c r="N2491" t="s">
        <v>46</v>
      </c>
    </row>
    <row r="2492" spans="1:14" x14ac:dyDescent="0.2">
      <c r="A2492" s="3">
        <f t="shared" si="40"/>
        <v>309176</v>
      </c>
      <c r="B2492" t="str">
        <f>"03091760014"</f>
        <v>03091760014</v>
      </c>
      <c r="C2492" t="s">
        <v>2878</v>
      </c>
      <c r="D2492" t="s">
        <v>52</v>
      </c>
      <c r="E2492">
        <v>100</v>
      </c>
      <c r="F2492">
        <v>4691</v>
      </c>
      <c r="G2492" t="s">
        <v>1268</v>
      </c>
      <c r="H2492" t="s">
        <v>44</v>
      </c>
      <c r="I2492" t="s">
        <v>45</v>
      </c>
      <c r="J2492" t="s">
        <v>44</v>
      </c>
      <c r="K2492" t="s">
        <v>45</v>
      </c>
      <c r="L2492">
        <v>5</v>
      </c>
      <c r="M2492" t="s">
        <v>65</v>
      </c>
      <c r="N2492" t="s">
        <v>46</v>
      </c>
    </row>
    <row r="2493" spans="1:14" x14ac:dyDescent="0.2">
      <c r="A2493" s="3">
        <f t="shared" si="40"/>
        <v>309179</v>
      </c>
      <c r="B2493" t="str">
        <f>"03091790012"</f>
        <v>03091790012</v>
      </c>
      <c r="C2493" t="s">
        <v>2876</v>
      </c>
      <c r="D2493" t="s">
        <v>52</v>
      </c>
      <c r="E2493">
        <v>100</v>
      </c>
      <c r="F2493">
        <v>4691</v>
      </c>
      <c r="G2493" t="s">
        <v>1268</v>
      </c>
      <c r="H2493" t="s">
        <v>44</v>
      </c>
      <c r="I2493" t="s">
        <v>45</v>
      </c>
      <c r="J2493" t="s">
        <v>44</v>
      </c>
      <c r="K2493" t="s">
        <v>45</v>
      </c>
      <c r="L2493">
        <v>5</v>
      </c>
      <c r="M2493" t="s">
        <v>65</v>
      </c>
      <c r="N2493" t="s">
        <v>46</v>
      </c>
    </row>
    <row r="2494" spans="1:14" x14ac:dyDescent="0.2">
      <c r="A2494" s="3">
        <f t="shared" si="40"/>
        <v>309182</v>
      </c>
      <c r="B2494" t="str">
        <f>"03091820014"</f>
        <v>03091820014</v>
      </c>
      <c r="C2494" t="s">
        <v>2879</v>
      </c>
      <c r="D2494" t="s">
        <v>52</v>
      </c>
      <c r="E2494">
        <v>100</v>
      </c>
      <c r="F2494">
        <v>4691</v>
      </c>
      <c r="G2494" t="s">
        <v>1268</v>
      </c>
      <c r="H2494" t="s">
        <v>44</v>
      </c>
      <c r="I2494" t="s">
        <v>45</v>
      </c>
      <c r="J2494" t="s">
        <v>44</v>
      </c>
      <c r="K2494" t="s">
        <v>45</v>
      </c>
      <c r="L2494">
        <v>5</v>
      </c>
      <c r="M2494" t="s">
        <v>65</v>
      </c>
      <c r="N2494" t="s">
        <v>46</v>
      </c>
    </row>
    <row r="2495" spans="1:14" x14ac:dyDescent="0.2">
      <c r="A2495" s="3">
        <f t="shared" si="40"/>
        <v>309189</v>
      </c>
      <c r="B2495" t="str">
        <f>"03091890014"</f>
        <v>03091890014</v>
      </c>
      <c r="C2495" t="s">
        <v>2880</v>
      </c>
      <c r="D2495" t="s">
        <v>52</v>
      </c>
      <c r="E2495">
        <v>100</v>
      </c>
      <c r="F2495">
        <v>947</v>
      </c>
      <c r="G2495" t="s">
        <v>2793</v>
      </c>
      <c r="H2495" t="s">
        <v>44</v>
      </c>
      <c r="I2495" t="s">
        <v>45</v>
      </c>
      <c r="J2495" t="s">
        <v>44</v>
      </c>
      <c r="K2495" t="s">
        <v>45</v>
      </c>
      <c r="L2495">
        <v>5</v>
      </c>
      <c r="M2495" t="s">
        <v>65</v>
      </c>
      <c r="N2495" t="s">
        <v>46</v>
      </c>
    </row>
    <row r="2496" spans="1:14" x14ac:dyDescent="0.2">
      <c r="A2496" s="3">
        <f t="shared" si="40"/>
        <v>309191</v>
      </c>
      <c r="B2496" t="str">
        <f>"03091910014"</f>
        <v>03091910014</v>
      </c>
      <c r="C2496" t="s">
        <v>2881</v>
      </c>
      <c r="D2496" t="s">
        <v>52</v>
      </c>
      <c r="E2496">
        <v>100</v>
      </c>
      <c r="F2496">
        <v>4691</v>
      </c>
      <c r="G2496" t="s">
        <v>1268</v>
      </c>
      <c r="H2496" t="s">
        <v>44</v>
      </c>
      <c r="I2496" t="s">
        <v>45</v>
      </c>
      <c r="J2496" t="s">
        <v>44</v>
      </c>
      <c r="K2496" t="s">
        <v>45</v>
      </c>
      <c r="L2496">
        <v>5</v>
      </c>
      <c r="M2496" t="s">
        <v>65</v>
      </c>
      <c r="N2496" t="s">
        <v>46</v>
      </c>
    </row>
    <row r="2497" spans="1:14" x14ac:dyDescent="0.2">
      <c r="A2497" s="3">
        <f t="shared" si="40"/>
        <v>309358</v>
      </c>
      <c r="B2497" t="str">
        <f>"03093580020"</f>
        <v>03093580020</v>
      </c>
      <c r="C2497" t="s">
        <v>2882</v>
      </c>
      <c r="D2497" t="s">
        <v>52</v>
      </c>
      <c r="E2497">
        <v>100</v>
      </c>
      <c r="F2497">
        <v>4289</v>
      </c>
      <c r="G2497" t="s">
        <v>2783</v>
      </c>
      <c r="H2497" t="s">
        <v>44</v>
      </c>
      <c r="I2497" t="s">
        <v>45</v>
      </c>
      <c r="J2497" t="s">
        <v>44</v>
      </c>
      <c r="K2497" t="s">
        <v>45</v>
      </c>
      <c r="L2497">
        <v>5</v>
      </c>
      <c r="M2497" t="s">
        <v>65</v>
      </c>
      <c r="N2497" t="s">
        <v>46</v>
      </c>
    </row>
    <row r="2498" spans="1:14" x14ac:dyDescent="0.2">
      <c r="A2498" s="3">
        <f t="shared" si="40"/>
        <v>309359</v>
      </c>
      <c r="B2498" t="str">
        <f>"03093590020"</f>
        <v>03093590020</v>
      </c>
      <c r="C2498" t="s">
        <v>2883</v>
      </c>
      <c r="D2498" t="s">
        <v>52</v>
      </c>
      <c r="E2498">
        <v>100</v>
      </c>
      <c r="F2498">
        <v>4289</v>
      </c>
      <c r="G2498" t="s">
        <v>2783</v>
      </c>
      <c r="H2498" t="s">
        <v>44</v>
      </c>
      <c r="I2498" t="s">
        <v>45</v>
      </c>
      <c r="J2498" t="s">
        <v>44</v>
      </c>
      <c r="K2498" t="s">
        <v>45</v>
      </c>
      <c r="L2498">
        <v>5</v>
      </c>
      <c r="M2498" t="s">
        <v>65</v>
      </c>
      <c r="N2498" t="s">
        <v>46</v>
      </c>
    </row>
    <row r="2499" spans="1:14" x14ac:dyDescent="0.2">
      <c r="A2499" s="3">
        <f t="shared" si="40"/>
        <v>309363</v>
      </c>
      <c r="B2499" t="str">
        <f>"03093630020"</f>
        <v>03093630020</v>
      </c>
      <c r="C2499" t="s">
        <v>2884</v>
      </c>
      <c r="D2499" t="s">
        <v>52</v>
      </c>
      <c r="E2499">
        <v>100</v>
      </c>
      <c r="F2499">
        <v>4289</v>
      </c>
      <c r="G2499" t="s">
        <v>2783</v>
      </c>
      <c r="H2499" t="s">
        <v>44</v>
      </c>
      <c r="I2499" t="s">
        <v>45</v>
      </c>
      <c r="J2499" t="s">
        <v>44</v>
      </c>
      <c r="K2499" t="s">
        <v>45</v>
      </c>
      <c r="L2499">
        <v>6</v>
      </c>
      <c r="M2499">
        <v>2200</v>
      </c>
      <c r="N2499" t="s">
        <v>46</v>
      </c>
    </row>
    <row r="2500" spans="1:14" x14ac:dyDescent="0.2">
      <c r="A2500" s="3">
        <f t="shared" ref="A2500:A2563" si="41">(B2500-RIGHT(B2500,4))/10000</f>
        <v>309365</v>
      </c>
      <c r="B2500" t="str">
        <f>"03093650020"</f>
        <v>03093650020</v>
      </c>
      <c r="C2500" t="s">
        <v>2885</v>
      </c>
      <c r="D2500" t="s">
        <v>52</v>
      </c>
      <c r="E2500">
        <v>100</v>
      </c>
      <c r="F2500">
        <v>4691</v>
      </c>
      <c r="G2500" t="s">
        <v>1268</v>
      </c>
      <c r="H2500" t="s">
        <v>44</v>
      </c>
      <c r="I2500" t="s">
        <v>45</v>
      </c>
      <c r="J2500" t="s">
        <v>44</v>
      </c>
      <c r="K2500" t="s">
        <v>45</v>
      </c>
      <c r="L2500">
        <v>5</v>
      </c>
      <c r="M2500" t="s">
        <v>65</v>
      </c>
      <c r="N2500" t="s">
        <v>46</v>
      </c>
    </row>
    <row r="2501" spans="1:14" x14ac:dyDescent="0.2">
      <c r="A2501" s="3">
        <f t="shared" si="41"/>
        <v>309367</v>
      </c>
      <c r="B2501" t="str">
        <f>"03093670020"</f>
        <v>03093670020</v>
      </c>
      <c r="C2501" t="s">
        <v>2886</v>
      </c>
      <c r="D2501" t="s">
        <v>52</v>
      </c>
      <c r="E2501">
        <v>100</v>
      </c>
      <c r="F2501">
        <v>4691</v>
      </c>
      <c r="G2501" t="s">
        <v>1268</v>
      </c>
      <c r="H2501" t="s">
        <v>44</v>
      </c>
      <c r="I2501" t="s">
        <v>45</v>
      </c>
      <c r="J2501" t="s">
        <v>44</v>
      </c>
      <c r="K2501" t="s">
        <v>45</v>
      </c>
      <c r="L2501">
        <v>5</v>
      </c>
      <c r="M2501" t="s">
        <v>65</v>
      </c>
      <c r="N2501" t="s">
        <v>46</v>
      </c>
    </row>
    <row r="2502" spans="1:14" x14ac:dyDescent="0.2">
      <c r="A2502" s="3">
        <f t="shared" si="41"/>
        <v>309369</v>
      </c>
      <c r="B2502" t="str">
        <f>"03093690020"</f>
        <v>03093690020</v>
      </c>
      <c r="C2502" t="s">
        <v>2887</v>
      </c>
      <c r="D2502" t="s">
        <v>52</v>
      </c>
      <c r="E2502">
        <v>100</v>
      </c>
      <c r="F2502">
        <v>4691</v>
      </c>
      <c r="G2502" t="s">
        <v>1268</v>
      </c>
      <c r="H2502" t="s">
        <v>44</v>
      </c>
      <c r="I2502" t="s">
        <v>45</v>
      </c>
      <c r="J2502" t="s">
        <v>44</v>
      </c>
      <c r="K2502" t="s">
        <v>45</v>
      </c>
      <c r="L2502">
        <v>5</v>
      </c>
      <c r="M2502" t="s">
        <v>65</v>
      </c>
      <c r="N2502" t="s">
        <v>46</v>
      </c>
    </row>
    <row r="2503" spans="1:14" x14ac:dyDescent="0.2">
      <c r="A2503" s="3">
        <f t="shared" si="41"/>
        <v>309370</v>
      </c>
      <c r="B2503" t="str">
        <f>"03093700020"</f>
        <v>03093700020</v>
      </c>
      <c r="C2503" t="s">
        <v>2888</v>
      </c>
      <c r="D2503" t="s">
        <v>52</v>
      </c>
      <c r="E2503">
        <v>100</v>
      </c>
      <c r="F2503">
        <v>4691</v>
      </c>
      <c r="G2503" t="s">
        <v>1268</v>
      </c>
      <c r="H2503" t="s">
        <v>44</v>
      </c>
      <c r="I2503" t="s">
        <v>45</v>
      </c>
      <c r="J2503" t="s">
        <v>44</v>
      </c>
      <c r="K2503" t="s">
        <v>45</v>
      </c>
      <c r="L2503">
        <v>5</v>
      </c>
      <c r="M2503" t="s">
        <v>65</v>
      </c>
      <c r="N2503" t="s">
        <v>46</v>
      </c>
    </row>
    <row r="2504" spans="1:14" x14ac:dyDescent="0.2">
      <c r="A2504" s="3">
        <f t="shared" si="41"/>
        <v>309390</v>
      </c>
      <c r="B2504" t="str">
        <f>"03093900020"</f>
        <v>03093900020</v>
      </c>
      <c r="C2504" t="s">
        <v>2889</v>
      </c>
      <c r="D2504" t="s">
        <v>52</v>
      </c>
      <c r="E2504">
        <v>100</v>
      </c>
      <c r="F2504">
        <v>4691</v>
      </c>
      <c r="G2504" t="s">
        <v>1268</v>
      </c>
      <c r="H2504" t="s">
        <v>44</v>
      </c>
      <c r="I2504" t="s">
        <v>45</v>
      </c>
      <c r="J2504" t="s">
        <v>44</v>
      </c>
      <c r="K2504" t="s">
        <v>45</v>
      </c>
      <c r="L2504">
        <v>5</v>
      </c>
      <c r="M2504" t="s">
        <v>65</v>
      </c>
      <c r="N2504" t="s">
        <v>46</v>
      </c>
    </row>
    <row r="2505" spans="1:14" x14ac:dyDescent="0.2">
      <c r="A2505" s="3">
        <f t="shared" si="41"/>
        <v>309437</v>
      </c>
      <c r="B2505" t="str">
        <f>"03094370020"</f>
        <v>03094370020</v>
      </c>
      <c r="C2505" t="s">
        <v>2890</v>
      </c>
      <c r="D2505" t="s">
        <v>52</v>
      </c>
      <c r="E2505">
        <v>100</v>
      </c>
      <c r="F2505">
        <v>6199</v>
      </c>
      <c r="G2505" t="s">
        <v>2891</v>
      </c>
      <c r="H2505" t="s">
        <v>44</v>
      </c>
      <c r="I2505" t="s">
        <v>45</v>
      </c>
      <c r="J2505" t="s">
        <v>44</v>
      </c>
      <c r="K2505" t="s">
        <v>45</v>
      </c>
      <c r="L2505">
        <v>5</v>
      </c>
      <c r="M2505" t="s">
        <v>65</v>
      </c>
      <c r="N2505" t="s">
        <v>46</v>
      </c>
    </row>
    <row r="2506" spans="1:14" x14ac:dyDescent="0.2">
      <c r="A2506" s="3">
        <f t="shared" si="41"/>
        <v>309438</v>
      </c>
      <c r="B2506" t="str">
        <f>"03094380020"</f>
        <v>03094380020</v>
      </c>
      <c r="C2506" t="s">
        <v>2892</v>
      </c>
      <c r="D2506" t="s">
        <v>52</v>
      </c>
      <c r="E2506">
        <v>100</v>
      </c>
      <c r="F2506">
        <v>6199</v>
      </c>
      <c r="G2506" t="s">
        <v>2891</v>
      </c>
      <c r="H2506" t="s">
        <v>44</v>
      </c>
      <c r="I2506" t="s">
        <v>45</v>
      </c>
      <c r="J2506" t="s">
        <v>44</v>
      </c>
      <c r="K2506" t="s">
        <v>45</v>
      </c>
      <c r="L2506">
        <v>5</v>
      </c>
      <c r="M2506" t="s">
        <v>65</v>
      </c>
      <c r="N2506" t="s">
        <v>46</v>
      </c>
    </row>
    <row r="2507" spans="1:14" x14ac:dyDescent="0.2">
      <c r="A2507" s="3">
        <f t="shared" si="41"/>
        <v>309459</v>
      </c>
      <c r="B2507" t="str">
        <f>"03094590012"</f>
        <v>03094590012</v>
      </c>
      <c r="C2507" t="s">
        <v>2893</v>
      </c>
      <c r="D2507" t="s">
        <v>52</v>
      </c>
      <c r="E2507">
        <v>127</v>
      </c>
      <c r="F2507">
        <v>4691</v>
      </c>
      <c r="G2507" t="s">
        <v>1268</v>
      </c>
      <c r="H2507" t="s">
        <v>44</v>
      </c>
      <c r="I2507" t="s">
        <v>45</v>
      </c>
      <c r="J2507" t="s">
        <v>44</v>
      </c>
      <c r="K2507" t="s">
        <v>45</v>
      </c>
      <c r="L2507">
        <v>5</v>
      </c>
      <c r="M2507" t="s">
        <v>65</v>
      </c>
      <c r="N2507" t="s">
        <v>46</v>
      </c>
    </row>
    <row r="2508" spans="1:14" x14ac:dyDescent="0.2">
      <c r="A2508" s="3">
        <f t="shared" si="41"/>
        <v>309460</v>
      </c>
      <c r="B2508" t="str">
        <f>"03094600010"</f>
        <v>03094600010</v>
      </c>
      <c r="C2508" t="s">
        <v>2894</v>
      </c>
      <c r="D2508" t="s">
        <v>52</v>
      </c>
      <c r="E2508">
        <v>115</v>
      </c>
      <c r="F2508">
        <v>1886</v>
      </c>
      <c r="G2508" t="s">
        <v>2623</v>
      </c>
      <c r="H2508" t="s">
        <v>44</v>
      </c>
      <c r="I2508" t="s">
        <v>45</v>
      </c>
      <c r="J2508" t="s">
        <v>44</v>
      </c>
      <c r="K2508" t="s">
        <v>45</v>
      </c>
      <c r="L2508">
        <v>5</v>
      </c>
      <c r="M2508" t="s">
        <v>65</v>
      </c>
      <c r="N2508" t="s">
        <v>46</v>
      </c>
    </row>
    <row r="2509" spans="1:14" x14ac:dyDescent="0.2">
      <c r="A2509" s="3">
        <f t="shared" si="41"/>
        <v>309465</v>
      </c>
      <c r="B2509" t="str">
        <f>"03094650008"</f>
        <v>03094650008</v>
      </c>
      <c r="C2509" t="s">
        <v>2895</v>
      </c>
      <c r="D2509" t="s">
        <v>52</v>
      </c>
      <c r="E2509">
        <v>114</v>
      </c>
      <c r="F2509">
        <v>4691</v>
      </c>
      <c r="G2509" t="s">
        <v>1268</v>
      </c>
      <c r="H2509" t="s">
        <v>44</v>
      </c>
      <c r="I2509" t="s">
        <v>45</v>
      </c>
      <c r="J2509" t="s">
        <v>44</v>
      </c>
      <c r="K2509" t="s">
        <v>45</v>
      </c>
      <c r="L2509">
        <v>5</v>
      </c>
      <c r="M2509" t="s">
        <v>65</v>
      </c>
      <c r="N2509" t="s">
        <v>46</v>
      </c>
    </row>
    <row r="2510" spans="1:14" x14ac:dyDescent="0.2">
      <c r="A2510" s="3">
        <f t="shared" si="41"/>
        <v>309475</v>
      </c>
      <c r="B2510" t="str">
        <f>"03094750024"</f>
        <v>03094750024</v>
      </c>
      <c r="C2510" t="s">
        <v>2896</v>
      </c>
      <c r="D2510" t="s">
        <v>52</v>
      </c>
      <c r="E2510">
        <v>115</v>
      </c>
      <c r="F2510">
        <v>4691</v>
      </c>
      <c r="G2510" t="s">
        <v>1268</v>
      </c>
      <c r="H2510" t="s">
        <v>44</v>
      </c>
      <c r="I2510" t="s">
        <v>45</v>
      </c>
      <c r="J2510" t="s">
        <v>44</v>
      </c>
      <c r="K2510" t="s">
        <v>45</v>
      </c>
      <c r="L2510">
        <v>5</v>
      </c>
      <c r="M2510" t="s">
        <v>65</v>
      </c>
      <c r="N2510" t="s">
        <v>46</v>
      </c>
    </row>
    <row r="2511" spans="1:14" x14ac:dyDescent="0.2">
      <c r="A2511" s="3">
        <f t="shared" si="41"/>
        <v>309479</v>
      </c>
      <c r="B2511" t="str">
        <f>"03094790012"</f>
        <v>03094790012</v>
      </c>
      <c r="C2511" t="s">
        <v>2897</v>
      </c>
      <c r="D2511" t="s">
        <v>52</v>
      </c>
      <c r="E2511">
        <v>115</v>
      </c>
      <c r="F2511">
        <v>4691</v>
      </c>
      <c r="G2511" t="s">
        <v>1268</v>
      </c>
      <c r="H2511" t="s">
        <v>44</v>
      </c>
      <c r="I2511" t="s">
        <v>45</v>
      </c>
      <c r="J2511" t="s">
        <v>44</v>
      </c>
      <c r="K2511" t="s">
        <v>45</v>
      </c>
      <c r="L2511">
        <v>5</v>
      </c>
      <c r="M2511" t="s">
        <v>65</v>
      </c>
      <c r="N2511" t="s">
        <v>46</v>
      </c>
    </row>
    <row r="2512" spans="1:14" x14ac:dyDescent="0.2">
      <c r="A2512" s="3">
        <f t="shared" si="41"/>
        <v>309485</v>
      </c>
      <c r="B2512" t="str">
        <f>"03094850048"</f>
        <v>03094850048</v>
      </c>
      <c r="C2512" t="s">
        <v>2898</v>
      </c>
      <c r="D2512" t="s">
        <v>52</v>
      </c>
      <c r="E2512">
        <v>115</v>
      </c>
      <c r="F2512">
        <v>2065</v>
      </c>
      <c r="G2512" t="s">
        <v>1891</v>
      </c>
      <c r="H2512" t="s">
        <v>44</v>
      </c>
      <c r="I2512" t="s">
        <v>45</v>
      </c>
      <c r="J2512" t="s">
        <v>44</v>
      </c>
      <c r="K2512" t="s">
        <v>45</v>
      </c>
      <c r="L2512">
        <v>5</v>
      </c>
      <c r="M2512" t="s">
        <v>65</v>
      </c>
      <c r="N2512" t="s">
        <v>46</v>
      </c>
    </row>
    <row r="2513" spans="1:14" x14ac:dyDescent="0.2">
      <c r="A2513" s="3">
        <f t="shared" si="41"/>
        <v>309486</v>
      </c>
      <c r="B2513" t="str">
        <f>"03094860012"</f>
        <v>03094860012</v>
      </c>
      <c r="C2513" t="s">
        <v>2899</v>
      </c>
      <c r="D2513" t="s">
        <v>52</v>
      </c>
      <c r="E2513">
        <v>109</v>
      </c>
      <c r="F2513">
        <v>4691</v>
      </c>
      <c r="G2513" t="s">
        <v>1268</v>
      </c>
      <c r="H2513" t="s">
        <v>44</v>
      </c>
      <c r="I2513" t="s">
        <v>45</v>
      </c>
      <c r="J2513" t="s">
        <v>44</v>
      </c>
      <c r="K2513" t="s">
        <v>45</v>
      </c>
      <c r="L2513">
        <v>5</v>
      </c>
      <c r="M2513" t="s">
        <v>65</v>
      </c>
      <c r="N2513" t="s">
        <v>46</v>
      </c>
    </row>
    <row r="2514" spans="1:14" x14ac:dyDescent="0.2">
      <c r="A2514" s="3">
        <f t="shared" si="41"/>
        <v>309487</v>
      </c>
      <c r="B2514" t="str">
        <f>"03094870050"</f>
        <v>03094870050</v>
      </c>
      <c r="C2514" t="s">
        <v>2900</v>
      </c>
      <c r="D2514" t="s">
        <v>52</v>
      </c>
      <c r="E2514">
        <v>115</v>
      </c>
      <c r="F2514">
        <v>2065</v>
      </c>
      <c r="G2514" t="s">
        <v>1891</v>
      </c>
      <c r="H2514" t="s">
        <v>44</v>
      </c>
      <c r="I2514" t="s">
        <v>45</v>
      </c>
      <c r="J2514" t="s">
        <v>44</v>
      </c>
      <c r="K2514" t="s">
        <v>45</v>
      </c>
      <c r="L2514">
        <v>5</v>
      </c>
      <c r="M2514" t="s">
        <v>65</v>
      </c>
      <c r="N2514" t="s">
        <v>46</v>
      </c>
    </row>
    <row r="2515" spans="1:14" x14ac:dyDescent="0.2">
      <c r="A2515" s="3">
        <f t="shared" si="41"/>
        <v>309527</v>
      </c>
      <c r="B2515" t="str">
        <f>"03095270138"</f>
        <v>03095270138</v>
      </c>
      <c r="C2515" t="s">
        <v>2901</v>
      </c>
      <c r="D2515" t="s">
        <v>52</v>
      </c>
      <c r="E2515">
        <v>115</v>
      </c>
      <c r="F2515">
        <v>2065</v>
      </c>
      <c r="G2515" t="s">
        <v>1891</v>
      </c>
      <c r="H2515" t="s">
        <v>44</v>
      </c>
      <c r="I2515" t="s">
        <v>45</v>
      </c>
      <c r="J2515" t="s">
        <v>44</v>
      </c>
      <c r="K2515" t="s">
        <v>45</v>
      </c>
      <c r="L2515">
        <v>6</v>
      </c>
      <c r="M2515">
        <v>4251</v>
      </c>
      <c r="N2515" t="s">
        <v>46</v>
      </c>
    </row>
    <row r="2516" spans="1:14" x14ac:dyDescent="0.2">
      <c r="A2516" s="3">
        <f t="shared" si="41"/>
        <v>309565</v>
      </c>
      <c r="B2516" t="str">
        <f>"03095650004"</f>
        <v>03095650004</v>
      </c>
      <c r="C2516" t="s">
        <v>2902</v>
      </c>
      <c r="D2516" t="s">
        <v>52</v>
      </c>
      <c r="E2516">
        <v>112</v>
      </c>
      <c r="F2516">
        <v>4691</v>
      </c>
      <c r="G2516" t="s">
        <v>1268</v>
      </c>
      <c r="H2516" t="s">
        <v>44</v>
      </c>
      <c r="I2516" t="s">
        <v>45</v>
      </c>
      <c r="J2516" t="s">
        <v>44</v>
      </c>
      <c r="K2516" t="s">
        <v>45</v>
      </c>
      <c r="L2516">
        <v>5</v>
      </c>
      <c r="M2516" t="s">
        <v>65</v>
      </c>
      <c r="N2516" t="s">
        <v>46</v>
      </c>
    </row>
    <row r="2517" spans="1:14" x14ac:dyDescent="0.2">
      <c r="A2517" s="3">
        <f t="shared" si="41"/>
        <v>309571</v>
      </c>
      <c r="B2517" t="str">
        <f>"03095710001"</f>
        <v>03095710001</v>
      </c>
      <c r="C2517" t="s">
        <v>2903</v>
      </c>
      <c r="D2517" t="s">
        <v>52</v>
      </c>
      <c r="E2517">
        <v>112</v>
      </c>
      <c r="F2517">
        <v>4691</v>
      </c>
      <c r="G2517" t="s">
        <v>1268</v>
      </c>
      <c r="H2517" t="s">
        <v>44</v>
      </c>
      <c r="I2517" t="s">
        <v>45</v>
      </c>
      <c r="J2517" t="s">
        <v>44</v>
      </c>
      <c r="K2517" t="s">
        <v>45</v>
      </c>
      <c r="L2517">
        <v>5</v>
      </c>
      <c r="M2517" t="s">
        <v>65</v>
      </c>
      <c r="N2517" t="s">
        <v>46</v>
      </c>
    </row>
    <row r="2518" spans="1:14" x14ac:dyDescent="0.2">
      <c r="A2518" s="3">
        <f t="shared" si="41"/>
        <v>309592</v>
      </c>
      <c r="B2518" t="str">
        <f>"03095920006"</f>
        <v>03095920006</v>
      </c>
      <c r="C2518" t="s">
        <v>2904</v>
      </c>
      <c r="D2518" t="s">
        <v>52</v>
      </c>
      <c r="E2518">
        <v>115</v>
      </c>
      <c r="F2518">
        <v>4691</v>
      </c>
      <c r="G2518" t="s">
        <v>1268</v>
      </c>
      <c r="H2518" t="s">
        <v>44</v>
      </c>
      <c r="I2518" t="s">
        <v>45</v>
      </c>
      <c r="J2518" t="s">
        <v>44</v>
      </c>
      <c r="K2518" t="s">
        <v>45</v>
      </c>
      <c r="L2518">
        <v>5</v>
      </c>
      <c r="M2518" t="s">
        <v>65</v>
      </c>
      <c r="N2518" t="s">
        <v>46</v>
      </c>
    </row>
    <row r="2519" spans="1:14" x14ac:dyDescent="0.2">
      <c r="A2519" s="3">
        <f t="shared" si="41"/>
        <v>309633</v>
      </c>
      <c r="B2519" t="str">
        <f>"03096330004"</f>
        <v>03096330004</v>
      </c>
      <c r="C2519" t="s">
        <v>2905</v>
      </c>
      <c r="D2519" t="s">
        <v>52</v>
      </c>
      <c r="E2519">
        <v>112</v>
      </c>
      <c r="F2519">
        <v>4691</v>
      </c>
      <c r="G2519" t="s">
        <v>1268</v>
      </c>
      <c r="H2519" t="s">
        <v>44</v>
      </c>
      <c r="I2519" t="s">
        <v>45</v>
      </c>
      <c r="J2519" t="s">
        <v>44</v>
      </c>
      <c r="K2519" t="s">
        <v>45</v>
      </c>
      <c r="L2519">
        <v>5</v>
      </c>
      <c r="M2519" t="s">
        <v>65</v>
      </c>
      <c r="N2519" t="s">
        <v>46</v>
      </c>
    </row>
    <row r="2520" spans="1:14" x14ac:dyDescent="0.2">
      <c r="A2520" s="3">
        <f t="shared" si="41"/>
        <v>309667</v>
      </c>
      <c r="B2520" t="str">
        <f>"03096670001"</f>
        <v>03096670001</v>
      </c>
      <c r="C2520" t="s">
        <v>2906</v>
      </c>
      <c r="D2520" t="s">
        <v>52</v>
      </c>
      <c r="E2520">
        <v>108</v>
      </c>
      <c r="F2520">
        <v>4691</v>
      </c>
      <c r="G2520" t="s">
        <v>1268</v>
      </c>
      <c r="H2520" t="s">
        <v>44</v>
      </c>
      <c r="I2520" t="s">
        <v>45</v>
      </c>
      <c r="J2520" t="s">
        <v>44</v>
      </c>
      <c r="K2520" t="s">
        <v>45</v>
      </c>
      <c r="L2520">
        <v>5</v>
      </c>
      <c r="M2520" t="s">
        <v>65</v>
      </c>
      <c r="N2520" t="s">
        <v>46</v>
      </c>
    </row>
    <row r="2521" spans="1:14" x14ac:dyDescent="0.2">
      <c r="A2521" s="3">
        <f t="shared" si="41"/>
        <v>309674</v>
      </c>
      <c r="B2521" t="str">
        <f>"03096740004"</f>
        <v>03096740004</v>
      </c>
      <c r="C2521" t="s">
        <v>2907</v>
      </c>
      <c r="D2521" t="s">
        <v>52</v>
      </c>
      <c r="E2521">
        <v>120</v>
      </c>
      <c r="F2521">
        <v>3513</v>
      </c>
      <c r="G2521" t="s">
        <v>2718</v>
      </c>
      <c r="H2521" t="s">
        <v>44</v>
      </c>
      <c r="I2521" t="s">
        <v>45</v>
      </c>
      <c r="J2521" t="s">
        <v>44</v>
      </c>
      <c r="K2521" t="s">
        <v>45</v>
      </c>
      <c r="L2521">
        <v>5</v>
      </c>
      <c r="M2521" t="s">
        <v>65</v>
      </c>
      <c r="N2521" t="s">
        <v>46</v>
      </c>
    </row>
    <row r="2522" spans="1:14" x14ac:dyDescent="0.2">
      <c r="A2522" s="3">
        <f t="shared" si="41"/>
        <v>309675</v>
      </c>
      <c r="B2522" t="str">
        <f>"03096750010"</f>
        <v>03096750010</v>
      </c>
      <c r="C2522" t="s">
        <v>2908</v>
      </c>
      <c r="D2522" t="s">
        <v>52</v>
      </c>
      <c r="E2522">
        <v>116</v>
      </c>
      <c r="F2522">
        <v>4691</v>
      </c>
      <c r="G2522" t="s">
        <v>1268</v>
      </c>
      <c r="H2522" t="s">
        <v>44</v>
      </c>
      <c r="I2522" t="s">
        <v>45</v>
      </c>
      <c r="J2522" t="s">
        <v>44</v>
      </c>
      <c r="K2522" t="s">
        <v>45</v>
      </c>
      <c r="L2522">
        <v>6</v>
      </c>
      <c r="M2522">
        <v>1225</v>
      </c>
      <c r="N2522" t="s">
        <v>46</v>
      </c>
    </row>
    <row r="2523" spans="1:14" x14ac:dyDescent="0.2">
      <c r="A2523" s="3">
        <f t="shared" si="41"/>
        <v>309702</v>
      </c>
      <c r="B2523" t="str">
        <f>"03097020270"</f>
        <v>03097020270</v>
      </c>
      <c r="C2523" t="s">
        <v>2909</v>
      </c>
      <c r="D2523" t="s">
        <v>52</v>
      </c>
      <c r="E2523">
        <v>112</v>
      </c>
      <c r="F2523">
        <v>4691</v>
      </c>
      <c r="G2523" t="s">
        <v>1268</v>
      </c>
      <c r="H2523" t="s">
        <v>44</v>
      </c>
      <c r="I2523" t="s">
        <v>45</v>
      </c>
      <c r="J2523" t="s">
        <v>44</v>
      </c>
      <c r="K2523" t="s">
        <v>45</v>
      </c>
      <c r="L2523">
        <v>6</v>
      </c>
      <c r="M2523">
        <v>2270</v>
      </c>
      <c r="N2523" t="s">
        <v>46</v>
      </c>
    </row>
    <row r="2524" spans="1:14" x14ac:dyDescent="0.2">
      <c r="A2524" s="3">
        <f t="shared" si="41"/>
        <v>309823</v>
      </c>
      <c r="B2524" t="str">
        <f>"03098230004"</f>
        <v>03098230004</v>
      </c>
      <c r="C2524" t="s">
        <v>2910</v>
      </c>
      <c r="D2524" t="s">
        <v>52</v>
      </c>
      <c r="E2524">
        <v>112</v>
      </c>
      <c r="F2524">
        <v>4691</v>
      </c>
      <c r="G2524" t="s">
        <v>1268</v>
      </c>
      <c r="H2524" t="s">
        <v>44</v>
      </c>
      <c r="I2524" t="s">
        <v>45</v>
      </c>
      <c r="J2524" t="s">
        <v>44</v>
      </c>
      <c r="K2524" t="s">
        <v>45</v>
      </c>
      <c r="L2524">
        <v>5</v>
      </c>
      <c r="M2524" t="s">
        <v>65</v>
      </c>
      <c r="N2524" t="s">
        <v>46</v>
      </c>
    </row>
    <row r="2525" spans="1:14" x14ac:dyDescent="0.2">
      <c r="A2525" s="3">
        <f t="shared" si="41"/>
        <v>309837</v>
      </c>
      <c r="B2525" t="str">
        <f>"03098370060"</f>
        <v>03098370060</v>
      </c>
      <c r="C2525" t="s">
        <v>2911</v>
      </c>
      <c r="D2525" t="s">
        <v>52</v>
      </c>
      <c r="E2525">
        <v>120</v>
      </c>
      <c r="F2525">
        <v>3548</v>
      </c>
      <c r="G2525" t="s">
        <v>2912</v>
      </c>
      <c r="H2525" t="s">
        <v>44</v>
      </c>
      <c r="I2525" t="s">
        <v>45</v>
      </c>
      <c r="J2525" t="s">
        <v>44</v>
      </c>
      <c r="K2525" t="s">
        <v>45</v>
      </c>
      <c r="L2525">
        <v>5</v>
      </c>
      <c r="M2525" t="s">
        <v>65</v>
      </c>
      <c r="N2525" t="s">
        <v>46</v>
      </c>
    </row>
    <row r="2526" spans="1:14" x14ac:dyDescent="0.2">
      <c r="A2526" s="3">
        <f t="shared" si="41"/>
        <v>309840</v>
      </c>
      <c r="B2526" t="str">
        <f>"03098400012"</f>
        <v>03098400012</v>
      </c>
      <c r="C2526" t="s">
        <v>2913</v>
      </c>
      <c r="D2526" t="s">
        <v>52</v>
      </c>
      <c r="E2526">
        <v>100</v>
      </c>
      <c r="F2526">
        <v>4691</v>
      </c>
      <c r="G2526" t="s">
        <v>1268</v>
      </c>
      <c r="H2526" t="s">
        <v>44</v>
      </c>
      <c r="I2526" t="s">
        <v>45</v>
      </c>
      <c r="J2526" t="s">
        <v>44</v>
      </c>
      <c r="K2526" t="s">
        <v>45</v>
      </c>
      <c r="L2526">
        <v>5</v>
      </c>
      <c r="M2526" t="s">
        <v>65</v>
      </c>
      <c r="N2526" t="s">
        <v>46</v>
      </c>
    </row>
    <row r="2527" spans="1:14" x14ac:dyDescent="0.2">
      <c r="A2527" s="3">
        <f t="shared" si="41"/>
        <v>309886</v>
      </c>
      <c r="B2527" t="str">
        <f>"03098860024"</f>
        <v>03098860024</v>
      </c>
      <c r="C2527" t="s">
        <v>2914</v>
      </c>
      <c r="D2527" t="s">
        <v>52</v>
      </c>
      <c r="E2527">
        <v>114</v>
      </c>
      <c r="F2527">
        <v>4691</v>
      </c>
      <c r="G2527" t="s">
        <v>1268</v>
      </c>
      <c r="H2527" t="s">
        <v>44</v>
      </c>
      <c r="I2527" t="s">
        <v>45</v>
      </c>
      <c r="J2527" t="s">
        <v>44</v>
      </c>
      <c r="K2527" t="s">
        <v>45</v>
      </c>
      <c r="L2527">
        <v>5</v>
      </c>
      <c r="M2527" t="s">
        <v>65</v>
      </c>
      <c r="N2527" t="s">
        <v>46</v>
      </c>
    </row>
    <row r="2528" spans="1:14" x14ac:dyDescent="0.2">
      <c r="A2528" s="3">
        <f t="shared" si="41"/>
        <v>309955</v>
      </c>
      <c r="B2528" t="str">
        <f>"03099550020"</f>
        <v>03099550020</v>
      </c>
      <c r="C2528" t="s">
        <v>2915</v>
      </c>
      <c r="D2528" t="s">
        <v>52</v>
      </c>
      <c r="E2528">
        <v>105</v>
      </c>
      <c r="F2528">
        <v>4691</v>
      </c>
      <c r="G2528" t="s">
        <v>1268</v>
      </c>
      <c r="H2528" t="s">
        <v>44</v>
      </c>
      <c r="I2528" t="s">
        <v>45</v>
      </c>
      <c r="J2528" t="s">
        <v>44</v>
      </c>
      <c r="K2528" t="s">
        <v>45</v>
      </c>
      <c r="L2528">
        <v>6</v>
      </c>
      <c r="M2528">
        <v>1226</v>
      </c>
      <c r="N2528" t="s">
        <v>46</v>
      </c>
    </row>
    <row r="2529" spans="1:14" x14ac:dyDescent="0.2">
      <c r="A2529" s="3">
        <f t="shared" si="41"/>
        <v>309966</v>
      </c>
      <c r="B2529" t="str">
        <f>"03099660006"</f>
        <v>03099660006</v>
      </c>
      <c r="C2529" t="s">
        <v>2916</v>
      </c>
      <c r="D2529" t="s">
        <v>52</v>
      </c>
      <c r="E2529">
        <v>112</v>
      </c>
      <c r="F2529">
        <v>4691</v>
      </c>
      <c r="G2529" t="s">
        <v>1268</v>
      </c>
      <c r="H2529" t="s">
        <v>44</v>
      </c>
      <c r="I2529" t="s">
        <v>45</v>
      </c>
      <c r="J2529" t="s">
        <v>44</v>
      </c>
      <c r="K2529" t="s">
        <v>45</v>
      </c>
      <c r="L2529">
        <v>5</v>
      </c>
      <c r="M2529" t="s">
        <v>65</v>
      </c>
      <c r="N2529" t="s">
        <v>46</v>
      </c>
    </row>
    <row r="2530" spans="1:14" x14ac:dyDescent="0.2">
      <c r="A2530" s="3">
        <f t="shared" si="41"/>
        <v>309968</v>
      </c>
      <c r="B2530" t="str">
        <f>"03099680200"</f>
        <v>03099680200</v>
      </c>
      <c r="C2530" t="s">
        <v>2917</v>
      </c>
      <c r="D2530" t="s">
        <v>52</v>
      </c>
      <c r="E2530">
        <v>116</v>
      </c>
      <c r="F2530">
        <v>4691</v>
      </c>
      <c r="G2530" t="s">
        <v>1268</v>
      </c>
      <c r="H2530" t="s">
        <v>44</v>
      </c>
      <c r="I2530" t="s">
        <v>45</v>
      </c>
      <c r="J2530" t="s">
        <v>44</v>
      </c>
      <c r="K2530" t="s">
        <v>45</v>
      </c>
      <c r="L2530">
        <v>6</v>
      </c>
      <c r="M2530">
        <v>1227</v>
      </c>
      <c r="N2530" t="s">
        <v>46</v>
      </c>
    </row>
    <row r="2531" spans="1:14" x14ac:dyDescent="0.2">
      <c r="A2531" s="3">
        <f t="shared" si="41"/>
        <v>310059</v>
      </c>
      <c r="B2531" t="str">
        <f>"03100590008"</f>
        <v>03100590008</v>
      </c>
      <c r="C2531" t="s">
        <v>2918</v>
      </c>
      <c r="D2531" t="s">
        <v>52</v>
      </c>
      <c r="E2531">
        <v>122</v>
      </c>
      <c r="F2531">
        <v>4691</v>
      </c>
      <c r="G2531" t="s">
        <v>1268</v>
      </c>
      <c r="H2531" t="s">
        <v>44</v>
      </c>
      <c r="I2531" t="s">
        <v>45</v>
      </c>
      <c r="J2531" t="s">
        <v>44</v>
      </c>
      <c r="K2531" t="s">
        <v>45</v>
      </c>
      <c r="L2531">
        <v>6</v>
      </c>
      <c r="M2531">
        <v>2230</v>
      </c>
      <c r="N2531" t="s">
        <v>46</v>
      </c>
    </row>
    <row r="2532" spans="1:14" x14ac:dyDescent="0.2">
      <c r="A2532" s="3">
        <f t="shared" si="41"/>
        <v>310640</v>
      </c>
      <c r="B2532" t="str">
        <f>"03106400004"</f>
        <v>03106400004</v>
      </c>
      <c r="C2532" t="s">
        <v>2919</v>
      </c>
      <c r="D2532" t="s">
        <v>52</v>
      </c>
      <c r="E2532">
        <v>112</v>
      </c>
      <c r="F2532">
        <v>4691</v>
      </c>
      <c r="G2532" t="s">
        <v>1268</v>
      </c>
      <c r="H2532" t="s">
        <v>44</v>
      </c>
      <c r="I2532" t="s">
        <v>45</v>
      </c>
      <c r="J2532" t="s">
        <v>44</v>
      </c>
      <c r="K2532" t="s">
        <v>45</v>
      </c>
      <c r="L2532">
        <v>5</v>
      </c>
      <c r="M2532" t="s">
        <v>65</v>
      </c>
      <c r="N2532" t="s">
        <v>46</v>
      </c>
    </row>
    <row r="2533" spans="1:14" x14ac:dyDescent="0.2">
      <c r="A2533" s="3">
        <f t="shared" si="41"/>
        <v>314095</v>
      </c>
      <c r="B2533" t="str">
        <f>"03140950020"</f>
        <v>03140950020</v>
      </c>
      <c r="C2533" t="s">
        <v>2920</v>
      </c>
      <c r="D2533" t="s">
        <v>52</v>
      </c>
      <c r="E2533">
        <v>112</v>
      </c>
      <c r="F2533">
        <v>4691</v>
      </c>
      <c r="G2533" t="s">
        <v>1268</v>
      </c>
      <c r="H2533" t="s">
        <v>44</v>
      </c>
      <c r="I2533" t="s">
        <v>45</v>
      </c>
      <c r="J2533" t="s">
        <v>44</v>
      </c>
      <c r="K2533" t="s">
        <v>45</v>
      </c>
      <c r="L2533">
        <v>5</v>
      </c>
      <c r="M2533" t="s">
        <v>65</v>
      </c>
      <c r="N2533" t="s">
        <v>46</v>
      </c>
    </row>
    <row r="2534" spans="1:14" x14ac:dyDescent="0.2">
      <c r="A2534" s="3">
        <f t="shared" si="41"/>
        <v>314155</v>
      </c>
      <c r="B2534" t="str">
        <f>"03141550018"</f>
        <v>03141550018</v>
      </c>
      <c r="C2534" t="s">
        <v>2921</v>
      </c>
      <c r="D2534" t="s">
        <v>52</v>
      </c>
      <c r="E2534">
        <v>112</v>
      </c>
      <c r="F2534">
        <v>4691</v>
      </c>
      <c r="G2534" t="s">
        <v>1268</v>
      </c>
      <c r="H2534" t="s">
        <v>44</v>
      </c>
      <c r="I2534" t="s">
        <v>45</v>
      </c>
      <c r="J2534" t="s">
        <v>44</v>
      </c>
      <c r="K2534" t="s">
        <v>45</v>
      </c>
      <c r="L2534">
        <v>5</v>
      </c>
      <c r="M2534" t="s">
        <v>65</v>
      </c>
      <c r="N2534" t="s">
        <v>46</v>
      </c>
    </row>
    <row r="2535" spans="1:14" x14ac:dyDescent="0.2">
      <c r="A2535" s="3">
        <f t="shared" si="41"/>
        <v>5200282</v>
      </c>
      <c r="B2535" t="str">
        <f>"52002820012"</f>
        <v>52002820012</v>
      </c>
      <c r="C2535" t="s">
        <v>2922</v>
      </c>
      <c r="D2535" t="s">
        <v>421</v>
      </c>
      <c r="E2535">
        <v>48</v>
      </c>
      <c r="F2535">
        <v>1205</v>
      </c>
      <c r="G2535" t="s">
        <v>325</v>
      </c>
      <c r="H2535">
        <v>7</v>
      </c>
      <c r="I2535" t="s">
        <v>25</v>
      </c>
      <c r="J2535">
        <v>5</v>
      </c>
      <c r="K2535" t="s">
        <v>25</v>
      </c>
      <c r="L2535">
        <v>6</v>
      </c>
      <c r="M2535">
        <v>43637</v>
      </c>
      <c r="N2535">
        <v>32</v>
      </c>
    </row>
    <row r="2536" spans="1:14" x14ac:dyDescent="0.2">
      <c r="A2536" s="3">
        <f t="shared" si="41"/>
        <v>5200305</v>
      </c>
      <c r="B2536" t="str">
        <f>"52003050036"</f>
        <v>52003050036</v>
      </c>
      <c r="C2536" t="s">
        <v>2923</v>
      </c>
      <c r="D2536" t="s">
        <v>52</v>
      </c>
      <c r="E2536">
        <v>70</v>
      </c>
      <c r="F2536">
        <v>5301</v>
      </c>
      <c r="G2536" t="s">
        <v>2924</v>
      </c>
      <c r="H2536">
        <v>7</v>
      </c>
      <c r="I2536" t="s">
        <v>25</v>
      </c>
      <c r="J2536">
        <v>5</v>
      </c>
      <c r="K2536" t="s">
        <v>25</v>
      </c>
      <c r="L2536">
        <v>6</v>
      </c>
      <c r="M2536">
        <v>3629</v>
      </c>
      <c r="N2536">
        <v>2</v>
      </c>
    </row>
    <row r="2537" spans="1:14" x14ac:dyDescent="0.2">
      <c r="A2537" s="3">
        <f t="shared" si="41"/>
        <v>5200853</v>
      </c>
      <c r="B2537" t="str">
        <f>"52008530020"</f>
        <v>52008530020</v>
      </c>
      <c r="C2537" t="s">
        <v>2925</v>
      </c>
      <c r="D2537" t="s">
        <v>52</v>
      </c>
      <c r="E2537">
        <v>70</v>
      </c>
      <c r="F2537">
        <v>2426</v>
      </c>
      <c r="G2537" t="s">
        <v>1901</v>
      </c>
      <c r="H2537">
        <v>113</v>
      </c>
      <c r="I2537" t="s">
        <v>34</v>
      </c>
      <c r="J2537">
        <v>84</v>
      </c>
      <c r="K2537" t="s">
        <v>34</v>
      </c>
      <c r="L2537">
        <v>6</v>
      </c>
      <c r="M2537">
        <v>52615</v>
      </c>
      <c r="N2537">
        <v>29</v>
      </c>
    </row>
    <row r="2538" spans="1:14" x14ac:dyDescent="0.2">
      <c r="A2538" s="3">
        <f t="shared" si="41"/>
        <v>5200950</v>
      </c>
      <c r="B2538" t="str">
        <f>"52009500006"</f>
        <v>52009500006</v>
      </c>
      <c r="C2538" t="s">
        <v>2926</v>
      </c>
      <c r="D2538" t="s">
        <v>622</v>
      </c>
      <c r="E2538">
        <v>61</v>
      </c>
      <c r="F2538">
        <v>1205</v>
      </c>
      <c r="G2538" t="s">
        <v>325</v>
      </c>
      <c r="H2538" t="s">
        <v>44</v>
      </c>
      <c r="I2538" t="s">
        <v>45</v>
      </c>
      <c r="J2538" t="s">
        <v>44</v>
      </c>
      <c r="K2538" t="s">
        <v>45</v>
      </c>
      <c r="L2538">
        <v>8</v>
      </c>
      <c r="M2538">
        <v>62019</v>
      </c>
      <c r="N2538" t="s">
        <v>46</v>
      </c>
    </row>
    <row r="2539" spans="1:14" x14ac:dyDescent="0.2">
      <c r="A2539" s="3">
        <f t="shared" si="41"/>
        <v>5205095</v>
      </c>
      <c r="B2539" t="str">
        <f>"52050950012"</f>
        <v>52050950012</v>
      </c>
      <c r="C2539" t="s">
        <v>2927</v>
      </c>
      <c r="D2539" t="s">
        <v>622</v>
      </c>
      <c r="E2539">
        <v>61</v>
      </c>
      <c r="F2539">
        <v>1205</v>
      </c>
      <c r="G2539" t="s">
        <v>325</v>
      </c>
      <c r="H2539" t="s">
        <v>44</v>
      </c>
      <c r="I2539" t="s">
        <v>45</v>
      </c>
      <c r="J2539" t="s">
        <v>44</v>
      </c>
      <c r="K2539" t="s">
        <v>45</v>
      </c>
      <c r="L2539">
        <v>8</v>
      </c>
      <c r="M2539">
        <v>62045</v>
      </c>
      <c r="N2539" t="s">
        <v>46</v>
      </c>
    </row>
    <row r="2540" spans="1:14" x14ac:dyDescent="0.2">
      <c r="A2540" s="3">
        <f t="shared" si="41"/>
        <v>5206251</v>
      </c>
      <c r="B2540" t="str">
        <f>"52062510006"</f>
        <v>52062510006</v>
      </c>
      <c r="C2540" t="s">
        <v>2928</v>
      </c>
      <c r="D2540" t="s">
        <v>70</v>
      </c>
      <c r="E2540">
        <v>33</v>
      </c>
      <c r="F2540">
        <v>2534</v>
      </c>
      <c r="G2540" t="s">
        <v>2929</v>
      </c>
      <c r="H2540">
        <v>12</v>
      </c>
      <c r="I2540" t="s">
        <v>34</v>
      </c>
      <c r="J2540">
        <v>8</v>
      </c>
      <c r="K2540" t="s">
        <v>34</v>
      </c>
      <c r="L2540">
        <v>6</v>
      </c>
      <c r="M2540">
        <v>84223</v>
      </c>
      <c r="N2540">
        <v>4</v>
      </c>
    </row>
    <row r="2541" spans="1:14" x14ac:dyDescent="0.2">
      <c r="A2541" s="3">
        <f t="shared" si="41"/>
        <v>5301152</v>
      </c>
      <c r="B2541" t="str">
        <f>"53011520004"</f>
        <v>53011520004</v>
      </c>
      <c r="C2541" t="s">
        <v>2930</v>
      </c>
      <c r="D2541" t="s">
        <v>52</v>
      </c>
      <c r="E2541">
        <v>31</v>
      </c>
      <c r="F2541">
        <v>2594</v>
      </c>
      <c r="G2541" t="s">
        <v>2931</v>
      </c>
      <c r="H2541">
        <v>11</v>
      </c>
      <c r="I2541" t="s">
        <v>34</v>
      </c>
      <c r="J2541">
        <v>7</v>
      </c>
      <c r="K2541" t="s">
        <v>34</v>
      </c>
      <c r="L2541">
        <v>6</v>
      </c>
      <c r="M2541">
        <v>3531</v>
      </c>
      <c r="N2541">
        <v>4</v>
      </c>
    </row>
    <row r="2542" spans="1:14" x14ac:dyDescent="0.2">
      <c r="A2542" s="3">
        <f t="shared" si="41"/>
        <v>5514444</v>
      </c>
      <c r="B2542" t="str">
        <f>"55144440012"</f>
        <v>55144440012</v>
      </c>
      <c r="C2542" t="s">
        <v>2932</v>
      </c>
      <c r="D2542" t="s">
        <v>421</v>
      </c>
      <c r="E2542">
        <v>82</v>
      </c>
      <c r="F2542">
        <v>1205</v>
      </c>
      <c r="G2542" t="s">
        <v>325</v>
      </c>
      <c r="H2542" t="s">
        <v>44</v>
      </c>
      <c r="I2542" t="s">
        <v>45</v>
      </c>
      <c r="J2542" t="s">
        <v>44</v>
      </c>
      <c r="K2542" t="s">
        <v>45</v>
      </c>
      <c r="L2542">
        <v>8</v>
      </c>
      <c r="M2542">
        <v>70072</v>
      </c>
      <c r="N2542" t="s">
        <v>46</v>
      </c>
    </row>
    <row r="2543" spans="1:14" x14ac:dyDescent="0.2">
      <c r="A2543" s="3">
        <f t="shared" si="41"/>
        <v>5514456</v>
      </c>
      <c r="B2543" t="str">
        <f>"55144560015"</f>
        <v>55144560015</v>
      </c>
      <c r="C2543" t="s">
        <v>2933</v>
      </c>
      <c r="D2543" t="s">
        <v>421</v>
      </c>
      <c r="E2543">
        <v>82</v>
      </c>
      <c r="F2543">
        <v>2435</v>
      </c>
      <c r="G2543" t="s">
        <v>1622</v>
      </c>
      <c r="H2543" t="s">
        <v>44</v>
      </c>
      <c r="I2543" t="s">
        <v>45</v>
      </c>
      <c r="J2543" t="s">
        <v>44</v>
      </c>
      <c r="K2543" t="s">
        <v>45</v>
      </c>
      <c r="L2543">
        <v>8</v>
      </c>
      <c r="M2543">
        <v>70061</v>
      </c>
      <c r="N2543" t="s">
        <v>46</v>
      </c>
    </row>
    <row r="2544" spans="1:14" x14ac:dyDescent="0.2">
      <c r="A2544" s="3">
        <f t="shared" si="41"/>
        <v>5514456</v>
      </c>
      <c r="B2544" t="str">
        <f>"55144560015"</f>
        <v>55144560015</v>
      </c>
      <c r="C2544" t="s">
        <v>2933</v>
      </c>
      <c r="D2544" t="s">
        <v>421</v>
      </c>
      <c r="E2544">
        <v>82</v>
      </c>
      <c r="F2544">
        <v>1205</v>
      </c>
      <c r="G2544" t="s">
        <v>325</v>
      </c>
      <c r="H2544" t="s">
        <v>44</v>
      </c>
      <c r="I2544" t="s">
        <v>45</v>
      </c>
      <c r="J2544" t="s">
        <v>44</v>
      </c>
      <c r="K2544" t="s">
        <v>45</v>
      </c>
      <c r="L2544">
        <v>8</v>
      </c>
      <c r="M2544">
        <v>70061</v>
      </c>
      <c r="N2544" t="s">
        <v>46</v>
      </c>
    </row>
    <row r="2545" spans="1:14" x14ac:dyDescent="0.2">
      <c r="A2545" s="3">
        <f t="shared" si="41"/>
        <v>5514494</v>
      </c>
      <c r="B2545" t="str">
        <f>"55144940012"</f>
        <v>55144940012</v>
      </c>
      <c r="C2545" t="s">
        <v>1621</v>
      </c>
      <c r="D2545" t="s">
        <v>622</v>
      </c>
      <c r="E2545">
        <v>82</v>
      </c>
      <c r="F2545">
        <v>2435</v>
      </c>
      <c r="G2545" t="s">
        <v>1622</v>
      </c>
      <c r="H2545" t="s">
        <v>44</v>
      </c>
      <c r="I2545" t="s">
        <v>45</v>
      </c>
      <c r="J2545" t="s">
        <v>44</v>
      </c>
      <c r="K2545" t="s">
        <v>45</v>
      </c>
      <c r="L2545">
        <v>9</v>
      </c>
      <c r="M2545">
        <v>70078</v>
      </c>
      <c r="N2545" t="s">
        <v>46</v>
      </c>
    </row>
    <row r="2546" spans="1:14" x14ac:dyDescent="0.2">
      <c r="A2546" s="3">
        <f t="shared" si="41"/>
        <v>5514494</v>
      </c>
      <c r="B2546" t="str">
        <f>"55144940012"</f>
        <v>55144940012</v>
      </c>
      <c r="C2546" t="s">
        <v>1621</v>
      </c>
      <c r="D2546" t="s">
        <v>622</v>
      </c>
      <c r="E2546">
        <v>82</v>
      </c>
      <c r="F2546">
        <v>1205</v>
      </c>
      <c r="G2546" t="s">
        <v>325</v>
      </c>
      <c r="H2546" t="s">
        <v>44</v>
      </c>
      <c r="I2546" t="s">
        <v>45</v>
      </c>
      <c r="J2546" t="s">
        <v>44</v>
      </c>
      <c r="K2546" t="s">
        <v>45</v>
      </c>
      <c r="L2546">
        <v>9</v>
      </c>
      <c r="M2546">
        <v>70078</v>
      </c>
      <c r="N2546" t="s">
        <v>46</v>
      </c>
    </row>
    <row r="2547" spans="1:14" x14ac:dyDescent="0.2">
      <c r="A2547" s="3">
        <f t="shared" si="41"/>
        <v>5515305</v>
      </c>
      <c r="B2547" t="str">
        <f>"55153050012"</f>
        <v>55153050012</v>
      </c>
      <c r="C2547" t="s">
        <v>2934</v>
      </c>
      <c r="D2547" t="s">
        <v>52</v>
      </c>
      <c r="E2547">
        <v>82</v>
      </c>
      <c r="F2547">
        <v>2489</v>
      </c>
      <c r="G2547" t="s">
        <v>2935</v>
      </c>
      <c r="H2547" t="s">
        <v>44</v>
      </c>
      <c r="I2547" t="s">
        <v>45</v>
      </c>
      <c r="J2547" t="s">
        <v>44</v>
      </c>
      <c r="K2547" t="s">
        <v>45</v>
      </c>
      <c r="L2547">
        <v>6</v>
      </c>
      <c r="M2547">
        <v>2659</v>
      </c>
      <c r="N2547" t="s">
        <v>46</v>
      </c>
    </row>
    <row r="2548" spans="1:14" x14ac:dyDescent="0.2">
      <c r="A2548" s="3">
        <f t="shared" si="41"/>
        <v>5600016</v>
      </c>
      <c r="B2548" t="str">
        <f>"56000160012"</f>
        <v>56000160012</v>
      </c>
      <c r="C2548" t="s">
        <v>2936</v>
      </c>
      <c r="D2548" t="s">
        <v>52</v>
      </c>
      <c r="E2548">
        <v>33</v>
      </c>
      <c r="F2548">
        <v>2243</v>
      </c>
      <c r="G2548" t="s">
        <v>151</v>
      </c>
      <c r="H2548">
        <v>21</v>
      </c>
      <c r="I2548" t="s">
        <v>34</v>
      </c>
      <c r="J2548">
        <v>15</v>
      </c>
      <c r="K2548" t="s">
        <v>34</v>
      </c>
      <c r="L2548">
        <v>6</v>
      </c>
      <c r="M2548">
        <v>3537</v>
      </c>
      <c r="N2548">
        <v>6</v>
      </c>
    </row>
    <row r="2549" spans="1:14" x14ac:dyDescent="0.2">
      <c r="A2549" s="3">
        <f t="shared" si="41"/>
        <v>5600654</v>
      </c>
      <c r="B2549" t="str">
        <f>"56006540006"</f>
        <v>56006540006</v>
      </c>
      <c r="C2549" t="s">
        <v>2937</v>
      </c>
      <c r="D2549" t="s">
        <v>386</v>
      </c>
      <c r="E2549">
        <v>60</v>
      </c>
      <c r="F2549">
        <v>1586</v>
      </c>
      <c r="G2549" t="s">
        <v>2938</v>
      </c>
      <c r="H2549" t="s">
        <v>44</v>
      </c>
      <c r="I2549" t="s">
        <v>45</v>
      </c>
      <c r="J2549" t="s">
        <v>44</v>
      </c>
      <c r="K2549" t="s">
        <v>45</v>
      </c>
      <c r="L2549">
        <v>8</v>
      </c>
      <c r="M2549">
        <v>61060</v>
      </c>
      <c r="N2549" t="s">
        <v>46</v>
      </c>
    </row>
    <row r="2550" spans="1:14" x14ac:dyDescent="0.2">
      <c r="A2550" s="3">
        <f t="shared" si="41"/>
        <v>5601253</v>
      </c>
      <c r="B2550" t="str">
        <f>"56012530090"</f>
        <v>56012530090</v>
      </c>
      <c r="C2550" t="s">
        <v>2939</v>
      </c>
      <c r="D2550" t="s">
        <v>52</v>
      </c>
      <c r="E2550">
        <v>60</v>
      </c>
      <c r="F2550">
        <v>1678</v>
      </c>
      <c r="G2550" t="s">
        <v>2940</v>
      </c>
      <c r="H2550" t="s">
        <v>44</v>
      </c>
      <c r="I2550" t="s">
        <v>45</v>
      </c>
      <c r="J2550" t="s">
        <v>44</v>
      </c>
      <c r="K2550" t="s">
        <v>45</v>
      </c>
      <c r="L2550">
        <v>6</v>
      </c>
      <c r="M2550">
        <v>1621</v>
      </c>
      <c r="N2550" t="s">
        <v>46</v>
      </c>
    </row>
    <row r="2551" spans="1:14" x14ac:dyDescent="0.2">
      <c r="A2551" s="3">
        <f t="shared" si="41"/>
        <v>5601378</v>
      </c>
      <c r="B2551" t="str">
        <f>"56013780006"</f>
        <v>56013780006</v>
      </c>
      <c r="C2551" t="s">
        <v>2941</v>
      </c>
      <c r="D2551" t="s">
        <v>52</v>
      </c>
      <c r="E2551">
        <v>60</v>
      </c>
      <c r="F2551">
        <v>457</v>
      </c>
      <c r="G2551" t="s">
        <v>2942</v>
      </c>
      <c r="H2551" t="s">
        <v>44</v>
      </c>
      <c r="I2551" t="s">
        <v>45</v>
      </c>
      <c r="J2551" t="s">
        <v>44</v>
      </c>
      <c r="K2551" t="s">
        <v>45</v>
      </c>
      <c r="L2551">
        <v>6</v>
      </c>
      <c r="M2551">
        <v>52635</v>
      </c>
      <c r="N2551" t="s">
        <v>46</v>
      </c>
    </row>
    <row r="2552" spans="1:14" x14ac:dyDescent="0.2">
      <c r="A2552" s="3">
        <f t="shared" si="41"/>
        <v>5601579</v>
      </c>
      <c r="B2552" t="str">
        <f>"56015790012"</f>
        <v>56015790012</v>
      </c>
      <c r="C2552" t="s">
        <v>2943</v>
      </c>
      <c r="D2552" t="s">
        <v>52</v>
      </c>
      <c r="E2552">
        <v>47</v>
      </c>
      <c r="F2552">
        <v>151</v>
      </c>
      <c r="G2552" t="s">
        <v>2944</v>
      </c>
      <c r="H2552" t="s">
        <v>44</v>
      </c>
      <c r="I2552" t="s">
        <v>45</v>
      </c>
      <c r="J2552" t="s">
        <v>44</v>
      </c>
      <c r="K2552" t="s">
        <v>45</v>
      </c>
      <c r="L2552">
        <v>6</v>
      </c>
      <c r="M2552">
        <v>3605</v>
      </c>
      <c r="N2552" t="s">
        <v>46</v>
      </c>
    </row>
    <row r="2553" spans="1:14" x14ac:dyDescent="0.2">
      <c r="A2553" s="3">
        <f t="shared" si="41"/>
        <v>5601617</v>
      </c>
      <c r="B2553" t="str">
        <f>"56016170018"</f>
        <v>56016170018</v>
      </c>
      <c r="C2553" t="s">
        <v>2945</v>
      </c>
      <c r="D2553" t="s">
        <v>77</v>
      </c>
      <c r="E2553">
        <v>52</v>
      </c>
      <c r="F2553">
        <v>4371</v>
      </c>
      <c r="G2553" t="s">
        <v>517</v>
      </c>
      <c r="H2553">
        <v>60</v>
      </c>
      <c r="I2553" t="s">
        <v>34</v>
      </c>
      <c r="J2553">
        <v>44</v>
      </c>
      <c r="K2553" t="s">
        <v>34</v>
      </c>
      <c r="L2553">
        <v>8</v>
      </c>
      <c r="M2553">
        <v>72179</v>
      </c>
      <c r="N2553">
        <v>16</v>
      </c>
    </row>
    <row r="2554" spans="1:14" x14ac:dyDescent="0.2">
      <c r="A2554" s="3">
        <f t="shared" si="41"/>
        <v>5601748</v>
      </c>
      <c r="B2554" t="str">
        <f>"56017480016"</f>
        <v>56017480016</v>
      </c>
      <c r="C2554" t="s">
        <v>2946</v>
      </c>
      <c r="D2554" t="s">
        <v>32</v>
      </c>
      <c r="E2554">
        <v>30</v>
      </c>
      <c r="F2554">
        <v>3124</v>
      </c>
      <c r="G2554" t="s">
        <v>184</v>
      </c>
      <c r="H2554">
        <v>37</v>
      </c>
      <c r="I2554" t="s">
        <v>34</v>
      </c>
      <c r="J2554">
        <v>28</v>
      </c>
      <c r="K2554" t="s">
        <v>34</v>
      </c>
      <c r="L2554">
        <v>8</v>
      </c>
      <c r="M2554">
        <v>82193</v>
      </c>
      <c r="N2554">
        <v>10</v>
      </c>
    </row>
    <row r="2555" spans="1:14" x14ac:dyDescent="0.2">
      <c r="A2555" s="3">
        <f t="shared" si="41"/>
        <v>5601749</v>
      </c>
      <c r="B2555" t="str">
        <f>"56017490016"</f>
        <v>56017490016</v>
      </c>
      <c r="C2555" t="s">
        <v>2947</v>
      </c>
      <c r="D2555" t="s">
        <v>32</v>
      </c>
      <c r="E2555">
        <v>30</v>
      </c>
      <c r="F2555">
        <v>3124</v>
      </c>
      <c r="G2555" t="s">
        <v>184</v>
      </c>
      <c r="H2555">
        <v>37</v>
      </c>
      <c r="I2555" t="s">
        <v>34</v>
      </c>
      <c r="J2555">
        <v>28</v>
      </c>
      <c r="K2555" t="s">
        <v>34</v>
      </c>
      <c r="L2555">
        <v>8</v>
      </c>
      <c r="M2555">
        <v>82173</v>
      </c>
      <c r="N2555">
        <v>10</v>
      </c>
    </row>
    <row r="2556" spans="1:14" x14ac:dyDescent="0.2">
      <c r="A2556" s="3">
        <f t="shared" si="41"/>
        <v>5601831</v>
      </c>
      <c r="B2556" t="str">
        <f>"56018310006"</f>
        <v>56018310006</v>
      </c>
      <c r="C2556" t="s">
        <v>2948</v>
      </c>
      <c r="D2556" t="s">
        <v>48</v>
      </c>
      <c r="E2556">
        <v>33</v>
      </c>
      <c r="F2556">
        <v>705</v>
      </c>
      <c r="G2556" t="s">
        <v>1213</v>
      </c>
      <c r="H2556">
        <v>17</v>
      </c>
      <c r="I2556" t="s">
        <v>34</v>
      </c>
      <c r="J2556">
        <v>11</v>
      </c>
      <c r="K2556" t="s">
        <v>34</v>
      </c>
      <c r="L2556">
        <v>8</v>
      </c>
      <c r="M2556">
        <v>85230</v>
      </c>
      <c r="N2556">
        <v>6</v>
      </c>
    </row>
    <row r="2557" spans="1:14" x14ac:dyDescent="0.2">
      <c r="A2557" s="3">
        <f t="shared" si="41"/>
        <v>5601832</v>
      </c>
      <c r="B2557" t="str">
        <f>"56018320011"</f>
        <v>56018320011</v>
      </c>
      <c r="C2557" t="s">
        <v>2949</v>
      </c>
      <c r="D2557" t="s">
        <v>48</v>
      </c>
      <c r="E2557">
        <v>33</v>
      </c>
      <c r="F2557">
        <v>705</v>
      </c>
      <c r="G2557" t="s">
        <v>1213</v>
      </c>
      <c r="H2557">
        <v>38</v>
      </c>
      <c r="I2557" t="s">
        <v>34</v>
      </c>
      <c r="J2557">
        <v>28</v>
      </c>
      <c r="K2557" t="s">
        <v>34</v>
      </c>
      <c r="L2557">
        <v>8</v>
      </c>
      <c r="M2557">
        <v>85225</v>
      </c>
      <c r="N2557">
        <v>10</v>
      </c>
    </row>
    <row r="2558" spans="1:14" x14ac:dyDescent="0.2">
      <c r="A2558" s="3">
        <f t="shared" si="41"/>
        <v>5601834</v>
      </c>
      <c r="B2558" t="str">
        <f>"56018340008"</f>
        <v>56018340008</v>
      </c>
      <c r="C2558" t="s">
        <v>2950</v>
      </c>
      <c r="D2558" t="s">
        <v>52</v>
      </c>
      <c r="E2558">
        <v>33</v>
      </c>
      <c r="F2558">
        <v>2560</v>
      </c>
      <c r="G2558" t="s">
        <v>2951</v>
      </c>
      <c r="H2558">
        <v>90</v>
      </c>
      <c r="I2558" t="s">
        <v>34</v>
      </c>
      <c r="J2558">
        <v>69</v>
      </c>
      <c r="K2558" t="s">
        <v>34</v>
      </c>
      <c r="L2558">
        <v>9</v>
      </c>
      <c r="M2558">
        <v>85170</v>
      </c>
      <c r="N2558">
        <v>10</v>
      </c>
    </row>
    <row r="2559" spans="1:14" x14ac:dyDescent="0.2">
      <c r="A2559" s="3">
        <f t="shared" si="41"/>
        <v>5601834</v>
      </c>
      <c r="B2559" t="str">
        <f>"56018340008"</f>
        <v>56018340008</v>
      </c>
      <c r="C2559" t="s">
        <v>2950</v>
      </c>
      <c r="D2559" t="s">
        <v>52</v>
      </c>
      <c r="E2559">
        <v>33</v>
      </c>
      <c r="F2559">
        <v>3428</v>
      </c>
      <c r="G2559" t="s">
        <v>206</v>
      </c>
      <c r="H2559">
        <v>42</v>
      </c>
      <c r="I2559" t="s">
        <v>34</v>
      </c>
      <c r="J2559">
        <v>32</v>
      </c>
      <c r="K2559" t="s">
        <v>34</v>
      </c>
      <c r="L2559">
        <v>9</v>
      </c>
      <c r="M2559">
        <v>85170</v>
      </c>
      <c r="N2559">
        <v>10</v>
      </c>
    </row>
    <row r="2560" spans="1:14" x14ac:dyDescent="0.2">
      <c r="A2560" s="3">
        <f t="shared" si="41"/>
        <v>5601896</v>
      </c>
      <c r="B2560" t="str">
        <f>"56018960008"</f>
        <v>56018960008</v>
      </c>
      <c r="C2560" t="s">
        <v>2952</v>
      </c>
      <c r="D2560" t="s">
        <v>52</v>
      </c>
      <c r="E2560">
        <v>72</v>
      </c>
      <c r="F2560">
        <v>4309</v>
      </c>
      <c r="G2560" t="s">
        <v>2953</v>
      </c>
      <c r="H2560">
        <v>7</v>
      </c>
      <c r="I2560" t="s">
        <v>25</v>
      </c>
      <c r="J2560">
        <v>5</v>
      </c>
      <c r="K2560" t="s">
        <v>25</v>
      </c>
      <c r="L2560">
        <v>6</v>
      </c>
      <c r="M2560">
        <v>3620</v>
      </c>
      <c r="N2560">
        <v>2</v>
      </c>
    </row>
    <row r="2561" spans="1:14" x14ac:dyDescent="0.2">
      <c r="A2561" s="3">
        <f t="shared" si="41"/>
        <v>5601899</v>
      </c>
      <c r="B2561" t="str">
        <f>"56018990001"</f>
        <v>56018990001</v>
      </c>
      <c r="C2561" t="s">
        <v>2954</v>
      </c>
      <c r="D2561" t="s">
        <v>52</v>
      </c>
      <c r="E2561">
        <v>92</v>
      </c>
      <c r="F2561">
        <v>969</v>
      </c>
      <c r="G2561" t="s">
        <v>2457</v>
      </c>
      <c r="H2561">
        <v>6</v>
      </c>
      <c r="I2561" t="s">
        <v>34</v>
      </c>
      <c r="J2561">
        <v>4</v>
      </c>
      <c r="K2561" t="s">
        <v>34</v>
      </c>
      <c r="L2561">
        <v>6</v>
      </c>
      <c r="M2561" t="s">
        <v>65</v>
      </c>
      <c r="N2561">
        <v>2</v>
      </c>
    </row>
    <row r="2562" spans="1:14" x14ac:dyDescent="0.2">
      <c r="A2562" s="3">
        <f t="shared" si="41"/>
        <v>5601937</v>
      </c>
      <c r="B2562" t="str">
        <f>"56019370006"</f>
        <v>56019370006</v>
      </c>
      <c r="C2562" t="s">
        <v>2955</v>
      </c>
      <c r="D2562" t="s">
        <v>52</v>
      </c>
      <c r="E2562">
        <v>20</v>
      </c>
      <c r="F2562">
        <v>8086</v>
      </c>
      <c r="G2562" t="s">
        <v>290</v>
      </c>
      <c r="H2562">
        <v>24</v>
      </c>
      <c r="I2562" t="s">
        <v>25</v>
      </c>
      <c r="J2562">
        <v>20</v>
      </c>
      <c r="K2562" t="s">
        <v>25</v>
      </c>
      <c r="L2562">
        <v>6</v>
      </c>
      <c r="M2562">
        <v>99584</v>
      </c>
      <c r="N2562">
        <v>4</v>
      </c>
    </row>
    <row r="2563" spans="1:14" x14ac:dyDescent="0.2">
      <c r="A2563" s="3">
        <f t="shared" si="41"/>
        <v>5601937</v>
      </c>
      <c r="B2563" t="str">
        <f>"56019370006"</f>
        <v>56019370006</v>
      </c>
      <c r="C2563" t="s">
        <v>2955</v>
      </c>
      <c r="D2563" t="s">
        <v>52</v>
      </c>
      <c r="E2563">
        <v>20</v>
      </c>
      <c r="F2563">
        <v>2504</v>
      </c>
      <c r="G2563" t="s">
        <v>715</v>
      </c>
      <c r="H2563">
        <v>24</v>
      </c>
      <c r="I2563" t="s">
        <v>25</v>
      </c>
      <c r="J2563">
        <v>20</v>
      </c>
      <c r="K2563" t="s">
        <v>25</v>
      </c>
      <c r="L2563">
        <v>6</v>
      </c>
      <c r="M2563">
        <v>99584</v>
      </c>
      <c r="N2563">
        <v>4</v>
      </c>
    </row>
    <row r="2564" spans="1:14" x14ac:dyDescent="0.2">
      <c r="A2564" s="3">
        <f t="shared" ref="A2564:A2627" si="42">(B2564-RIGHT(B2564,4))/10000</f>
        <v>5601950</v>
      </c>
      <c r="B2564" t="str">
        <f>"56019500006"</f>
        <v>56019500006</v>
      </c>
      <c r="C2564" t="s">
        <v>2956</v>
      </c>
      <c r="D2564" t="s">
        <v>52</v>
      </c>
      <c r="E2564">
        <v>30</v>
      </c>
      <c r="F2564">
        <v>1344</v>
      </c>
      <c r="G2564" t="s">
        <v>2957</v>
      </c>
      <c r="H2564">
        <v>21</v>
      </c>
      <c r="I2564" t="s">
        <v>34</v>
      </c>
      <c r="J2564">
        <v>15</v>
      </c>
      <c r="K2564" t="s">
        <v>34</v>
      </c>
      <c r="L2564">
        <v>5</v>
      </c>
      <c r="M2564" t="s">
        <v>65</v>
      </c>
      <c r="N2564">
        <v>6</v>
      </c>
    </row>
    <row r="2565" spans="1:14" x14ac:dyDescent="0.2">
      <c r="A2565" s="3">
        <f t="shared" si="42"/>
        <v>5601950</v>
      </c>
      <c r="B2565" t="str">
        <f>"56019500008"</f>
        <v>56019500008</v>
      </c>
      <c r="C2565" t="s">
        <v>2956</v>
      </c>
      <c r="D2565" t="s">
        <v>101</v>
      </c>
      <c r="E2565">
        <v>30</v>
      </c>
      <c r="F2565">
        <v>1344</v>
      </c>
      <c r="G2565" t="s">
        <v>2957</v>
      </c>
      <c r="H2565">
        <v>21</v>
      </c>
      <c r="I2565" t="s">
        <v>34</v>
      </c>
      <c r="J2565">
        <v>15</v>
      </c>
      <c r="K2565" t="s">
        <v>34</v>
      </c>
      <c r="L2565">
        <v>8</v>
      </c>
      <c r="M2565">
        <v>82126</v>
      </c>
      <c r="N2565">
        <v>6</v>
      </c>
    </row>
    <row r="2566" spans="1:14" x14ac:dyDescent="0.2">
      <c r="A2566" s="3">
        <f t="shared" si="42"/>
        <v>5601992</v>
      </c>
      <c r="B2566" t="str">
        <f>"56019920001"</f>
        <v>56019920001</v>
      </c>
      <c r="C2566" t="s">
        <v>2958</v>
      </c>
      <c r="D2566" t="s">
        <v>337</v>
      </c>
      <c r="E2566">
        <v>90</v>
      </c>
      <c r="F2566">
        <v>3759</v>
      </c>
      <c r="G2566" t="s">
        <v>356</v>
      </c>
      <c r="H2566">
        <v>9</v>
      </c>
      <c r="I2566" t="s">
        <v>34</v>
      </c>
      <c r="J2566">
        <v>6</v>
      </c>
      <c r="K2566" t="s">
        <v>34</v>
      </c>
      <c r="L2566">
        <v>8</v>
      </c>
      <c r="M2566">
        <v>91017</v>
      </c>
      <c r="N2566">
        <v>3</v>
      </c>
    </row>
    <row r="2567" spans="1:14" x14ac:dyDescent="0.2">
      <c r="A2567" s="3">
        <f t="shared" si="42"/>
        <v>5602007</v>
      </c>
      <c r="B2567" t="str">
        <f>"56020070018"</f>
        <v>56020070018</v>
      </c>
      <c r="C2567" t="s">
        <v>2959</v>
      </c>
      <c r="D2567" t="s">
        <v>48</v>
      </c>
      <c r="E2567">
        <v>32</v>
      </c>
      <c r="F2567">
        <v>599</v>
      </c>
      <c r="G2567" t="s">
        <v>111</v>
      </c>
      <c r="H2567">
        <v>44</v>
      </c>
      <c r="I2567" t="s">
        <v>34</v>
      </c>
      <c r="J2567">
        <v>33</v>
      </c>
      <c r="K2567" t="s">
        <v>34</v>
      </c>
      <c r="L2567">
        <v>8</v>
      </c>
      <c r="M2567">
        <v>82045</v>
      </c>
      <c r="N2567">
        <v>11</v>
      </c>
    </row>
    <row r="2568" spans="1:14" x14ac:dyDescent="0.2">
      <c r="A2568" s="3">
        <f t="shared" si="42"/>
        <v>5602036</v>
      </c>
      <c r="B2568" t="str">
        <f>"56020360006"</f>
        <v>56020360006</v>
      </c>
      <c r="C2568" t="s">
        <v>2960</v>
      </c>
      <c r="D2568" t="s">
        <v>386</v>
      </c>
      <c r="E2568">
        <v>60</v>
      </c>
      <c r="F2568">
        <v>1688</v>
      </c>
      <c r="G2568" t="s">
        <v>939</v>
      </c>
      <c r="H2568" t="s">
        <v>44</v>
      </c>
      <c r="I2568" t="s">
        <v>45</v>
      </c>
      <c r="J2568" t="s">
        <v>44</v>
      </c>
      <c r="K2568" t="s">
        <v>45</v>
      </c>
      <c r="L2568">
        <v>8</v>
      </c>
      <c r="M2568">
        <v>61215</v>
      </c>
      <c r="N2568" t="s">
        <v>46</v>
      </c>
    </row>
    <row r="2569" spans="1:14" x14ac:dyDescent="0.2">
      <c r="A2569" s="3">
        <f t="shared" si="42"/>
        <v>5602037</v>
      </c>
      <c r="B2569" t="str">
        <f>"56020370006"</f>
        <v>56020370006</v>
      </c>
      <c r="C2569" t="s">
        <v>2961</v>
      </c>
      <c r="D2569" t="s">
        <v>386</v>
      </c>
      <c r="E2569">
        <v>60</v>
      </c>
      <c r="F2569">
        <v>1688</v>
      </c>
      <c r="G2569" t="s">
        <v>939</v>
      </c>
      <c r="H2569" t="s">
        <v>44</v>
      </c>
      <c r="I2569" t="s">
        <v>45</v>
      </c>
      <c r="J2569" t="s">
        <v>44</v>
      </c>
      <c r="K2569" t="s">
        <v>45</v>
      </c>
      <c r="L2569">
        <v>8</v>
      </c>
      <c r="M2569">
        <v>61245</v>
      </c>
      <c r="N2569" t="s">
        <v>46</v>
      </c>
    </row>
    <row r="2570" spans="1:14" x14ac:dyDescent="0.2">
      <c r="A2570" s="3">
        <f t="shared" si="42"/>
        <v>5602046</v>
      </c>
      <c r="B2570" t="str">
        <f>"56020460006"</f>
        <v>56020460006</v>
      </c>
      <c r="C2570" t="s">
        <v>2962</v>
      </c>
      <c r="D2570" t="s">
        <v>67</v>
      </c>
      <c r="E2570">
        <v>72</v>
      </c>
      <c r="F2570">
        <v>2476</v>
      </c>
      <c r="G2570" t="s">
        <v>679</v>
      </c>
      <c r="H2570">
        <v>18</v>
      </c>
      <c r="I2570" t="s">
        <v>34</v>
      </c>
      <c r="J2570">
        <v>13</v>
      </c>
      <c r="K2570" t="s">
        <v>34</v>
      </c>
      <c r="L2570">
        <v>8</v>
      </c>
      <c r="M2570">
        <v>76243</v>
      </c>
      <c r="N2570">
        <v>5</v>
      </c>
    </row>
    <row r="2571" spans="1:14" x14ac:dyDescent="0.2">
      <c r="A2571" s="3">
        <f t="shared" si="42"/>
        <v>5602047</v>
      </c>
      <c r="B2571" t="str">
        <f>"56020470008"</f>
        <v>56020470008</v>
      </c>
      <c r="C2571" t="s">
        <v>2963</v>
      </c>
      <c r="D2571" t="s">
        <v>36</v>
      </c>
      <c r="E2571">
        <v>72</v>
      </c>
      <c r="F2571">
        <v>1433</v>
      </c>
      <c r="G2571" t="s">
        <v>2964</v>
      </c>
      <c r="H2571">
        <v>6</v>
      </c>
      <c r="I2571" t="s">
        <v>25</v>
      </c>
      <c r="J2571">
        <v>4</v>
      </c>
      <c r="K2571" t="s">
        <v>25</v>
      </c>
      <c r="L2571">
        <v>8</v>
      </c>
      <c r="M2571">
        <v>66014</v>
      </c>
      <c r="N2571">
        <v>2</v>
      </c>
    </row>
    <row r="2572" spans="1:14" x14ac:dyDescent="0.2">
      <c r="A2572" s="3">
        <f t="shared" si="42"/>
        <v>5602048</v>
      </c>
      <c r="B2572" t="str">
        <f>"56020480008"</f>
        <v>56020480008</v>
      </c>
      <c r="C2572" t="s">
        <v>2965</v>
      </c>
      <c r="D2572" t="s">
        <v>36</v>
      </c>
      <c r="E2572">
        <v>72</v>
      </c>
      <c r="F2572">
        <v>1433</v>
      </c>
      <c r="G2572" t="s">
        <v>2964</v>
      </c>
      <c r="H2572">
        <v>7</v>
      </c>
      <c r="I2572" t="s">
        <v>25</v>
      </c>
      <c r="J2572">
        <v>5</v>
      </c>
      <c r="K2572" t="s">
        <v>25</v>
      </c>
      <c r="L2572">
        <v>8</v>
      </c>
      <c r="M2572">
        <v>66019</v>
      </c>
      <c r="N2572">
        <v>2</v>
      </c>
    </row>
    <row r="2573" spans="1:14" x14ac:dyDescent="0.2">
      <c r="A2573" s="3">
        <f t="shared" si="42"/>
        <v>5602174</v>
      </c>
      <c r="B2573" t="str">
        <f>"56021740006"</f>
        <v>56021740006</v>
      </c>
      <c r="C2573" t="s">
        <v>2966</v>
      </c>
      <c r="D2573" t="s">
        <v>67</v>
      </c>
      <c r="E2573">
        <v>31</v>
      </c>
      <c r="F2573">
        <v>4937</v>
      </c>
      <c r="G2573" t="s">
        <v>68</v>
      </c>
      <c r="H2573">
        <v>18</v>
      </c>
      <c r="I2573" t="s">
        <v>34</v>
      </c>
      <c r="J2573">
        <v>13</v>
      </c>
      <c r="K2573" t="s">
        <v>34</v>
      </c>
      <c r="L2573">
        <v>8</v>
      </c>
      <c r="M2573">
        <v>84111</v>
      </c>
      <c r="N2573">
        <v>5</v>
      </c>
    </row>
    <row r="2574" spans="1:14" x14ac:dyDescent="0.2">
      <c r="A2574" s="3">
        <f t="shared" si="42"/>
        <v>5602176</v>
      </c>
      <c r="B2574" t="str">
        <f>"56021760006"</f>
        <v>56021760006</v>
      </c>
      <c r="C2574" t="s">
        <v>2967</v>
      </c>
      <c r="D2574" t="s">
        <v>32</v>
      </c>
      <c r="E2574">
        <v>31</v>
      </c>
      <c r="F2574">
        <v>1393</v>
      </c>
      <c r="G2574" t="s">
        <v>2968</v>
      </c>
      <c r="H2574">
        <v>18</v>
      </c>
      <c r="I2574" t="s">
        <v>34</v>
      </c>
      <c r="J2574">
        <v>13</v>
      </c>
      <c r="K2574" t="s">
        <v>34</v>
      </c>
      <c r="L2574">
        <v>8</v>
      </c>
      <c r="M2574">
        <v>84105</v>
      </c>
      <c r="N2574">
        <v>5</v>
      </c>
    </row>
    <row r="2575" spans="1:14" x14ac:dyDescent="0.2">
      <c r="A2575" s="3">
        <f t="shared" si="42"/>
        <v>5602189</v>
      </c>
      <c r="B2575" t="str">
        <f>"56021890006"</f>
        <v>56021890006</v>
      </c>
      <c r="C2575" t="s">
        <v>2969</v>
      </c>
      <c r="D2575" t="s">
        <v>386</v>
      </c>
      <c r="E2575">
        <v>60</v>
      </c>
      <c r="F2575">
        <v>858</v>
      </c>
      <c r="G2575" t="s">
        <v>727</v>
      </c>
      <c r="H2575" t="s">
        <v>44</v>
      </c>
      <c r="I2575" t="s">
        <v>45</v>
      </c>
      <c r="J2575" t="s">
        <v>44</v>
      </c>
      <c r="K2575" t="s">
        <v>45</v>
      </c>
      <c r="L2575">
        <v>8</v>
      </c>
      <c r="M2575">
        <v>61027</v>
      </c>
      <c r="N2575" t="s">
        <v>46</v>
      </c>
    </row>
    <row r="2576" spans="1:14" x14ac:dyDescent="0.2">
      <c r="A2576" s="3">
        <f t="shared" si="42"/>
        <v>5602201</v>
      </c>
      <c r="B2576" t="str">
        <f>"56022010040"</f>
        <v>56022010040</v>
      </c>
      <c r="C2576" t="s">
        <v>2970</v>
      </c>
      <c r="D2576" t="s">
        <v>77</v>
      </c>
      <c r="E2576">
        <v>35</v>
      </c>
      <c r="F2576">
        <v>3309</v>
      </c>
      <c r="G2576" t="s">
        <v>94</v>
      </c>
      <c r="H2576">
        <v>45</v>
      </c>
      <c r="I2576" t="s">
        <v>34</v>
      </c>
      <c r="J2576">
        <v>34</v>
      </c>
      <c r="K2576" t="s">
        <v>34</v>
      </c>
      <c r="L2576">
        <v>8</v>
      </c>
      <c r="M2576">
        <v>84109</v>
      </c>
      <c r="N2576">
        <v>6</v>
      </c>
    </row>
    <row r="2577" spans="1:14" x14ac:dyDescent="0.2">
      <c r="A2577" s="3">
        <f t="shared" si="42"/>
        <v>5602358</v>
      </c>
      <c r="B2577" t="str">
        <f>"56023580022"</f>
        <v>56023580022</v>
      </c>
      <c r="C2577" t="s">
        <v>2971</v>
      </c>
      <c r="D2577" t="s">
        <v>36</v>
      </c>
      <c r="E2577">
        <v>72</v>
      </c>
      <c r="F2577">
        <v>4609</v>
      </c>
      <c r="G2577" t="s">
        <v>2972</v>
      </c>
      <c r="H2577">
        <v>80</v>
      </c>
      <c r="I2577" t="s">
        <v>34</v>
      </c>
      <c r="J2577">
        <v>62</v>
      </c>
      <c r="K2577" t="s">
        <v>34</v>
      </c>
      <c r="L2577">
        <v>8</v>
      </c>
      <c r="M2577">
        <v>74050</v>
      </c>
      <c r="N2577">
        <v>18</v>
      </c>
    </row>
    <row r="2578" spans="1:14" x14ac:dyDescent="0.2">
      <c r="A2578" s="3">
        <f t="shared" si="42"/>
        <v>5602378</v>
      </c>
      <c r="B2578" t="str">
        <f>"56023780010"</f>
        <v>56023780010</v>
      </c>
      <c r="C2578" t="s">
        <v>2973</v>
      </c>
      <c r="D2578" t="s">
        <v>67</v>
      </c>
      <c r="E2578">
        <v>32</v>
      </c>
      <c r="F2578">
        <v>920</v>
      </c>
      <c r="G2578" t="s">
        <v>105</v>
      </c>
      <c r="H2578">
        <v>30</v>
      </c>
      <c r="I2578" t="s">
        <v>34</v>
      </c>
      <c r="J2578">
        <v>20</v>
      </c>
      <c r="K2578" t="s">
        <v>34</v>
      </c>
      <c r="L2578">
        <v>8</v>
      </c>
      <c r="M2578">
        <v>82025</v>
      </c>
      <c r="N2578">
        <v>10</v>
      </c>
    </row>
    <row r="2579" spans="1:14" x14ac:dyDescent="0.2">
      <c r="A2579" s="3">
        <f t="shared" si="42"/>
        <v>5602380</v>
      </c>
      <c r="B2579" t="str">
        <f>"56023800004"</f>
        <v>56023800004</v>
      </c>
      <c r="C2579" t="s">
        <v>2974</v>
      </c>
      <c r="D2579" t="s">
        <v>52</v>
      </c>
      <c r="E2579">
        <v>33</v>
      </c>
      <c r="F2579">
        <v>2243</v>
      </c>
      <c r="G2579" t="s">
        <v>151</v>
      </c>
      <c r="H2579">
        <v>21</v>
      </c>
      <c r="I2579" t="s">
        <v>34</v>
      </c>
      <c r="J2579">
        <v>15</v>
      </c>
      <c r="K2579" t="s">
        <v>34</v>
      </c>
      <c r="L2579">
        <v>6</v>
      </c>
      <c r="M2579">
        <v>3538</v>
      </c>
      <c r="N2579">
        <v>6</v>
      </c>
    </row>
    <row r="2580" spans="1:14" x14ac:dyDescent="0.2">
      <c r="A2580" s="3">
        <f t="shared" si="42"/>
        <v>5602465</v>
      </c>
      <c r="B2580" t="str">
        <f>"56024650005"</f>
        <v>56024650005</v>
      </c>
      <c r="C2580" t="s">
        <v>2975</v>
      </c>
      <c r="D2580" t="s">
        <v>67</v>
      </c>
      <c r="E2580">
        <v>30</v>
      </c>
      <c r="F2580">
        <v>1636</v>
      </c>
      <c r="G2580" t="s">
        <v>2976</v>
      </c>
      <c r="H2580">
        <v>26</v>
      </c>
      <c r="I2580" t="s">
        <v>34</v>
      </c>
      <c r="J2580">
        <v>19</v>
      </c>
      <c r="K2580" t="s">
        <v>34</v>
      </c>
      <c r="L2580">
        <v>9</v>
      </c>
      <c r="M2580">
        <v>82250</v>
      </c>
      <c r="N2580">
        <v>7</v>
      </c>
    </row>
    <row r="2581" spans="1:14" x14ac:dyDescent="0.2">
      <c r="A2581" s="3">
        <f t="shared" si="42"/>
        <v>5602465</v>
      </c>
      <c r="B2581" t="str">
        <f>"56024650008"</f>
        <v>56024650008</v>
      </c>
      <c r="C2581" t="s">
        <v>2975</v>
      </c>
      <c r="D2581" t="s">
        <v>67</v>
      </c>
      <c r="E2581">
        <v>30</v>
      </c>
      <c r="F2581">
        <v>1636</v>
      </c>
      <c r="G2581" t="s">
        <v>2976</v>
      </c>
      <c r="H2581">
        <v>26</v>
      </c>
      <c r="I2581" t="s">
        <v>34</v>
      </c>
      <c r="J2581">
        <v>19</v>
      </c>
      <c r="K2581" t="s">
        <v>34</v>
      </c>
      <c r="L2581">
        <v>5</v>
      </c>
      <c r="M2581" t="s">
        <v>65</v>
      </c>
      <c r="N2581">
        <v>7</v>
      </c>
    </row>
    <row r="2582" spans="1:14" x14ac:dyDescent="0.2">
      <c r="A2582" s="3">
        <f t="shared" si="42"/>
        <v>5602545</v>
      </c>
      <c r="B2582" t="str">
        <f>"56025450001"</f>
        <v>56025450001</v>
      </c>
      <c r="C2582" t="s">
        <v>2977</v>
      </c>
      <c r="D2582" t="s">
        <v>337</v>
      </c>
      <c r="E2582">
        <v>90</v>
      </c>
      <c r="F2582">
        <v>8253</v>
      </c>
      <c r="G2582" t="s">
        <v>343</v>
      </c>
      <c r="H2582">
        <v>9</v>
      </c>
      <c r="I2582" t="s">
        <v>34</v>
      </c>
      <c r="J2582">
        <v>6</v>
      </c>
      <c r="K2582" t="s">
        <v>34</v>
      </c>
      <c r="L2582">
        <v>8</v>
      </c>
      <c r="M2582">
        <v>91020</v>
      </c>
      <c r="N2582">
        <v>3</v>
      </c>
    </row>
    <row r="2583" spans="1:14" x14ac:dyDescent="0.2">
      <c r="A2583" s="3">
        <f t="shared" si="42"/>
        <v>5602546</v>
      </c>
      <c r="B2583" t="str">
        <f>"56025460001"</f>
        <v>56025460001</v>
      </c>
      <c r="C2583" t="s">
        <v>2978</v>
      </c>
      <c r="D2583" t="s">
        <v>337</v>
      </c>
      <c r="E2583">
        <v>91</v>
      </c>
      <c r="F2583">
        <v>8018</v>
      </c>
      <c r="G2583" t="s">
        <v>322</v>
      </c>
      <c r="H2583">
        <v>7</v>
      </c>
      <c r="I2583" t="s">
        <v>34</v>
      </c>
      <c r="J2583">
        <v>5</v>
      </c>
      <c r="K2583" t="s">
        <v>34</v>
      </c>
      <c r="L2583">
        <v>8</v>
      </c>
      <c r="M2583">
        <v>91059</v>
      </c>
      <c r="N2583">
        <v>2</v>
      </c>
    </row>
    <row r="2584" spans="1:14" x14ac:dyDescent="0.2">
      <c r="A2584" s="3">
        <f t="shared" si="42"/>
        <v>5602547</v>
      </c>
      <c r="B2584" t="str">
        <f>"56025470001"</f>
        <v>56025470001</v>
      </c>
      <c r="C2584" t="s">
        <v>2979</v>
      </c>
      <c r="D2584" t="s">
        <v>337</v>
      </c>
      <c r="E2584">
        <v>91</v>
      </c>
      <c r="F2584">
        <v>8018</v>
      </c>
      <c r="G2584" t="s">
        <v>322</v>
      </c>
      <c r="H2584">
        <v>7</v>
      </c>
      <c r="I2584" t="s">
        <v>34</v>
      </c>
      <c r="J2584">
        <v>5</v>
      </c>
      <c r="K2584" t="s">
        <v>34</v>
      </c>
      <c r="L2584">
        <v>8</v>
      </c>
      <c r="M2584">
        <v>91061</v>
      </c>
      <c r="N2584">
        <v>2</v>
      </c>
    </row>
    <row r="2585" spans="1:14" x14ac:dyDescent="0.2">
      <c r="A2585" s="3">
        <f t="shared" si="42"/>
        <v>5602550</v>
      </c>
      <c r="B2585" t="str">
        <f>"56025500004"</f>
        <v>56025500004</v>
      </c>
      <c r="C2585" t="s">
        <v>2980</v>
      </c>
      <c r="D2585" t="s">
        <v>289</v>
      </c>
      <c r="E2585">
        <v>20</v>
      </c>
      <c r="F2585">
        <v>8086</v>
      </c>
      <c r="G2585" t="s">
        <v>290</v>
      </c>
      <c r="H2585">
        <v>12</v>
      </c>
      <c r="I2585" t="s">
        <v>25</v>
      </c>
      <c r="J2585">
        <v>9</v>
      </c>
      <c r="K2585" t="s">
        <v>25</v>
      </c>
      <c r="L2585">
        <v>8</v>
      </c>
      <c r="M2585">
        <v>87052</v>
      </c>
      <c r="N2585">
        <v>3</v>
      </c>
    </row>
    <row r="2586" spans="1:14" x14ac:dyDescent="0.2">
      <c r="A2586" s="3">
        <f t="shared" si="42"/>
        <v>5602550</v>
      </c>
      <c r="B2586" t="str">
        <f>"56025500004"</f>
        <v>56025500004</v>
      </c>
      <c r="C2586" t="s">
        <v>2980</v>
      </c>
      <c r="D2586" t="s">
        <v>289</v>
      </c>
      <c r="E2586">
        <v>20</v>
      </c>
      <c r="F2586">
        <v>6959</v>
      </c>
      <c r="G2586" t="s">
        <v>2981</v>
      </c>
      <c r="H2586">
        <v>12</v>
      </c>
      <c r="I2586" t="s">
        <v>25</v>
      </c>
      <c r="J2586">
        <v>9</v>
      </c>
      <c r="K2586" t="s">
        <v>25</v>
      </c>
      <c r="L2586">
        <v>8</v>
      </c>
      <c r="M2586">
        <v>87052</v>
      </c>
      <c r="N2586">
        <v>3</v>
      </c>
    </row>
    <row r="2587" spans="1:14" x14ac:dyDescent="0.2">
      <c r="A2587" s="3">
        <f t="shared" si="42"/>
        <v>5602574</v>
      </c>
      <c r="B2587" t="str">
        <f>"56025740012"</f>
        <v>56025740012</v>
      </c>
      <c r="C2587" t="s">
        <v>2982</v>
      </c>
      <c r="D2587" t="s">
        <v>77</v>
      </c>
      <c r="E2587">
        <v>51</v>
      </c>
      <c r="F2587">
        <v>3428</v>
      </c>
      <c r="G2587" t="s">
        <v>206</v>
      </c>
      <c r="H2587">
        <v>32</v>
      </c>
      <c r="I2587" t="s">
        <v>25</v>
      </c>
      <c r="J2587">
        <v>26</v>
      </c>
      <c r="K2587" t="s">
        <v>25</v>
      </c>
      <c r="L2587">
        <v>9</v>
      </c>
      <c r="M2587">
        <v>72221</v>
      </c>
      <c r="N2587">
        <v>6</v>
      </c>
    </row>
    <row r="2588" spans="1:14" x14ac:dyDescent="0.2">
      <c r="A2588" s="3">
        <f t="shared" si="42"/>
        <v>5602588</v>
      </c>
      <c r="B2588" t="str">
        <f>"56025880016"</f>
        <v>56025880016</v>
      </c>
      <c r="C2588" t="s">
        <v>2983</v>
      </c>
      <c r="D2588" t="s">
        <v>77</v>
      </c>
      <c r="E2588">
        <v>32</v>
      </c>
      <c r="F2588">
        <v>5906</v>
      </c>
      <c r="G2588" t="s">
        <v>2984</v>
      </c>
      <c r="H2588">
        <v>50</v>
      </c>
      <c r="I2588" t="s">
        <v>34</v>
      </c>
      <c r="J2588">
        <v>37</v>
      </c>
      <c r="K2588" t="s">
        <v>34</v>
      </c>
      <c r="L2588">
        <v>8</v>
      </c>
      <c r="M2588">
        <v>82078</v>
      </c>
      <c r="N2588">
        <v>13</v>
      </c>
    </row>
    <row r="2589" spans="1:14" x14ac:dyDescent="0.2">
      <c r="A2589" s="3">
        <f t="shared" si="42"/>
        <v>5602602</v>
      </c>
      <c r="B2589" t="str">
        <f>"56026020005"</f>
        <v>56026020005</v>
      </c>
      <c r="C2589" t="s">
        <v>2985</v>
      </c>
      <c r="D2589" t="s">
        <v>52</v>
      </c>
      <c r="E2589">
        <v>33</v>
      </c>
      <c r="F2589">
        <v>2114</v>
      </c>
      <c r="G2589" t="s">
        <v>2986</v>
      </c>
      <c r="H2589">
        <v>24</v>
      </c>
      <c r="I2589" t="s">
        <v>34</v>
      </c>
      <c r="J2589">
        <v>18</v>
      </c>
      <c r="K2589" t="s">
        <v>34</v>
      </c>
      <c r="L2589">
        <v>6</v>
      </c>
      <c r="M2589">
        <v>1517</v>
      </c>
      <c r="N2589">
        <v>6</v>
      </c>
    </row>
    <row r="2590" spans="1:14" x14ac:dyDescent="0.2">
      <c r="A2590" s="3">
        <f t="shared" si="42"/>
        <v>5602620</v>
      </c>
      <c r="B2590" t="str">
        <f>"56026200018"</f>
        <v>56026200018</v>
      </c>
      <c r="C2590" t="s">
        <v>2987</v>
      </c>
      <c r="D2590" t="s">
        <v>115</v>
      </c>
      <c r="E2590">
        <v>70</v>
      </c>
      <c r="F2590">
        <v>2240</v>
      </c>
      <c r="G2590" t="s">
        <v>2988</v>
      </c>
      <c r="H2590">
        <v>10</v>
      </c>
      <c r="I2590" t="s">
        <v>25</v>
      </c>
      <c r="J2590">
        <v>7</v>
      </c>
      <c r="K2590" t="s">
        <v>25</v>
      </c>
      <c r="L2590">
        <v>8</v>
      </c>
      <c r="M2590">
        <v>72061</v>
      </c>
      <c r="N2590">
        <v>3</v>
      </c>
    </row>
    <row r="2591" spans="1:14" x14ac:dyDescent="0.2">
      <c r="A2591" s="3">
        <f t="shared" si="42"/>
        <v>5602623</v>
      </c>
      <c r="B2591" t="str">
        <f>"56026230001"</f>
        <v>56026230001</v>
      </c>
      <c r="C2591" t="s">
        <v>2989</v>
      </c>
      <c r="D2591" t="s">
        <v>337</v>
      </c>
      <c r="E2591">
        <v>91</v>
      </c>
      <c r="F2591">
        <v>8050</v>
      </c>
      <c r="G2591" t="s">
        <v>322</v>
      </c>
      <c r="H2591">
        <v>7</v>
      </c>
      <c r="I2591" t="s">
        <v>34</v>
      </c>
      <c r="J2591">
        <v>5</v>
      </c>
      <c r="K2591" t="s">
        <v>34</v>
      </c>
      <c r="L2591">
        <v>8</v>
      </c>
      <c r="M2591">
        <v>91048</v>
      </c>
      <c r="N2591">
        <v>2</v>
      </c>
    </row>
    <row r="2592" spans="1:14" x14ac:dyDescent="0.2">
      <c r="A2592" s="3">
        <f t="shared" si="42"/>
        <v>5602625</v>
      </c>
      <c r="B2592" t="str">
        <f>"56026250001"</f>
        <v>56026250001</v>
      </c>
      <c r="C2592" t="s">
        <v>2990</v>
      </c>
      <c r="D2592" t="s">
        <v>337</v>
      </c>
      <c r="E2592">
        <v>92</v>
      </c>
      <c r="F2592">
        <v>832</v>
      </c>
      <c r="G2592" t="s">
        <v>2991</v>
      </c>
      <c r="H2592">
        <v>6</v>
      </c>
      <c r="I2592" t="s">
        <v>34</v>
      </c>
      <c r="J2592">
        <v>4</v>
      </c>
      <c r="K2592" t="s">
        <v>34</v>
      </c>
      <c r="L2592">
        <v>8</v>
      </c>
      <c r="M2592">
        <v>91109</v>
      </c>
      <c r="N2592">
        <v>2</v>
      </c>
    </row>
    <row r="2593" spans="1:14" x14ac:dyDescent="0.2">
      <c r="A2593" s="3">
        <f t="shared" si="42"/>
        <v>5602633</v>
      </c>
      <c r="B2593" t="str">
        <f>"56026330008"</f>
        <v>56026330008</v>
      </c>
      <c r="C2593" t="s">
        <v>2992</v>
      </c>
      <c r="D2593" t="s">
        <v>172</v>
      </c>
      <c r="E2593">
        <v>33</v>
      </c>
      <c r="F2593">
        <v>1436</v>
      </c>
      <c r="G2593" t="s">
        <v>2993</v>
      </c>
      <c r="H2593">
        <v>19</v>
      </c>
      <c r="I2593" t="s">
        <v>34</v>
      </c>
      <c r="J2593">
        <v>14</v>
      </c>
      <c r="K2593" t="s">
        <v>34</v>
      </c>
      <c r="L2593">
        <v>8</v>
      </c>
      <c r="M2593">
        <v>83239</v>
      </c>
      <c r="N2593">
        <v>5</v>
      </c>
    </row>
    <row r="2594" spans="1:14" x14ac:dyDescent="0.2">
      <c r="A2594" s="3">
        <f t="shared" si="42"/>
        <v>5602676</v>
      </c>
      <c r="B2594" t="str">
        <f>"56026760001"</f>
        <v>56026760001</v>
      </c>
      <c r="C2594" t="s">
        <v>2994</v>
      </c>
      <c r="D2594" t="s">
        <v>52</v>
      </c>
      <c r="E2594">
        <v>60</v>
      </c>
      <c r="F2594">
        <v>167</v>
      </c>
      <c r="G2594" t="s">
        <v>1067</v>
      </c>
      <c r="H2594" t="s">
        <v>44</v>
      </c>
      <c r="I2594" t="s">
        <v>45</v>
      </c>
      <c r="J2594" t="s">
        <v>44</v>
      </c>
      <c r="K2594" t="s">
        <v>45</v>
      </c>
      <c r="L2594">
        <v>5</v>
      </c>
      <c r="M2594" t="s">
        <v>65</v>
      </c>
      <c r="N2594" t="s">
        <v>46</v>
      </c>
    </row>
    <row r="2595" spans="1:14" x14ac:dyDescent="0.2">
      <c r="A2595" s="3">
        <f t="shared" si="42"/>
        <v>5602676</v>
      </c>
      <c r="B2595" t="str">
        <f>"56026760004"</f>
        <v>56026760004</v>
      </c>
      <c r="C2595" t="s">
        <v>2994</v>
      </c>
      <c r="D2595" t="s">
        <v>386</v>
      </c>
      <c r="E2595">
        <v>60</v>
      </c>
      <c r="F2595">
        <v>167</v>
      </c>
      <c r="G2595" t="s">
        <v>1067</v>
      </c>
      <c r="H2595" t="s">
        <v>44</v>
      </c>
      <c r="I2595" t="s">
        <v>45</v>
      </c>
      <c r="J2595" t="s">
        <v>44</v>
      </c>
      <c r="K2595" t="s">
        <v>45</v>
      </c>
      <c r="L2595">
        <v>8</v>
      </c>
      <c r="M2595">
        <v>62080</v>
      </c>
      <c r="N2595" t="s">
        <v>46</v>
      </c>
    </row>
    <row r="2596" spans="1:14" x14ac:dyDescent="0.2">
      <c r="A2596" s="3">
        <f t="shared" si="42"/>
        <v>5602684</v>
      </c>
      <c r="B2596" t="str">
        <f>"56026840006"</f>
        <v>56026840006</v>
      </c>
      <c r="C2596" t="s">
        <v>2995</v>
      </c>
      <c r="D2596" t="s">
        <v>36</v>
      </c>
      <c r="E2596">
        <v>51</v>
      </c>
      <c r="F2596">
        <v>136</v>
      </c>
      <c r="G2596" t="s">
        <v>538</v>
      </c>
      <c r="H2596">
        <v>12</v>
      </c>
      <c r="I2596" t="s">
        <v>25</v>
      </c>
      <c r="J2596">
        <v>9</v>
      </c>
      <c r="K2596" t="s">
        <v>25</v>
      </c>
      <c r="L2596">
        <v>8</v>
      </c>
      <c r="M2596">
        <v>65109</v>
      </c>
      <c r="N2596">
        <v>3</v>
      </c>
    </row>
    <row r="2597" spans="1:14" x14ac:dyDescent="0.2">
      <c r="A2597" s="3">
        <f t="shared" si="42"/>
        <v>5602696</v>
      </c>
      <c r="B2597" t="str">
        <f>"56026960012"</f>
        <v>56026960012</v>
      </c>
      <c r="C2597" t="s">
        <v>2996</v>
      </c>
      <c r="D2597" t="s">
        <v>36</v>
      </c>
      <c r="E2597">
        <v>51</v>
      </c>
      <c r="F2597">
        <v>8070</v>
      </c>
      <c r="G2597" t="s">
        <v>2997</v>
      </c>
      <c r="H2597">
        <v>24</v>
      </c>
      <c r="I2597" t="s">
        <v>25</v>
      </c>
      <c r="J2597">
        <v>20</v>
      </c>
      <c r="K2597" t="s">
        <v>25</v>
      </c>
      <c r="L2597">
        <v>8</v>
      </c>
      <c r="M2597">
        <v>72226</v>
      </c>
      <c r="N2597">
        <v>4</v>
      </c>
    </row>
    <row r="2598" spans="1:14" x14ac:dyDescent="0.2">
      <c r="A2598" s="3">
        <f t="shared" si="42"/>
        <v>5602757</v>
      </c>
      <c r="B2598" t="str">
        <f>"56027570006"</f>
        <v>56027570006</v>
      </c>
      <c r="C2598" t="s">
        <v>2998</v>
      </c>
      <c r="D2598" t="s">
        <v>172</v>
      </c>
      <c r="E2598">
        <v>33</v>
      </c>
      <c r="F2598">
        <v>3484</v>
      </c>
      <c r="G2598" t="s">
        <v>173</v>
      </c>
      <c r="H2598">
        <v>8</v>
      </c>
      <c r="I2598" t="s">
        <v>34</v>
      </c>
      <c r="J2598">
        <v>5</v>
      </c>
      <c r="K2598" t="s">
        <v>34</v>
      </c>
      <c r="L2598">
        <v>8</v>
      </c>
      <c r="M2598">
        <v>85043</v>
      </c>
      <c r="N2598">
        <v>3</v>
      </c>
    </row>
    <row r="2599" spans="1:14" x14ac:dyDescent="0.2">
      <c r="A2599" s="3">
        <f t="shared" si="42"/>
        <v>5602762</v>
      </c>
      <c r="B2599" t="str">
        <f>"56027620006"</f>
        <v>56027620006</v>
      </c>
      <c r="C2599" t="s">
        <v>2999</v>
      </c>
      <c r="D2599" t="s">
        <v>337</v>
      </c>
      <c r="E2599">
        <v>33</v>
      </c>
      <c r="F2599">
        <v>3484</v>
      </c>
      <c r="G2599" t="s">
        <v>173</v>
      </c>
      <c r="H2599">
        <v>8</v>
      </c>
      <c r="I2599" t="s">
        <v>34</v>
      </c>
      <c r="J2599">
        <v>5</v>
      </c>
      <c r="K2599" t="s">
        <v>34</v>
      </c>
      <c r="L2599">
        <v>8</v>
      </c>
      <c r="M2599">
        <v>91120</v>
      </c>
      <c r="N2599">
        <v>3</v>
      </c>
    </row>
    <row r="2600" spans="1:14" x14ac:dyDescent="0.2">
      <c r="A2600" s="3">
        <f t="shared" si="42"/>
        <v>5602780</v>
      </c>
      <c r="B2600" t="str">
        <f>"56027800006"</f>
        <v>56027800006</v>
      </c>
      <c r="C2600" t="s">
        <v>3000</v>
      </c>
      <c r="D2600" t="s">
        <v>386</v>
      </c>
      <c r="E2600">
        <v>63</v>
      </c>
      <c r="F2600">
        <v>345</v>
      </c>
      <c r="G2600" t="s">
        <v>922</v>
      </c>
      <c r="H2600" t="s">
        <v>44</v>
      </c>
      <c r="I2600" t="s">
        <v>45</v>
      </c>
      <c r="J2600" t="s">
        <v>44</v>
      </c>
      <c r="K2600" t="s">
        <v>45</v>
      </c>
      <c r="L2600">
        <v>9</v>
      </c>
      <c r="M2600">
        <v>61217</v>
      </c>
      <c r="N2600" t="s">
        <v>46</v>
      </c>
    </row>
    <row r="2601" spans="1:14" x14ac:dyDescent="0.2">
      <c r="A2601" s="3">
        <f t="shared" si="42"/>
        <v>5602781</v>
      </c>
      <c r="B2601" t="str">
        <f>"56027810006"</f>
        <v>56027810006</v>
      </c>
      <c r="C2601" t="s">
        <v>3001</v>
      </c>
      <c r="D2601" t="s">
        <v>386</v>
      </c>
      <c r="E2601">
        <v>63</v>
      </c>
      <c r="F2601">
        <v>345</v>
      </c>
      <c r="G2601" t="s">
        <v>922</v>
      </c>
      <c r="H2601" t="s">
        <v>44</v>
      </c>
      <c r="I2601" t="s">
        <v>45</v>
      </c>
      <c r="J2601" t="s">
        <v>44</v>
      </c>
      <c r="K2601" t="s">
        <v>45</v>
      </c>
      <c r="L2601">
        <v>6</v>
      </c>
      <c r="M2601" t="s">
        <v>65</v>
      </c>
      <c r="N2601" t="s">
        <v>46</v>
      </c>
    </row>
    <row r="2602" spans="1:14" x14ac:dyDescent="0.2">
      <c r="A2602" s="3">
        <f t="shared" si="42"/>
        <v>5602788</v>
      </c>
      <c r="B2602" t="str">
        <f>"56027880040"</f>
        <v>56027880040</v>
      </c>
      <c r="C2602" t="s">
        <v>3002</v>
      </c>
      <c r="D2602" t="s">
        <v>77</v>
      </c>
      <c r="E2602">
        <v>35</v>
      </c>
      <c r="F2602">
        <v>5846</v>
      </c>
      <c r="G2602" t="s">
        <v>3003</v>
      </c>
      <c r="H2602">
        <v>45</v>
      </c>
      <c r="I2602" t="s">
        <v>34</v>
      </c>
      <c r="J2602">
        <v>34</v>
      </c>
      <c r="K2602" t="s">
        <v>34</v>
      </c>
      <c r="L2602">
        <v>8</v>
      </c>
      <c r="M2602">
        <v>81083</v>
      </c>
      <c r="N2602">
        <v>11</v>
      </c>
    </row>
    <row r="2603" spans="1:14" x14ac:dyDescent="0.2">
      <c r="A2603" s="3">
        <f t="shared" si="42"/>
        <v>5602815</v>
      </c>
      <c r="B2603" t="str">
        <f>"56028150006"</f>
        <v>56028150006</v>
      </c>
      <c r="C2603" t="s">
        <v>3004</v>
      </c>
      <c r="D2603" t="s">
        <v>42</v>
      </c>
      <c r="E2603">
        <v>61</v>
      </c>
      <c r="F2603">
        <v>675</v>
      </c>
      <c r="G2603" t="s">
        <v>3005</v>
      </c>
      <c r="H2603" t="s">
        <v>44</v>
      </c>
      <c r="I2603" t="s">
        <v>45</v>
      </c>
      <c r="J2603" t="s">
        <v>44</v>
      </c>
      <c r="K2603" t="s">
        <v>45</v>
      </c>
      <c r="L2603">
        <v>8</v>
      </c>
      <c r="M2603">
        <v>62016</v>
      </c>
      <c r="N2603" t="s">
        <v>46</v>
      </c>
    </row>
    <row r="2604" spans="1:14" x14ac:dyDescent="0.2">
      <c r="A2604" s="3">
        <f t="shared" si="42"/>
        <v>5602835</v>
      </c>
      <c r="B2604" t="str">
        <f>"56028350015"</f>
        <v>56028350015</v>
      </c>
      <c r="C2604" t="s">
        <v>3006</v>
      </c>
      <c r="D2604" t="s">
        <v>52</v>
      </c>
      <c r="E2604">
        <v>71</v>
      </c>
      <c r="F2604">
        <v>2023</v>
      </c>
      <c r="G2604" t="s">
        <v>3007</v>
      </c>
      <c r="H2604">
        <v>12</v>
      </c>
      <c r="I2604" t="s">
        <v>25</v>
      </c>
      <c r="J2604">
        <v>9</v>
      </c>
      <c r="K2604" t="s">
        <v>25</v>
      </c>
      <c r="L2604">
        <v>6</v>
      </c>
      <c r="M2604">
        <v>3610</v>
      </c>
      <c r="N2604">
        <v>3</v>
      </c>
    </row>
    <row r="2605" spans="1:14" x14ac:dyDescent="0.2">
      <c r="A2605" s="3">
        <f t="shared" si="42"/>
        <v>5602906</v>
      </c>
      <c r="B2605" t="str">
        <f>"56029060001"</f>
        <v>56029060001</v>
      </c>
      <c r="C2605" t="s">
        <v>3008</v>
      </c>
      <c r="D2605" t="s">
        <v>337</v>
      </c>
      <c r="E2605">
        <v>92</v>
      </c>
      <c r="F2605">
        <v>329</v>
      </c>
      <c r="G2605" t="s">
        <v>252</v>
      </c>
      <c r="H2605">
        <v>19</v>
      </c>
      <c r="I2605" t="s">
        <v>34</v>
      </c>
      <c r="J2605">
        <v>14</v>
      </c>
      <c r="K2605" t="s">
        <v>34</v>
      </c>
      <c r="L2605">
        <v>8</v>
      </c>
      <c r="M2605">
        <v>91092</v>
      </c>
      <c r="N2605">
        <v>5</v>
      </c>
    </row>
    <row r="2606" spans="1:14" x14ac:dyDescent="0.2">
      <c r="A2606" s="3">
        <f t="shared" si="42"/>
        <v>5602907</v>
      </c>
      <c r="B2606" t="str">
        <f>"56029070001"</f>
        <v>56029070001</v>
      </c>
      <c r="C2606" t="s">
        <v>3009</v>
      </c>
      <c r="D2606" t="s">
        <v>337</v>
      </c>
      <c r="E2606">
        <v>92</v>
      </c>
      <c r="F2606">
        <v>329</v>
      </c>
      <c r="G2606" t="s">
        <v>252</v>
      </c>
      <c r="H2606">
        <v>19</v>
      </c>
      <c r="I2606" t="s">
        <v>34</v>
      </c>
      <c r="J2606">
        <v>14</v>
      </c>
      <c r="K2606" t="s">
        <v>34</v>
      </c>
      <c r="L2606">
        <v>8</v>
      </c>
      <c r="M2606">
        <v>91091</v>
      </c>
      <c r="N2606">
        <v>5</v>
      </c>
    </row>
    <row r="2607" spans="1:14" x14ac:dyDescent="0.2">
      <c r="A2607" s="3">
        <f t="shared" si="42"/>
        <v>5602957</v>
      </c>
      <c r="B2607" t="str">
        <f>"56029570015"</f>
        <v>56029570015</v>
      </c>
      <c r="C2607" t="s">
        <v>3010</v>
      </c>
      <c r="D2607" t="s">
        <v>42</v>
      </c>
      <c r="E2607">
        <v>71</v>
      </c>
      <c r="F2607">
        <v>1267</v>
      </c>
      <c r="G2607" t="s">
        <v>1144</v>
      </c>
      <c r="H2607">
        <v>6</v>
      </c>
      <c r="I2607" t="s">
        <v>25</v>
      </c>
      <c r="J2607">
        <v>4</v>
      </c>
      <c r="K2607" t="s">
        <v>25</v>
      </c>
      <c r="L2607">
        <v>6</v>
      </c>
      <c r="M2607">
        <v>74067</v>
      </c>
      <c r="N2607">
        <v>2</v>
      </c>
    </row>
    <row r="2608" spans="1:14" x14ac:dyDescent="0.2">
      <c r="A2608" s="3">
        <f t="shared" si="42"/>
        <v>5602958</v>
      </c>
      <c r="B2608" t="str">
        <f>"56029580015"</f>
        <v>56029580015</v>
      </c>
      <c r="C2608" t="s">
        <v>3011</v>
      </c>
      <c r="D2608" t="s">
        <v>42</v>
      </c>
      <c r="E2608">
        <v>71</v>
      </c>
      <c r="F2608">
        <v>1267</v>
      </c>
      <c r="G2608" t="s">
        <v>1144</v>
      </c>
      <c r="H2608">
        <v>8</v>
      </c>
      <c r="I2608" t="s">
        <v>25</v>
      </c>
      <c r="J2608">
        <v>6</v>
      </c>
      <c r="K2608" t="s">
        <v>25</v>
      </c>
      <c r="L2608">
        <v>8</v>
      </c>
      <c r="M2608">
        <v>74190</v>
      </c>
      <c r="N2608">
        <v>2</v>
      </c>
    </row>
    <row r="2609" spans="1:14" x14ac:dyDescent="0.2">
      <c r="A2609" s="3">
        <f t="shared" si="42"/>
        <v>5602967</v>
      </c>
      <c r="B2609" t="str">
        <f>"56029670006"</f>
        <v>56029670006</v>
      </c>
      <c r="C2609" t="s">
        <v>3012</v>
      </c>
      <c r="D2609" t="s">
        <v>337</v>
      </c>
      <c r="E2609">
        <v>33</v>
      </c>
      <c r="F2609">
        <v>4335</v>
      </c>
      <c r="G2609" t="s">
        <v>157</v>
      </c>
      <c r="H2609">
        <v>7</v>
      </c>
      <c r="I2609" t="s">
        <v>34</v>
      </c>
      <c r="J2609">
        <v>5</v>
      </c>
      <c r="K2609" t="s">
        <v>34</v>
      </c>
      <c r="L2609">
        <v>8</v>
      </c>
      <c r="M2609">
        <v>91119</v>
      </c>
      <c r="N2609">
        <v>2</v>
      </c>
    </row>
    <row r="2610" spans="1:14" x14ac:dyDescent="0.2">
      <c r="A2610" s="3">
        <f t="shared" si="42"/>
        <v>5602982</v>
      </c>
      <c r="B2610" t="str">
        <f>"56029820001"</f>
        <v>56029820001</v>
      </c>
      <c r="C2610" t="s">
        <v>3013</v>
      </c>
      <c r="D2610" t="s">
        <v>337</v>
      </c>
      <c r="E2610">
        <v>92</v>
      </c>
      <c r="F2610">
        <v>969</v>
      </c>
      <c r="G2610" t="s">
        <v>2457</v>
      </c>
      <c r="H2610">
        <v>6</v>
      </c>
      <c r="I2610" t="s">
        <v>34</v>
      </c>
      <c r="J2610">
        <v>4</v>
      </c>
      <c r="K2610" t="s">
        <v>34</v>
      </c>
      <c r="L2610">
        <v>8</v>
      </c>
      <c r="M2610">
        <v>91107</v>
      </c>
      <c r="N2610">
        <v>2</v>
      </c>
    </row>
    <row r="2611" spans="1:14" x14ac:dyDescent="0.2">
      <c r="A2611" s="3">
        <f t="shared" si="42"/>
        <v>5602999</v>
      </c>
      <c r="B2611" t="str">
        <f>"56029990001"</f>
        <v>56029990001</v>
      </c>
      <c r="C2611" t="s">
        <v>3014</v>
      </c>
      <c r="D2611" t="s">
        <v>337</v>
      </c>
      <c r="E2611">
        <v>90</v>
      </c>
      <c r="F2611">
        <v>3759</v>
      </c>
      <c r="G2611" t="s">
        <v>356</v>
      </c>
      <c r="H2611">
        <v>9</v>
      </c>
      <c r="I2611" t="s">
        <v>34</v>
      </c>
      <c r="J2611">
        <v>6</v>
      </c>
      <c r="K2611" t="s">
        <v>34</v>
      </c>
      <c r="L2611">
        <v>8</v>
      </c>
      <c r="M2611">
        <v>91004</v>
      </c>
      <c r="N2611">
        <v>3</v>
      </c>
    </row>
    <row r="2612" spans="1:14" x14ac:dyDescent="0.2">
      <c r="A2612" s="3">
        <f t="shared" si="42"/>
        <v>5603009</v>
      </c>
      <c r="B2612" t="str">
        <f>"56030090008"</f>
        <v>56030090008</v>
      </c>
      <c r="C2612" t="s">
        <v>1805</v>
      </c>
      <c r="D2612" t="s">
        <v>172</v>
      </c>
      <c r="E2612">
        <v>33</v>
      </c>
      <c r="F2612">
        <v>668</v>
      </c>
      <c r="G2612" t="s">
        <v>705</v>
      </c>
      <c r="H2612">
        <v>7</v>
      </c>
      <c r="I2612" t="s">
        <v>34</v>
      </c>
      <c r="J2612">
        <v>5</v>
      </c>
      <c r="K2612" t="s">
        <v>34</v>
      </c>
      <c r="L2612">
        <v>8</v>
      </c>
      <c r="M2612">
        <v>85094</v>
      </c>
      <c r="N2612">
        <v>2</v>
      </c>
    </row>
    <row r="2613" spans="1:14" x14ac:dyDescent="0.2">
      <c r="A2613" s="3">
        <f t="shared" si="42"/>
        <v>5603010</v>
      </c>
      <c r="B2613" t="str">
        <f>"56030100013"</f>
        <v>56030100013</v>
      </c>
      <c r="C2613" t="s">
        <v>3015</v>
      </c>
      <c r="D2613" t="s">
        <v>48</v>
      </c>
      <c r="E2613">
        <v>32</v>
      </c>
      <c r="F2613">
        <v>3627</v>
      </c>
      <c r="G2613" t="s">
        <v>3016</v>
      </c>
      <c r="H2613">
        <v>40</v>
      </c>
      <c r="I2613" t="s">
        <v>34</v>
      </c>
      <c r="J2613">
        <v>30</v>
      </c>
      <c r="K2613" t="s">
        <v>34</v>
      </c>
      <c r="L2613">
        <v>8</v>
      </c>
      <c r="M2613">
        <v>82148</v>
      </c>
      <c r="N2613">
        <v>10</v>
      </c>
    </row>
    <row r="2614" spans="1:14" x14ac:dyDescent="0.2">
      <c r="A2614" s="3">
        <f t="shared" si="42"/>
        <v>5603052</v>
      </c>
      <c r="B2614" t="str">
        <f>"56030520012"</f>
        <v>56030520012</v>
      </c>
      <c r="C2614" t="s">
        <v>3017</v>
      </c>
      <c r="D2614" t="s">
        <v>77</v>
      </c>
      <c r="E2614">
        <v>40</v>
      </c>
      <c r="F2614">
        <v>8229</v>
      </c>
      <c r="G2614" t="s">
        <v>282</v>
      </c>
      <c r="H2614">
        <v>40</v>
      </c>
      <c r="I2614" t="s">
        <v>34</v>
      </c>
      <c r="J2614">
        <v>30</v>
      </c>
      <c r="K2614" t="s">
        <v>34</v>
      </c>
      <c r="L2614">
        <v>8</v>
      </c>
      <c r="M2614">
        <v>76052</v>
      </c>
      <c r="N2614">
        <v>10</v>
      </c>
    </row>
    <row r="2615" spans="1:14" x14ac:dyDescent="0.2">
      <c r="A2615" s="3">
        <f t="shared" si="42"/>
        <v>5603072</v>
      </c>
      <c r="B2615" t="str">
        <f>"56030720008"</f>
        <v>56030720008</v>
      </c>
      <c r="C2615" t="s">
        <v>3018</v>
      </c>
      <c r="D2615" t="s">
        <v>67</v>
      </c>
      <c r="E2615">
        <v>33</v>
      </c>
      <c r="F2615">
        <v>1810</v>
      </c>
      <c r="G2615" t="s">
        <v>3019</v>
      </c>
      <c r="H2615">
        <v>34</v>
      </c>
      <c r="I2615" t="s">
        <v>34</v>
      </c>
      <c r="J2615">
        <v>27</v>
      </c>
      <c r="K2615" t="s">
        <v>34</v>
      </c>
      <c r="L2615">
        <v>8</v>
      </c>
      <c r="M2615">
        <v>84072</v>
      </c>
      <c r="N2615">
        <v>7</v>
      </c>
    </row>
    <row r="2616" spans="1:14" x14ac:dyDescent="0.2">
      <c r="A2616" s="3">
        <f t="shared" si="42"/>
        <v>5603078</v>
      </c>
      <c r="B2616" t="str">
        <f>"56030780008"</f>
        <v>56030780008</v>
      </c>
      <c r="C2616" t="s">
        <v>3020</v>
      </c>
      <c r="D2616" t="s">
        <v>48</v>
      </c>
      <c r="E2616">
        <v>33</v>
      </c>
      <c r="F2616">
        <v>3428</v>
      </c>
      <c r="G2616" t="s">
        <v>206</v>
      </c>
      <c r="H2616">
        <v>17</v>
      </c>
      <c r="I2616" t="s">
        <v>34</v>
      </c>
      <c r="J2616">
        <v>11</v>
      </c>
      <c r="K2616" t="s">
        <v>34</v>
      </c>
      <c r="L2616">
        <v>8</v>
      </c>
      <c r="M2616">
        <v>84082</v>
      </c>
      <c r="N2616">
        <v>6</v>
      </c>
    </row>
    <row r="2617" spans="1:14" x14ac:dyDescent="0.2">
      <c r="A2617" s="3">
        <f t="shared" si="42"/>
        <v>5603109</v>
      </c>
      <c r="B2617" t="str">
        <f>"56031090006"</f>
        <v>56031090006</v>
      </c>
      <c r="C2617" t="s">
        <v>3021</v>
      </c>
      <c r="D2617" t="s">
        <v>52</v>
      </c>
      <c r="E2617">
        <v>33</v>
      </c>
      <c r="F2617">
        <v>3108</v>
      </c>
      <c r="G2617" t="s">
        <v>40</v>
      </c>
      <c r="H2617">
        <v>23</v>
      </c>
      <c r="I2617" t="s">
        <v>34</v>
      </c>
      <c r="J2617">
        <v>17</v>
      </c>
      <c r="K2617" t="s">
        <v>34</v>
      </c>
      <c r="L2617">
        <v>6</v>
      </c>
      <c r="M2617">
        <v>1500</v>
      </c>
      <c r="N2617">
        <v>6</v>
      </c>
    </row>
    <row r="2618" spans="1:14" x14ac:dyDescent="0.2">
      <c r="A2618" s="3">
        <f t="shared" si="42"/>
        <v>5603148</v>
      </c>
      <c r="B2618" t="str">
        <f>"56031480001"</f>
        <v>56031480001</v>
      </c>
      <c r="C2618" t="s">
        <v>3022</v>
      </c>
      <c r="D2618" t="s">
        <v>337</v>
      </c>
      <c r="E2618">
        <v>91</v>
      </c>
      <c r="F2618">
        <v>3111</v>
      </c>
      <c r="G2618" t="s">
        <v>3023</v>
      </c>
      <c r="H2618">
        <v>12</v>
      </c>
      <c r="I2618" t="s">
        <v>34</v>
      </c>
      <c r="J2618">
        <v>8</v>
      </c>
      <c r="K2618" t="s">
        <v>34</v>
      </c>
      <c r="L2618">
        <v>8</v>
      </c>
      <c r="M2618">
        <v>91086</v>
      </c>
      <c r="N2618">
        <v>4</v>
      </c>
    </row>
    <row r="2619" spans="1:14" x14ac:dyDescent="0.2">
      <c r="A2619" s="3">
        <f t="shared" si="42"/>
        <v>5603149</v>
      </c>
      <c r="B2619" t="str">
        <f>"56031490001"</f>
        <v>56031490001</v>
      </c>
      <c r="C2619" t="s">
        <v>3024</v>
      </c>
      <c r="D2619" t="s">
        <v>337</v>
      </c>
      <c r="E2619">
        <v>91</v>
      </c>
      <c r="F2619">
        <v>3111</v>
      </c>
      <c r="G2619" t="s">
        <v>3023</v>
      </c>
      <c r="H2619">
        <v>12</v>
      </c>
      <c r="I2619" t="s">
        <v>34</v>
      </c>
      <c r="J2619">
        <v>8</v>
      </c>
      <c r="K2619" t="s">
        <v>34</v>
      </c>
      <c r="L2619">
        <v>8</v>
      </c>
      <c r="M2619">
        <v>91085</v>
      </c>
      <c r="N2619">
        <v>4</v>
      </c>
    </row>
    <row r="2620" spans="1:14" x14ac:dyDescent="0.2">
      <c r="A2620" s="3">
        <f t="shared" si="42"/>
        <v>5603192</v>
      </c>
      <c r="B2620" t="str">
        <f>"56031920001"</f>
        <v>56031920001</v>
      </c>
      <c r="C2620" t="s">
        <v>3025</v>
      </c>
      <c r="D2620" t="s">
        <v>337</v>
      </c>
      <c r="E2620">
        <v>91</v>
      </c>
      <c r="F2620">
        <v>8018</v>
      </c>
      <c r="G2620" t="s">
        <v>322</v>
      </c>
      <c r="H2620">
        <v>7</v>
      </c>
      <c r="I2620" t="s">
        <v>34</v>
      </c>
      <c r="J2620">
        <v>5</v>
      </c>
      <c r="K2620" t="s">
        <v>34</v>
      </c>
      <c r="L2620">
        <v>8</v>
      </c>
      <c r="M2620">
        <v>91062</v>
      </c>
      <c r="N2620">
        <v>2</v>
      </c>
    </row>
    <row r="2621" spans="1:14" x14ac:dyDescent="0.2">
      <c r="A2621" s="3">
        <f t="shared" si="42"/>
        <v>5603206</v>
      </c>
      <c r="B2621" t="str">
        <f>"56032060016"</f>
        <v>56032060016</v>
      </c>
      <c r="C2621" t="s">
        <v>3026</v>
      </c>
      <c r="D2621" t="s">
        <v>172</v>
      </c>
      <c r="E2621">
        <v>43</v>
      </c>
      <c r="F2621">
        <v>8140</v>
      </c>
      <c r="G2621" t="s">
        <v>525</v>
      </c>
      <c r="H2621">
        <v>16</v>
      </c>
      <c r="I2621" t="s">
        <v>34</v>
      </c>
      <c r="J2621">
        <v>13</v>
      </c>
      <c r="K2621" t="s">
        <v>34</v>
      </c>
      <c r="L2621">
        <v>7</v>
      </c>
      <c r="M2621">
        <v>66100</v>
      </c>
      <c r="N2621">
        <v>3</v>
      </c>
    </row>
    <row r="2622" spans="1:14" x14ac:dyDescent="0.2">
      <c r="A2622" s="3">
        <f t="shared" si="42"/>
        <v>5603236</v>
      </c>
      <c r="B2622" t="str">
        <f>"56032360001"</f>
        <v>56032360001</v>
      </c>
      <c r="C2622" t="s">
        <v>3027</v>
      </c>
      <c r="D2622" t="s">
        <v>337</v>
      </c>
      <c r="E2622">
        <v>91</v>
      </c>
      <c r="F2622">
        <v>8050</v>
      </c>
      <c r="G2622" t="s">
        <v>322</v>
      </c>
      <c r="H2622">
        <v>7</v>
      </c>
      <c r="I2622" t="s">
        <v>34</v>
      </c>
      <c r="J2622">
        <v>5</v>
      </c>
      <c r="K2622" t="s">
        <v>34</v>
      </c>
      <c r="L2622">
        <v>8</v>
      </c>
      <c r="M2622">
        <v>91046</v>
      </c>
      <c r="N2622">
        <v>2</v>
      </c>
    </row>
    <row r="2623" spans="1:14" x14ac:dyDescent="0.2">
      <c r="A2623" s="3">
        <f t="shared" si="42"/>
        <v>5603311</v>
      </c>
      <c r="B2623" t="str">
        <f>"56033110006"</f>
        <v>56033110006</v>
      </c>
      <c r="C2623" t="s">
        <v>3028</v>
      </c>
      <c r="D2623" t="s">
        <v>52</v>
      </c>
      <c r="E2623">
        <v>33</v>
      </c>
      <c r="F2623">
        <v>114</v>
      </c>
      <c r="G2623" t="s">
        <v>1128</v>
      </c>
      <c r="H2623">
        <v>18</v>
      </c>
      <c r="I2623" t="s">
        <v>34</v>
      </c>
      <c r="J2623">
        <v>13</v>
      </c>
      <c r="K2623" t="s">
        <v>34</v>
      </c>
      <c r="L2623">
        <v>6</v>
      </c>
      <c r="M2623">
        <v>3502</v>
      </c>
      <c r="N2623">
        <v>5</v>
      </c>
    </row>
    <row r="2624" spans="1:14" x14ac:dyDescent="0.2">
      <c r="A2624" s="3">
        <f t="shared" si="42"/>
        <v>5603315</v>
      </c>
      <c r="B2624" t="str">
        <f>"56033150006"</f>
        <v>56033150006</v>
      </c>
      <c r="C2624" t="s">
        <v>3029</v>
      </c>
      <c r="D2624" t="s">
        <v>52</v>
      </c>
      <c r="E2624">
        <v>33</v>
      </c>
      <c r="F2624">
        <v>1524</v>
      </c>
      <c r="G2624" t="s">
        <v>3030</v>
      </c>
      <c r="H2624">
        <v>15</v>
      </c>
      <c r="I2624" t="s">
        <v>34</v>
      </c>
      <c r="J2624">
        <v>10</v>
      </c>
      <c r="K2624" t="s">
        <v>34</v>
      </c>
      <c r="L2624">
        <v>6</v>
      </c>
      <c r="M2624">
        <v>3514</v>
      </c>
      <c r="N2624">
        <v>5</v>
      </c>
    </row>
    <row r="2625" spans="1:14" x14ac:dyDescent="0.2">
      <c r="A2625" s="3">
        <f t="shared" si="42"/>
        <v>5603345</v>
      </c>
      <c r="B2625" t="str">
        <f>"56033450001"</f>
        <v>56033450001</v>
      </c>
      <c r="C2625" t="s">
        <v>3031</v>
      </c>
      <c r="D2625" t="s">
        <v>337</v>
      </c>
      <c r="E2625">
        <v>91</v>
      </c>
      <c r="F2625">
        <v>8018</v>
      </c>
      <c r="G2625" t="s">
        <v>322</v>
      </c>
      <c r="H2625">
        <v>6</v>
      </c>
      <c r="I2625" t="s">
        <v>34</v>
      </c>
      <c r="J2625">
        <v>4</v>
      </c>
      <c r="K2625" t="s">
        <v>34</v>
      </c>
      <c r="L2625">
        <v>8</v>
      </c>
      <c r="M2625">
        <v>91090</v>
      </c>
      <c r="N2625">
        <v>2</v>
      </c>
    </row>
    <row r="2626" spans="1:14" x14ac:dyDescent="0.2">
      <c r="A2626" s="3">
        <f t="shared" si="42"/>
        <v>5603346</v>
      </c>
      <c r="B2626" t="str">
        <f>"56033460001"</f>
        <v>56033460001</v>
      </c>
      <c r="C2626" t="s">
        <v>3032</v>
      </c>
      <c r="D2626" t="s">
        <v>337</v>
      </c>
      <c r="E2626">
        <v>91</v>
      </c>
      <c r="F2626">
        <v>8018</v>
      </c>
      <c r="G2626" t="s">
        <v>322</v>
      </c>
      <c r="H2626">
        <v>10</v>
      </c>
      <c r="I2626" t="s">
        <v>34</v>
      </c>
      <c r="J2626">
        <v>7</v>
      </c>
      <c r="K2626" t="s">
        <v>34</v>
      </c>
      <c r="L2626">
        <v>8</v>
      </c>
      <c r="M2626">
        <v>91078</v>
      </c>
      <c r="N2626">
        <v>3</v>
      </c>
    </row>
    <row r="2627" spans="1:14" x14ac:dyDescent="0.2">
      <c r="A2627" s="3">
        <f t="shared" si="42"/>
        <v>5603359</v>
      </c>
      <c r="B2627" t="str">
        <f>"56033590006"</f>
        <v>56033590006</v>
      </c>
      <c r="C2627" t="s">
        <v>3033</v>
      </c>
      <c r="D2627" t="s">
        <v>48</v>
      </c>
      <c r="E2627">
        <v>33</v>
      </c>
      <c r="F2627">
        <v>1985</v>
      </c>
      <c r="G2627" t="s">
        <v>287</v>
      </c>
      <c r="H2627">
        <v>11</v>
      </c>
      <c r="I2627" t="s">
        <v>34</v>
      </c>
      <c r="J2627">
        <v>7</v>
      </c>
      <c r="K2627" t="s">
        <v>34</v>
      </c>
      <c r="L2627">
        <v>9</v>
      </c>
      <c r="M2627">
        <v>83164</v>
      </c>
      <c r="N2627">
        <v>4</v>
      </c>
    </row>
    <row r="2628" spans="1:14" x14ac:dyDescent="0.2">
      <c r="A2628" s="3">
        <f t="shared" ref="A2628:A2691" si="43">(B2628-RIGHT(B2628,4))/10000</f>
        <v>5603360</v>
      </c>
      <c r="B2628" t="str">
        <f>"56033600006"</f>
        <v>56033600006</v>
      </c>
      <c r="C2628" t="s">
        <v>3034</v>
      </c>
      <c r="D2628" t="s">
        <v>48</v>
      </c>
      <c r="E2628">
        <v>33</v>
      </c>
      <c r="F2628">
        <v>1985</v>
      </c>
      <c r="G2628" t="s">
        <v>287</v>
      </c>
      <c r="H2628">
        <v>11</v>
      </c>
      <c r="I2628" t="s">
        <v>34</v>
      </c>
      <c r="J2628">
        <v>7</v>
      </c>
      <c r="K2628" t="s">
        <v>34</v>
      </c>
      <c r="L2628">
        <v>8</v>
      </c>
      <c r="M2628">
        <v>83177</v>
      </c>
      <c r="N2628">
        <v>4</v>
      </c>
    </row>
    <row r="2629" spans="1:14" x14ac:dyDescent="0.2">
      <c r="A2629" s="3">
        <f t="shared" si="43"/>
        <v>5603363</v>
      </c>
      <c r="B2629" t="str">
        <f>"56033630006"</f>
        <v>56033630006</v>
      </c>
      <c r="C2629" t="s">
        <v>3035</v>
      </c>
      <c r="D2629" t="s">
        <v>48</v>
      </c>
      <c r="E2629">
        <v>33</v>
      </c>
      <c r="F2629">
        <v>1985</v>
      </c>
      <c r="G2629" t="s">
        <v>287</v>
      </c>
      <c r="H2629">
        <v>11</v>
      </c>
      <c r="I2629" t="s">
        <v>34</v>
      </c>
      <c r="J2629">
        <v>7</v>
      </c>
      <c r="K2629" t="s">
        <v>34</v>
      </c>
      <c r="L2629">
        <v>8</v>
      </c>
      <c r="M2629">
        <v>83197</v>
      </c>
      <c r="N2629">
        <v>4</v>
      </c>
    </row>
    <row r="2630" spans="1:14" x14ac:dyDescent="0.2">
      <c r="A2630" s="3">
        <f t="shared" si="43"/>
        <v>5603364</v>
      </c>
      <c r="B2630" t="str">
        <f>"56033640006"</f>
        <v>56033640006</v>
      </c>
      <c r="C2630" t="s">
        <v>3036</v>
      </c>
      <c r="D2630" t="s">
        <v>48</v>
      </c>
      <c r="E2630">
        <v>33</v>
      </c>
      <c r="F2630">
        <v>1985</v>
      </c>
      <c r="G2630" t="s">
        <v>287</v>
      </c>
      <c r="H2630">
        <v>11</v>
      </c>
      <c r="I2630" t="s">
        <v>34</v>
      </c>
      <c r="J2630">
        <v>7</v>
      </c>
      <c r="K2630" t="s">
        <v>34</v>
      </c>
      <c r="L2630">
        <v>8</v>
      </c>
      <c r="M2630">
        <v>83182</v>
      </c>
      <c r="N2630">
        <v>4</v>
      </c>
    </row>
    <row r="2631" spans="1:14" x14ac:dyDescent="0.2">
      <c r="A2631" s="3">
        <f t="shared" si="43"/>
        <v>5603373</v>
      </c>
      <c r="B2631" t="str">
        <f>"56033730001"</f>
        <v>56033730001</v>
      </c>
      <c r="C2631" t="s">
        <v>3037</v>
      </c>
      <c r="D2631" t="s">
        <v>337</v>
      </c>
      <c r="E2631">
        <v>91</v>
      </c>
      <c r="F2631">
        <v>326</v>
      </c>
      <c r="G2631" t="s">
        <v>1234</v>
      </c>
      <c r="H2631">
        <v>40</v>
      </c>
      <c r="I2631" t="s">
        <v>34</v>
      </c>
      <c r="J2631">
        <v>30</v>
      </c>
      <c r="K2631" t="s">
        <v>34</v>
      </c>
      <c r="L2631">
        <v>8</v>
      </c>
      <c r="M2631">
        <v>91047</v>
      </c>
      <c r="N2631">
        <v>10</v>
      </c>
    </row>
    <row r="2632" spans="1:14" x14ac:dyDescent="0.2">
      <c r="A2632" s="3">
        <f t="shared" si="43"/>
        <v>5603409</v>
      </c>
      <c r="B2632" t="str">
        <f>"56034090012"</f>
        <v>56034090012</v>
      </c>
      <c r="C2632" t="s">
        <v>3038</v>
      </c>
      <c r="D2632" t="s">
        <v>289</v>
      </c>
      <c r="E2632">
        <v>20</v>
      </c>
      <c r="F2632">
        <v>8086</v>
      </c>
      <c r="G2632" t="s">
        <v>290</v>
      </c>
      <c r="H2632">
        <v>12</v>
      </c>
      <c r="I2632" t="s">
        <v>25</v>
      </c>
      <c r="J2632">
        <v>9</v>
      </c>
      <c r="K2632" t="s">
        <v>25</v>
      </c>
      <c r="L2632">
        <v>8</v>
      </c>
      <c r="M2632">
        <v>87031</v>
      </c>
      <c r="N2632">
        <v>3</v>
      </c>
    </row>
    <row r="2633" spans="1:14" x14ac:dyDescent="0.2">
      <c r="A2633" s="3">
        <f t="shared" si="43"/>
        <v>5603409</v>
      </c>
      <c r="B2633" t="str">
        <f>"56034090012"</f>
        <v>56034090012</v>
      </c>
      <c r="C2633" t="s">
        <v>3038</v>
      </c>
      <c r="D2633" t="s">
        <v>289</v>
      </c>
      <c r="E2633">
        <v>20</v>
      </c>
      <c r="F2633">
        <v>571</v>
      </c>
      <c r="G2633" t="s">
        <v>3039</v>
      </c>
      <c r="H2633">
        <v>12</v>
      </c>
      <c r="I2633" t="s">
        <v>25</v>
      </c>
      <c r="J2633">
        <v>9</v>
      </c>
      <c r="K2633" t="s">
        <v>25</v>
      </c>
      <c r="L2633">
        <v>8</v>
      </c>
      <c r="M2633">
        <v>87031</v>
      </c>
      <c r="N2633">
        <v>3</v>
      </c>
    </row>
    <row r="2634" spans="1:14" x14ac:dyDescent="0.2">
      <c r="A2634" s="3">
        <f t="shared" si="43"/>
        <v>5603410</v>
      </c>
      <c r="B2634" t="str">
        <f>"56034100012"</f>
        <v>56034100012</v>
      </c>
      <c r="C2634" t="s">
        <v>3040</v>
      </c>
      <c r="D2634" t="s">
        <v>289</v>
      </c>
      <c r="E2634">
        <v>20</v>
      </c>
      <c r="F2634">
        <v>8086</v>
      </c>
      <c r="G2634" t="s">
        <v>290</v>
      </c>
      <c r="H2634">
        <v>12</v>
      </c>
      <c r="I2634" t="s">
        <v>25</v>
      </c>
      <c r="J2634">
        <v>9</v>
      </c>
      <c r="K2634" t="s">
        <v>25</v>
      </c>
      <c r="L2634">
        <v>8</v>
      </c>
      <c r="M2634">
        <v>87035</v>
      </c>
      <c r="N2634">
        <v>3</v>
      </c>
    </row>
    <row r="2635" spans="1:14" x14ac:dyDescent="0.2">
      <c r="A2635" s="3">
        <f t="shared" si="43"/>
        <v>5603410</v>
      </c>
      <c r="B2635" t="str">
        <f>"56034100012"</f>
        <v>56034100012</v>
      </c>
      <c r="C2635" t="s">
        <v>3040</v>
      </c>
      <c r="D2635" t="s">
        <v>289</v>
      </c>
      <c r="E2635">
        <v>20</v>
      </c>
      <c r="F2635">
        <v>571</v>
      </c>
      <c r="G2635" t="s">
        <v>3039</v>
      </c>
      <c r="H2635">
        <v>12</v>
      </c>
      <c r="I2635" t="s">
        <v>25</v>
      </c>
      <c r="J2635">
        <v>9</v>
      </c>
      <c r="K2635" t="s">
        <v>25</v>
      </c>
      <c r="L2635">
        <v>8</v>
      </c>
      <c r="M2635">
        <v>87035</v>
      </c>
      <c r="N2635">
        <v>3</v>
      </c>
    </row>
    <row r="2636" spans="1:14" x14ac:dyDescent="0.2">
      <c r="A2636" s="3">
        <f t="shared" si="43"/>
        <v>5603420</v>
      </c>
      <c r="B2636" t="str">
        <f>"56034200006"</f>
        <v>56034200006</v>
      </c>
      <c r="C2636" t="s">
        <v>3041</v>
      </c>
      <c r="D2636" t="s">
        <v>52</v>
      </c>
      <c r="E2636">
        <v>33</v>
      </c>
      <c r="F2636">
        <v>939</v>
      </c>
      <c r="G2636" t="s">
        <v>725</v>
      </c>
      <c r="H2636">
        <v>10</v>
      </c>
      <c r="I2636" t="s">
        <v>34</v>
      </c>
      <c r="J2636">
        <v>7</v>
      </c>
      <c r="K2636" t="s">
        <v>34</v>
      </c>
      <c r="L2636">
        <v>6</v>
      </c>
      <c r="M2636">
        <v>1513</v>
      </c>
      <c r="N2636">
        <v>3</v>
      </c>
    </row>
    <row r="2637" spans="1:14" x14ac:dyDescent="0.2">
      <c r="A2637" s="3">
        <f t="shared" si="43"/>
        <v>5603428</v>
      </c>
      <c r="B2637" t="str">
        <f>"56034280010"</f>
        <v>56034280010</v>
      </c>
      <c r="C2637" t="s">
        <v>3042</v>
      </c>
      <c r="D2637" t="s">
        <v>52</v>
      </c>
      <c r="E2637">
        <v>30</v>
      </c>
      <c r="F2637">
        <v>4806</v>
      </c>
      <c r="G2637" t="s">
        <v>160</v>
      </c>
      <c r="H2637">
        <v>18</v>
      </c>
      <c r="I2637" t="s">
        <v>34</v>
      </c>
      <c r="J2637">
        <v>13</v>
      </c>
      <c r="K2637" t="s">
        <v>34</v>
      </c>
      <c r="L2637">
        <v>6</v>
      </c>
      <c r="M2637">
        <v>3505</v>
      </c>
      <c r="N2637">
        <v>5</v>
      </c>
    </row>
    <row r="2638" spans="1:14" x14ac:dyDescent="0.2">
      <c r="A2638" s="3">
        <f t="shared" si="43"/>
        <v>5603433</v>
      </c>
      <c r="B2638" t="str">
        <f>"56034330001"</f>
        <v>56034330001</v>
      </c>
      <c r="C2638" t="s">
        <v>3043</v>
      </c>
      <c r="D2638" t="s">
        <v>337</v>
      </c>
      <c r="E2638">
        <v>90</v>
      </c>
      <c r="F2638">
        <v>3759</v>
      </c>
      <c r="G2638" t="s">
        <v>356</v>
      </c>
      <c r="H2638">
        <v>9</v>
      </c>
      <c r="I2638" t="s">
        <v>34</v>
      </c>
      <c r="J2638">
        <v>6</v>
      </c>
      <c r="K2638" t="s">
        <v>34</v>
      </c>
      <c r="L2638">
        <v>8</v>
      </c>
      <c r="M2638">
        <v>91005</v>
      </c>
      <c r="N2638">
        <v>3</v>
      </c>
    </row>
    <row r="2639" spans="1:14" x14ac:dyDescent="0.2">
      <c r="A2639" s="3">
        <f t="shared" si="43"/>
        <v>5603434</v>
      </c>
      <c r="B2639" t="str">
        <f>"56034340001"</f>
        <v>56034340001</v>
      </c>
      <c r="C2639" t="s">
        <v>3044</v>
      </c>
      <c r="D2639" t="s">
        <v>337</v>
      </c>
      <c r="E2639">
        <v>90</v>
      </c>
      <c r="F2639">
        <v>3759</v>
      </c>
      <c r="G2639" t="s">
        <v>356</v>
      </c>
      <c r="H2639">
        <v>9</v>
      </c>
      <c r="I2639" t="s">
        <v>34</v>
      </c>
      <c r="J2639">
        <v>6</v>
      </c>
      <c r="K2639" t="s">
        <v>34</v>
      </c>
      <c r="L2639">
        <v>8</v>
      </c>
      <c r="M2639">
        <v>91009</v>
      </c>
      <c r="N2639">
        <v>3</v>
      </c>
    </row>
    <row r="2640" spans="1:14" x14ac:dyDescent="0.2">
      <c r="A2640" s="3">
        <f t="shared" si="43"/>
        <v>5603448</v>
      </c>
      <c r="B2640" t="str">
        <f>"56034480004"</f>
        <v>56034480004</v>
      </c>
      <c r="C2640" t="s">
        <v>3045</v>
      </c>
      <c r="D2640" t="s">
        <v>337</v>
      </c>
      <c r="E2640">
        <v>33</v>
      </c>
      <c r="F2640">
        <v>6968</v>
      </c>
      <c r="G2640" t="s">
        <v>410</v>
      </c>
      <c r="H2640">
        <v>11</v>
      </c>
      <c r="I2640" t="s">
        <v>34</v>
      </c>
      <c r="J2640">
        <v>7</v>
      </c>
      <c r="K2640" t="s">
        <v>34</v>
      </c>
      <c r="L2640">
        <v>8</v>
      </c>
      <c r="M2640">
        <v>91118</v>
      </c>
      <c r="N2640">
        <v>4</v>
      </c>
    </row>
    <row r="2641" spans="1:14" x14ac:dyDescent="0.2">
      <c r="A2641" s="3">
        <f t="shared" si="43"/>
        <v>5603466</v>
      </c>
      <c r="B2641" t="str">
        <f>"56034660008"</f>
        <v>56034660008</v>
      </c>
      <c r="C2641" t="s">
        <v>3046</v>
      </c>
      <c r="D2641" t="s">
        <v>289</v>
      </c>
      <c r="E2641">
        <v>20</v>
      </c>
      <c r="F2641">
        <v>8086</v>
      </c>
      <c r="G2641" t="s">
        <v>290</v>
      </c>
      <c r="H2641">
        <v>10</v>
      </c>
      <c r="I2641" t="s">
        <v>25</v>
      </c>
      <c r="J2641">
        <v>7</v>
      </c>
      <c r="K2641" t="s">
        <v>25</v>
      </c>
      <c r="L2641">
        <v>8</v>
      </c>
      <c r="M2641">
        <v>89050</v>
      </c>
      <c r="N2641">
        <v>3</v>
      </c>
    </row>
    <row r="2642" spans="1:14" x14ac:dyDescent="0.2">
      <c r="A2642" s="3">
        <f t="shared" si="43"/>
        <v>5603466</v>
      </c>
      <c r="B2642" t="str">
        <f>"56034660008"</f>
        <v>56034660008</v>
      </c>
      <c r="C2642" t="s">
        <v>3046</v>
      </c>
      <c r="D2642" t="s">
        <v>289</v>
      </c>
      <c r="E2642">
        <v>20</v>
      </c>
      <c r="F2642">
        <v>6965</v>
      </c>
      <c r="G2642" t="s">
        <v>3047</v>
      </c>
      <c r="H2642">
        <v>10</v>
      </c>
      <c r="I2642" t="s">
        <v>25</v>
      </c>
      <c r="J2642">
        <v>7</v>
      </c>
      <c r="K2642" t="s">
        <v>25</v>
      </c>
      <c r="L2642">
        <v>8</v>
      </c>
      <c r="M2642">
        <v>89050</v>
      </c>
      <c r="N2642">
        <v>3</v>
      </c>
    </row>
    <row r="2643" spans="1:14" x14ac:dyDescent="0.2">
      <c r="A2643" s="3">
        <f t="shared" si="43"/>
        <v>5603592</v>
      </c>
      <c r="B2643" t="str">
        <f>"56035920006"</f>
        <v>56035920006</v>
      </c>
      <c r="C2643" t="s">
        <v>3048</v>
      </c>
      <c r="D2643" t="s">
        <v>52</v>
      </c>
      <c r="E2643">
        <v>60</v>
      </c>
      <c r="F2643">
        <v>1804</v>
      </c>
      <c r="G2643" t="s">
        <v>3049</v>
      </c>
      <c r="H2643" t="s">
        <v>44</v>
      </c>
      <c r="I2643" t="s">
        <v>45</v>
      </c>
      <c r="J2643" t="s">
        <v>44</v>
      </c>
      <c r="K2643" t="s">
        <v>45</v>
      </c>
      <c r="L2643">
        <v>6</v>
      </c>
      <c r="M2643">
        <v>51607</v>
      </c>
      <c r="N2643" t="s">
        <v>46</v>
      </c>
    </row>
    <row r="2644" spans="1:14" x14ac:dyDescent="0.2">
      <c r="A2644" s="3">
        <f t="shared" si="43"/>
        <v>5603744</v>
      </c>
      <c r="B2644" t="str">
        <f>"56037440006"</f>
        <v>56037440006</v>
      </c>
      <c r="C2644" t="s">
        <v>3050</v>
      </c>
      <c r="D2644" t="s">
        <v>386</v>
      </c>
      <c r="E2644">
        <v>60</v>
      </c>
      <c r="F2644">
        <v>2230</v>
      </c>
      <c r="G2644" t="s">
        <v>1523</v>
      </c>
      <c r="H2644" t="s">
        <v>44</v>
      </c>
      <c r="I2644" t="s">
        <v>45</v>
      </c>
      <c r="J2644" t="s">
        <v>44</v>
      </c>
      <c r="K2644" t="s">
        <v>45</v>
      </c>
      <c r="L2644">
        <v>8</v>
      </c>
      <c r="M2644">
        <v>61171</v>
      </c>
      <c r="N2644" t="s">
        <v>46</v>
      </c>
    </row>
    <row r="2645" spans="1:14" x14ac:dyDescent="0.2">
      <c r="A2645" s="3">
        <f t="shared" si="43"/>
        <v>5603907</v>
      </c>
      <c r="B2645" t="str">
        <f>"56039070001"</f>
        <v>56039070001</v>
      </c>
      <c r="C2645" t="s">
        <v>3051</v>
      </c>
      <c r="D2645" t="s">
        <v>337</v>
      </c>
      <c r="E2645">
        <v>91</v>
      </c>
      <c r="F2645">
        <v>8018</v>
      </c>
      <c r="G2645" t="s">
        <v>322</v>
      </c>
      <c r="H2645">
        <v>7</v>
      </c>
      <c r="I2645" t="s">
        <v>34</v>
      </c>
      <c r="J2645">
        <v>5</v>
      </c>
      <c r="K2645" t="s">
        <v>34</v>
      </c>
      <c r="L2645">
        <v>8</v>
      </c>
      <c r="M2645">
        <v>91063</v>
      </c>
      <c r="N2645">
        <v>2</v>
      </c>
    </row>
    <row r="2646" spans="1:14" x14ac:dyDescent="0.2">
      <c r="A2646" s="3">
        <f t="shared" si="43"/>
        <v>5603908</v>
      </c>
      <c r="B2646" t="str">
        <f>"56039080001"</f>
        <v>56039080001</v>
      </c>
      <c r="C2646" t="s">
        <v>3052</v>
      </c>
      <c r="D2646" t="s">
        <v>337</v>
      </c>
      <c r="E2646">
        <v>91</v>
      </c>
      <c r="F2646">
        <v>8018</v>
      </c>
      <c r="G2646" t="s">
        <v>322</v>
      </c>
      <c r="H2646">
        <v>7</v>
      </c>
      <c r="I2646" t="s">
        <v>34</v>
      </c>
      <c r="J2646">
        <v>5</v>
      </c>
      <c r="K2646" t="s">
        <v>34</v>
      </c>
      <c r="L2646">
        <v>8</v>
      </c>
      <c r="M2646">
        <v>91060</v>
      </c>
      <c r="N2646">
        <v>2</v>
      </c>
    </row>
    <row r="2647" spans="1:14" x14ac:dyDescent="0.2">
      <c r="A2647" s="3">
        <f t="shared" si="43"/>
        <v>5603920</v>
      </c>
      <c r="B2647" t="str">
        <f>"56039200006"</f>
        <v>56039200006</v>
      </c>
      <c r="C2647" t="s">
        <v>3053</v>
      </c>
      <c r="D2647" t="s">
        <v>52</v>
      </c>
      <c r="E2647">
        <v>33</v>
      </c>
      <c r="F2647">
        <v>705</v>
      </c>
      <c r="G2647" t="s">
        <v>1213</v>
      </c>
      <c r="H2647">
        <v>17</v>
      </c>
      <c r="I2647" t="s">
        <v>34</v>
      </c>
      <c r="J2647">
        <v>11</v>
      </c>
      <c r="K2647" t="s">
        <v>34</v>
      </c>
      <c r="L2647">
        <v>6</v>
      </c>
      <c r="M2647">
        <v>3516</v>
      </c>
      <c r="N2647">
        <v>6</v>
      </c>
    </row>
    <row r="2648" spans="1:14" x14ac:dyDescent="0.2">
      <c r="A2648" s="3">
        <f t="shared" si="43"/>
        <v>5603921</v>
      </c>
      <c r="B2648" t="str">
        <f>"56039210016"</f>
        <v>56039210016</v>
      </c>
      <c r="C2648" t="s">
        <v>3054</v>
      </c>
      <c r="D2648" t="s">
        <v>32</v>
      </c>
      <c r="E2648">
        <v>30</v>
      </c>
      <c r="F2648">
        <v>4806</v>
      </c>
      <c r="G2648" t="s">
        <v>160</v>
      </c>
      <c r="H2648">
        <v>17</v>
      </c>
      <c r="I2648" t="s">
        <v>34</v>
      </c>
      <c r="J2648">
        <v>11</v>
      </c>
      <c r="K2648" t="s">
        <v>34</v>
      </c>
      <c r="L2648">
        <v>8</v>
      </c>
      <c r="M2648">
        <v>83049</v>
      </c>
      <c r="N2648">
        <v>6</v>
      </c>
    </row>
    <row r="2649" spans="1:14" x14ac:dyDescent="0.2">
      <c r="A2649" s="3">
        <f t="shared" si="43"/>
        <v>5603967</v>
      </c>
      <c r="B2649" t="str">
        <f>"56039670014"</f>
        <v>56039670014</v>
      </c>
      <c r="C2649" t="s">
        <v>3055</v>
      </c>
      <c r="D2649" t="s">
        <v>36</v>
      </c>
      <c r="E2649">
        <v>51</v>
      </c>
      <c r="F2649">
        <v>5927</v>
      </c>
      <c r="G2649" t="s">
        <v>484</v>
      </c>
      <c r="H2649">
        <v>12</v>
      </c>
      <c r="I2649" t="s">
        <v>25</v>
      </c>
      <c r="J2649">
        <v>9</v>
      </c>
      <c r="K2649" t="s">
        <v>25</v>
      </c>
      <c r="L2649">
        <v>8</v>
      </c>
      <c r="M2649">
        <v>65124</v>
      </c>
      <c r="N2649">
        <v>3</v>
      </c>
    </row>
    <row r="2650" spans="1:14" x14ac:dyDescent="0.2">
      <c r="A2650" s="3">
        <f t="shared" si="43"/>
        <v>5603975</v>
      </c>
      <c r="B2650" t="str">
        <f>"56039750016"</f>
        <v>56039750016</v>
      </c>
      <c r="C2650" t="s">
        <v>3056</v>
      </c>
      <c r="D2650" t="s">
        <v>36</v>
      </c>
      <c r="E2650">
        <v>51</v>
      </c>
      <c r="F2650">
        <v>2236</v>
      </c>
      <c r="G2650" t="s">
        <v>479</v>
      </c>
      <c r="H2650">
        <v>12</v>
      </c>
      <c r="I2650" t="s">
        <v>25</v>
      </c>
      <c r="J2650">
        <v>9</v>
      </c>
      <c r="K2650" t="s">
        <v>25</v>
      </c>
      <c r="L2650">
        <v>8</v>
      </c>
      <c r="M2650">
        <v>65120</v>
      </c>
      <c r="N2650">
        <v>3</v>
      </c>
    </row>
    <row r="2651" spans="1:14" x14ac:dyDescent="0.2">
      <c r="A2651" s="3">
        <f t="shared" si="43"/>
        <v>5603997</v>
      </c>
      <c r="B2651" t="str">
        <f>"56039970006"</f>
        <v>56039970006</v>
      </c>
      <c r="C2651" t="s">
        <v>3057</v>
      </c>
      <c r="D2651" t="s">
        <v>52</v>
      </c>
      <c r="E2651">
        <v>48</v>
      </c>
      <c r="F2651">
        <v>1211</v>
      </c>
      <c r="G2651" t="s">
        <v>1206</v>
      </c>
      <c r="H2651">
        <v>24</v>
      </c>
      <c r="I2651" t="s">
        <v>25</v>
      </c>
      <c r="J2651">
        <v>20</v>
      </c>
      <c r="K2651" t="s">
        <v>25</v>
      </c>
      <c r="L2651">
        <v>6</v>
      </c>
      <c r="M2651">
        <v>3615</v>
      </c>
      <c r="N2651">
        <v>4</v>
      </c>
    </row>
    <row r="2652" spans="1:14" x14ac:dyDescent="0.2">
      <c r="A2652" s="3">
        <f t="shared" si="43"/>
        <v>5604003</v>
      </c>
      <c r="B2652" t="str">
        <f>"56040030006"</f>
        <v>56040030006</v>
      </c>
      <c r="C2652" t="s">
        <v>3058</v>
      </c>
      <c r="D2652" t="s">
        <v>52</v>
      </c>
      <c r="E2652">
        <v>51</v>
      </c>
      <c r="F2652">
        <v>673</v>
      </c>
      <c r="G2652" t="s">
        <v>3059</v>
      </c>
      <c r="H2652">
        <v>32</v>
      </c>
      <c r="I2652" t="s">
        <v>25</v>
      </c>
      <c r="J2652">
        <v>26</v>
      </c>
      <c r="K2652" t="s">
        <v>25</v>
      </c>
      <c r="L2652">
        <v>6</v>
      </c>
      <c r="M2652">
        <v>3602</v>
      </c>
      <c r="N2652">
        <v>6</v>
      </c>
    </row>
    <row r="2653" spans="1:14" x14ac:dyDescent="0.2">
      <c r="A2653" s="3">
        <f t="shared" si="43"/>
        <v>5604019</v>
      </c>
      <c r="B2653" t="str">
        <f>"56040190036"</f>
        <v>56040190036</v>
      </c>
      <c r="C2653" t="s">
        <v>3060</v>
      </c>
      <c r="D2653" t="s">
        <v>77</v>
      </c>
      <c r="E2653">
        <v>32</v>
      </c>
      <c r="F2653">
        <v>648</v>
      </c>
      <c r="G2653" t="s">
        <v>3061</v>
      </c>
      <c r="H2653">
        <v>45</v>
      </c>
      <c r="I2653" t="s">
        <v>34</v>
      </c>
      <c r="J2653">
        <v>34</v>
      </c>
      <c r="K2653" t="s">
        <v>34</v>
      </c>
      <c r="L2653">
        <v>8</v>
      </c>
      <c r="M2653">
        <v>81140</v>
      </c>
      <c r="N2653">
        <v>11</v>
      </c>
    </row>
    <row r="2654" spans="1:14" x14ac:dyDescent="0.2">
      <c r="A2654" s="3">
        <f t="shared" si="43"/>
        <v>5604025</v>
      </c>
      <c r="B2654" t="str">
        <f>"56040250006"</f>
        <v>56040250006</v>
      </c>
      <c r="C2654" t="s">
        <v>3062</v>
      </c>
      <c r="D2654" t="s">
        <v>42</v>
      </c>
      <c r="E2654">
        <v>61</v>
      </c>
      <c r="F2654">
        <v>320</v>
      </c>
      <c r="G2654" t="s">
        <v>813</v>
      </c>
      <c r="H2654" t="s">
        <v>44</v>
      </c>
      <c r="I2654" t="s">
        <v>45</v>
      </c>
      <c r="J2654" t="s">
        <v>44</v>
      </c>
      <c r="K2654" t="s">
        <v>45</v>
      </c>
      <c r="L2654">
        <v>8</v>
      </c>
      <c r="M2654">
        <v>61259</v>
      </c>
      <c r="N2654" t="s">
        <v>46</v>
      </c>
    </row>
    <row r="2655" spans="1:14" x14ac:dyDescent="0.2">
      <c r="A2655" s="3">
        <f t="shared" si="43"/>
        <v>5604042</v>
      </c>
      <c r="B2655" t="str">
        <f>"56040420001"</f>
        <v>56040420001</v>
      </c>
      <c r="C2655" t="s">
        <v>3063</v>
      </c>
      <c r="D2655" t="s">
        <v>52</v>
      </c>
      <c r="E2655">
        <v>90</v>
      </c>
      <c r="F2655">
        <v>8253</v>
      </c>
      <c r="G2655" t="s">
        <v>343</v>
      </c>
      <c r="H2655">
        <v>10</v>
      </c>
      <c r="I2655" t="s">
        <v>34</v>
      </c>
      <c r="J2655">
        <v>7</v>
      </c>
      <c r="K2655" t="s">
        <v>34</v>
      </c>
      <c r="L2655">
        <v>8</v>
      </c>
      <c r="M2655" t="s">
        <v>65</v>
      </c>
      <c r="N2655">
        <v>3</v>
      </c>
    </row>
    <row r="2656" spans="1:14" x14ac:dyDescent="0.2">
      <c r="A2656" s="3">
        <f t="shared" si="43"/>
        <v>5604044</v>
      </c>
      <c r="B2656" t="str">
        <f>"56040440001"</f>
        <v>56040440001</v>
      </c>
      <c r="C2656" t="s">
        <v>3064</v>
      </c>
      <c r="D2656" t="s">
        <v>52</v>
      </c>
      <c r="E2656">
        <v>90</v>
      </c>
      <c r="F2656">
        <v>2785</v>
      </c>
      <c r="G2656" t="s">
        <v>176</v>
      </c>
      <c r="H2656">
        <v>9</v>
      </c>
      <c r="I2656" t="s">
        <v>34</v>
      </c>
      <c r="J2656">
        <v>6</v>
      </c>
      <c r="K2656" t="s">
        <v>34</v>
      </c>
      <c r="L2656">
        <v>8</v>
      </c>
      <c r="M2656" t="s">
        <v>65</v>
      </c>
      <c r="N2656">
        <v>3</v>
      </c>
    </row>
    <row r="2657" spans="1:14" x14ac:dyDescent="0.2">
      <c r="A2657" s="3">
        <f t="shared" si="43"/>
        <v>5604054</v>
      </c>
      <c r="B2657" t="str">
        <f>"56040540012"</f>
        <v>56040540012</v>
      </c>
      <c r="C2657" t="s">
        <v>3065</v>
      </c>
      <c r="D2657" t="s">
        <v>77</v>
      </c>
      <c r="E2657">
        <v>40</v>
      </c>
      <c r="F2657">
        <v>8229</v>
      </c>
      <c r="G2657" t="s">
        <v>282</v>
      </c>
      <c r="H2657">
        <v>40</v>
      </c>
      <c r="I2657" t="s">
        <v>34</v>
      </c>
      <c r="J2657">
        <v>30</v>
      </c>
      <c r="K2657" t="s">
        <v>34</v>
      </c>
      <c r="L2657">
        <v>8</v>
      </c>
      <c r="M2657">
        <v>76056</v>
      </c>
      <c r="N2657">
        <v>10</v>
      </c>
    </row>
    <row r="2658" spans="1:14" x14ac:dyDescent="0.2">
      <c r="A2658" s="3">
        <f t="shared" si="43"/>
        <v>5604058</v>
      </c>
      <c r="B2658" t="str">
        <f>"56040580008"</f>
        <v>56040580008</v>
      </c>
      <c r="C2658" t="s">
        <v>3066</v>
      </c>
      <c r="D2658" t="s">
        <v>289</v>
      </c>
      <c r="E2658">
        <v>20</v>
      </c>
      <c r="F2658">
        <v>8086</v>
      </c>
      <c r="G2658" t="s">
        <v>290</v>
      </c>
      <c r="H2658">
        <v>12</v>
      </c>
      <c r="I2658" t="s">
        <v>25</v>
      </c>
      <c r="J2658">
        <v>9</v>
      </c>
      <c r="K2658" t="s">
        <v>25</v>
      </c>
      <c r="L2658">
        <v>8</v>
      </c>
      <c r="M2658">
        <v>87042</v>
      </c>
      <c r="N2658">
        <v>3</v>
      </c>
    </row>
    <row r="2659" spans="1:14" x14ac:dyDescent="0.2">
      <c r="A2659" s="3">
        <f t="shared" si="43"/>
        <v>5604058</v>
      </c>
      <c r="B2659" t="str">
        <f>"56040580008"</f>
        <v>56040580008</v>
      </c>
      <c r="C2659" t="s">
        <v>3066</v>
      </c>
      <c r="D2659" t="s">
        <v>289</v>
      </c>
      <c r="E2659">
        <v>20</v>
      </c>
      <c r="F2659">
        <v>2841</v>
      </c>
      <c r="G2659" t="s">
        <v>713</v>
      </c>
      <c r="H2659">
        <v>12</v>
      </c>
      <c r="I2659" t="s">
        <v>25</v>
      </c>
      <c r="J2659">
        <v>9</v>
      </c>
      <c r="K2659" t="s">
        <v>25</v>
      </c>
      <c r="L2659">
        <v>8</v>
      </c>
      <c r="M2659">
        <v>87042</v>
      </c>
      <c r="N2659">
        <v>3</v>
      </c>
    </row>
    <row r="2660" spans="1:14" x14ac:dyDescent="0.2">
      <c r="A2660" s="3">
        <f t="shared" si="43"/>
        <v>5604063</v>
      </c>
      <c r="B2660" t="str">
        <f>"56040630004"</f>
        <v>56040630004</v>
      </c>
      <c r="C2660" t="s">
        <v>3067</v>
      </c>
      <c r="D2660" t="s">
        <v>52</v>
      </c>
      <c r="E2660">
        <v>33</v>
      </c>
      <c r="F2660">
        <v>2779</v>
      </c>
      <c r="G2660" t="s">
        <v>411</v>
      </c>
      <c r="H2660">
        <v>17</v>
      </c>
      <c r="I2660" t="s">
        <v>34</v>
      </c>
      <c r="J2660">
        <v>11</v>
      </c>
      <c r="K2660" t="s">
        <v>34</v>
      </c>
      <c r="L2660">
        <v>6</v>
      </c>
      <c r="M2660">
        <v>52501</v>
      </c>
      <c r="N2660">
        <v>6</v>
      </c>
    </row>
    <row r="2661" spans="1:14" x14ac:dyDescent="0.2">
      <c r="A2661" s="3">
        <f t="shared" si="43"/>
        <v>5604064</v>
      </c>
      <c r="B2661" t="str">
        <f>"56040640004"</f>
        <v>56040640004</v>
      </c>
      <c r="C2661" t="s">
        <v>3068</v>
      </c>
      <c r="D2661" t="s">
        <v>52</v>
      </c>
      <c r="E2661">
        <v>33</v>
      </c>
      <c r="F2661">
        <v>1985</v>
      </c>
      <c r="G2661" t="s">
        <v>287</v>
      </c>
      <c r="H2661">
        <v>19</v>
      </c>
      <c r="I2661" t="s">
        <v>34</v>
      </c>
      <c r="J2661">
        <v>14</v>
      </c>
      <c r="K2661" t="s">
        <v>34</v>
      </c>
      <c r="L2661">
        <v>6</v>
      </c>
      <c r="M2661">
        <v>1526</v>
      </c>
      <c r="N2661">
        <v>5</v>
      </c>
    </row>
    <row r="2662" spans="1:14" x14ac:dyDescent="0.2">
      <c r="A2662" s="3">
        <f t="shared" si="43"/>
        <v>5604066</v>
      </c>
      <c r="B2662" t="str">
        <f>"56040660008"</f>
        <v>56040660008</v>
      </c>
      <c r="C2662" t="s">
        <v>3069</v>
      </c>
      <c r="D2662" t="s">
        <v>48</v>
      </c>
      <c r="E2662">
        <v>32</v>
      </c>
      <c r="F2662">
        <v>1414</v>
      </c>
      <c r="G2662" t="s">
        <v>3070</v>
      </c>
      <c r="H2662">
        <v>38</v>
      </c>
      <c r="I2662" t="s">
        <v>34</v>
      </c>
      <c r="J2662">
        <v>28</v>
      </c>
      <c r="K2662" t="s">
        <v>34</v>
      </c>
      <c r="L2662">
        <v>6</v>
      </c>
      <c r="M2662" t="s">
        <v>65</v>
      </c>
      <c r="N2662">
        <v>10</v>
      </c>
    </row>
    <row r="2663" spans="1:14" x14ac:dyDescent="0.2">
      <c r="A2663" s="3">
        <f t="shared" si="43"/>
        <v>5604118</v>
      </c>
      <c r="B2663" t="str">
        <f>"56041180001"</f>
        <v>56041180001</v>
      </c>
      <c r="C2663" t="s">
        <v>3071</v>
      </c>
      <c r="D2663" t="s">
        <v>337</v>
      </c>
      <c r="E2663">
        <v>91</v>
      </c>
      <c r="F2663">
        <v>8018</v>
      </c>
      <c r="G2663" t="s">
        <v>322</v>
      </c>
      <c r="H2663">
        <v>6</v>
      </c>
      <c r="I2663" t="s">
        <v>34</v>
      </c>
      <c r="J2663">
        <v>4</v>
      </c>
      <c r="K2663" t="s">
        <v>34</v>
      </c>
      <c r="L2663">
        <v>8</v>
      </c>
      <c r="M2663">
        <v>91072</v>
      </c>
      <c r="N2663">
        <v>2</v>
      </c>
    </row>
    <row r="2664" spans="1:14" x14ac:dyDescent="0.2">
      <c r="A2664" s="3">
        <f t="shared" si="43"/>
        <v>5604119</v>
      </c>
      <c r="B2664" t="str">
        <f>"56041190006"</f>
        <v>56041190006</v>
      </c>
      <c r="C2664" t="s">
        <v>3072</v>
      </c>
      <c r="D2664" t="s">
        <v>36</v>
      </c>
      <c r="E2664">
        <v>51</v>
      </c>
      <c r="F2664">
        <v>5927</v>
      </c>
      <c r="G2664" t="s">
        <v>484</v>
      </c>
      <c r="H2664">
        <v>24</v>
      </c>
      <c r="I2664" t="s">
        <v>25</v>
      </c>
      <c r="J2664">
        <v>20</v>
      </c>
      <c r="K2664" t="s">
        <v>25</v>
      </c>
      <c r="L2664">
        <v>8</v>
      </c>
      <c r="M2664">
        <v>65102</v>
      </c>
      <c r="N2664">
        <v>4</v>
      </c>
    </row>
    <row r="2665" spans="1:14" x14ac:dyDescent="0.2">
      <c r="A2665" s="3">
        <f t="shared" si="43"/>
        <v>5604146</v>
      </c>
      <c r="B2665" t="str">
        <f>"56041460008"</f>
        <v>56041460008</v>
      </c>
      <c r="C2665" t="s">
        <v>3073</v>
      </c>
      <c r="D2665" t="s">
        <v>101</v>
      </c>
      <c r="E2665">
        <v>32</v>
      </c>
      <c r="F2665">
        <v>514</v>
      </c>
      <c r="G2665" t="s">
        <v>3074</v>
      </c>
      <c r="H2665">
        <v>104</v>
      </c>
      <c r="I2665" t="s">
        <v>34</v>
      </c>
      <c r="J2665">
        <v>77</v>
      </c>
      <c r="K2665" t="s">
        <v>34</v>
      </c>
      <c r="L2665">
        <v>8</v>
      </c>
      <c r="M2665">
        <v>82043</v>
      </c>
      <c r="N2665">
        <v>27</v>
      </c>
    </row>
    <row r="2666" spans="1:14" x14ac:dyDescent="0.2">
      <c r="A2666" s="3">
        <f t="shared" si="43"/>
        <v>5604165</v>
      </c>
      <c r="B2666" t="str">
        <f>"56041650001"</f>
        <v>56041650001</v>
      </c>
      <c r="C2666" t="s">
        <v>3075</v>
      </c>
      <c r="D2666" t="s">
        <v>337</v>
      </c>
      <c r="E2666">
        <v>92</v>
      </c>
      <c r="F2666">
        <v>329</v>
      </c>
      <c r="G2666" t="s">
        <v>252</v>
      </c>
      <c r="H2666">
        <v>10</v>
      </c>
      <c r="I2666" t="s">
        <v>34</v>
      </c>
      <c r="J2666">
        <v>7</v>
      </c>
      <c r="K2666" t="s">
        <v>34</v>
      </c>
      <c r="L2666">
        <v>8</v>
      </c>
      <c r="M2666">
        <v>91094</v>
      </c>
      <c r="N2666">
        <v>3</v>
      </c>
    </row>
    <row r="2667" spans="1:14" x14ac:dyDescent="0.2">
      <c r="A2667" s="3">
        <f t="shared" si="43"/>
        <v>5604182</v>
      </c>
      <c r="B2667" t="str">
        <f>"56041820008"</f>
        <v>56041820008</v>
      </c>
      <c r="C2667" t="s">
        <v>3076</v>
      </c>
      <c r="D2667" t="s">
        <v>52</v>
      </c>
      <c r="E2667">
        <v>51</v>
      </c>
      <c r="F2667">
        <v>136</v>
      </c>
      <c r="G2667" t="s">
        <v>538</v>
      </c>
      <c r="H2667">
        <v>12</v>
      </c>
      <c r="I2667" t="s">
        <v>25</v>
      </c>
      <c r="J2667">
        <v>9</v>
      </c>
      <c r="K2667" t="s">
        <v>25</v>
      </c>
      <c r="L2667">
        <v>6</v>
      </c>
      <c r="M2667">
        <v>3625</v>
      </c>
      <c r="N2667">
        <v>3</v>
      </c>
    </row>
    <row r="2668" spans="1:14" x14ac:dyDescent="0.2">
      <c r="A2668" s="3">
        <f t="shared" si="43"/>
        <v>5604206</v>
      </c>
      <c r="B2668" t="str">
        <f>"56042060001"</f>
        <v>56042060001</v>
      </c>
      <c r="C2668" t="s">
        <v>3077</v>
      </c>
      <c r="D2668" t="s">
        <v>337</v>
      </c>
      <c r="E2668">
        <v>91</v>
      </c>
      <c r="F2668">
        <v>3781</v>
      </c>
      <c r="G2668" t="s">
        <v>341</v>
      </c>
      <c r="H2668">
        <v>6</v>
      </c>
      <c r="I2668" t="s">
        <v>34</v>
      </c>
      <c r="J2668">
        <v>4</v>
      </c>
      <c r="K2668" t="s">
        <v>34</v>
      </c>
      <c r="L2668">
        <v>8</v>
      </c>
      <c r="M2668">
        <v>91071</v>
      </c>
      <c r="N2668">
        <v>2</v>
      </c>
    </row>
    <row r="2669" spans="1:14" x14ac:dyDescent="0.2">
      <c r="A2669" s="3">
        <f t="shared" si="43"/>
        <v>5604210</v>
      </c>
      <c r="B2669" t="str">
        <f>"56042100008"</f>
        <v>56042100008</v>
      </c>
      <c r="C2669" t="s">
        <v>3078</v>
      </c>
      <c r="D2669" t="s">
        <v>67</v>
      </c>
      <c r="E2669">
        <v>30</v>
      </c>
      <c r="F2669">
        <v>1702</v>
      </c>
      <c r="G2669" t="s">
        <v>3079</v>
      </c>
      <c r="H2669">
        <v>22</v>
      </c>
      <c r="I2669" t="s">
        <v>34</v>
      </c>
      <c r="J2669">
        <v>16</v>
      </c>
      <c r="K2669" t="s">
        <v>34</v>
      </c>
      <c r="L2669">
        <v>8</v>
      </c>
      <c r="M2669">
        <v>83074</v>
      </c>
      <c r="N2669">
        <v>6</v>
      </c>
    </row>
    <row r="2670" spans="1:14" x14ac:dyDescent="0.2">
      <c r="A2670" s="3">
        <f t="shared" si="43"/>
        <v>5604212</v>
      </c>
      <c r="B2670" t="str">
        <f>"56042120008"</f>
        <v>56042120008</v>
      </c>
      <c r="C2670" t="s">
        <v>3080</v>
      </c>
      <c r="D2670" t="s">
        <v>67</v>
      </c>
      <c r="E2670">
        <v>30</v>
      </c>
      <c r="F2670">
        <v>1702</v>
      </c>
      <c r="G2670" t="s">
        <v>3079</v>
      </c>
      <c r="H2670">
        <v>22</v>
      </c>
      <c r="I2670" t="s">
        <v>34</v>
      </c>
      <c r="J2670">
        <v>16</v>
      </c>
      <c r="K2670" t="s">
        <v>34</v>
      </c>
      <c r="L2670">
        <v>8</v>
      </c>
      <c r="M2670">
        <v>83091</v>
      </c>
      <c r="N2670">
        <v>6</v>
      </c>
    </row>
    <row r="2671" spans="1:14" x14ac:dyDescent="0.2">
      <c r="A2671" s="3">
        <f t="shared" si="43"/>
        <v>5604227</v>
      </c>
      <c r="B2671" t="str">
        <f>"56042270006"</f>
        <v>56042270006</v>
      </c>
      <c r="C2671" t="s">
        <v>3081</v>
      </c>
      <c r="D2671" t="s">
        <v>36</v>
      </c>
      <c r="E2671">
        <v>51</v>
      </c>
      <c r="F2671">
        <v>1682</v>
      </c>
      <c r="G2671" t="s">
        <v>3082</v>
      </c>
      <c r="H2671">
        <v>12</v>
      </c>
      <c r="I2671" t="s">
        <v>25</v>
      </c>
      <c r="J2671">
        <v>9</v>
      </c>
      <c r="K2671" t="s">
        <v>25</v>
      </c>
      <c r="L2671">
        <v>8</v>
      </c>
      <c r="M2671">
        <v>72214</v>
      </c>
      <c r="N2671">
        <v>3</v>
      </c>
    </row>
    <row r="2672" spans="1:14" x14ac:dyDescent="0.2">
      <c r="A2672" s="3">
        <f t="shared" si="43"/>
        <v>5604238</v>
      </c>
      <c r="B2672" t="str">
        <f>"56042380012"</f>
        <v>56042380012</v>
      </c>
      <c r="C2672" t="s">
        <v>3083</v>
      </c>
      <c r="D2672" t="s">
        <v>36</v>
      </c>
      <c r="E2672">
        <v>72</v>
      </c>
      <c r="F2672">
        <v>4609</v>
      </c>
      <c r="G2672" t="s">
        <v>2972</v>
      </c>
      <c r="H2672">
        <v>120</v>
      </c>
      <c r="I2672" t="s">
        <v>34</v>
      </c>
      <c r="J2672">
        <v>88</v>
      </c>
      <c r="K2672" t="s">
        <v>34</v>
      </c>
      <c r="L2672">
        <v>8</v>
      </c>
      <c r="M2672">
        <v>74076</v>
      </c>
      <c r="N2672">
        <v>32</v>
      </c>
    </row>
    <row r="2673" spans="1:14" x14ac:dyDescent="0.2">
      <c r="A2673" s="3">
        <f t="shared" si="43"/>
        <v>5604271</v>
      </c>
      <c r="B2673" t="str">
        <f>"56042710006"</f>
        <v>56042710006</v>
      </c>
      <c r="C2673" t="s">
        <v>3084</v>
      </c>
      <c r="D2673" t="s">
        <v>115</v>
      </c>
      <c r="E2673">
        <v>47</v>
      </c>
      <c r="F2673">
        <v>8153</v>
      </c>
      <c r="G2673" t="s">
        <v>3085</v>
      </c>
      <c r="H2673" t="s">
        <v>44</v>
      </c>
      <c r="I2673" t="s">
        <v>45</v>
      </c>
      <c r="J2673" t="s">
        <v>44</v>
      </c>
      <c r="K2673" t="s">
        <v>45</v>
      </c>
      <c r="L2673">
        <v>8</v>
      </c>
      <c r="M2673">
        <v>66083</v>
      </c>
      <c r="N2673" t="s">
        <v>46</v>
      </c>
    </row>
    <row r="2674" spans="1:14" x14ac:dyDescent="0.2">
      <c r="A2674" s="3">
        <f t="shared" si="43"/>
        <v>5604277</v>
      </c>
      <c r="B2674" t="str">
        <f>"56042770001"</f>
        <v>56042770001</v>
      </c>
      <c r="C2674" t="s">
        <v>3086</v>
      </c>
      <c r="D2674" t="s">
        <v>52</v>
      </c>
      <c r="E2674">
        <v>92</v>
      </c>
      <c r="F2674">
        <v>291</v>
      </c>
      <c r="G2674" t="s">
        <v>3087</v>
      </c>
      <c r="H2674">
        <v>7</v>
      </c>
      <c r="I2674" t="s">
        <v>34</v>
      </c>
      <c r="J2674">
        <v>5</v>
      </c>
      <c r="K2674" t="s">
        <v>34</v>
      </c>
      <c r="L2674">
        <v>8</v>
      </c>
      <c r="M2674" t="s">
        <v>65</v>
      </c>
      <c r="N2674">
        <v>2</v>
      </c>
    </row>
    <row r="2675" spans="1:14" x14ac:dyDescent="0.2">
      <c r="A2675" s="3">
        <f t="shared" si="43"/>
        <v>5604287</v>
      </c>
      <c r="B2675" t="str">
        <f>"56042870012"</f>
        <v>56042870012</v>
      </c>
      <c r="C2675" t="s">
        <v>3088</v>
      </c>
      <c r="D2675" t="s">
        <v>52</v>
      </c>
      <c r="E2675">
        <v>32</v>
      </c>
      <c r="F2675">
        <v>1009</v>
      </c>
      <c r="G2675" t="s">
        <v>840</v>
      </c>
      <c r="H2675">
        <v>45</v>
      </c>
      <c r="I2675" t="s">
        <v>34</v>
      </c>
      <c r="J2675">
        <v>34</v>
      </c>
      <c r="K2675" t="s">
        <v>34</v>
      </c>
      <c r="L2675">
        <v>6</v>
      </c>
      <c r="M2675">
        <v>3530</v>
      </c>
      <c r="N2675">
        <v>11</v>
      </c>
    </row>
    <row r="2676" spans="1:14" x14ac:dyDescent="0.2">
      <c r="A2676" s="3">
        <f t="shared" si="43"/>
        <v>5604290</v>
      </c>
      <c r="B2676" t="str">
        <f>"56042900008"</f>
        <v>56042900008</v>
      </c>
      <c r="C2676" t="s">
        <v>3089</v>
      </c>
      <c r="D2676" t="s">
        <v>48</v>
      </c>
      <c r="E2676">
        <v>32</v>
      </c>
      <c r="F2676">
        <v>1763</v>
      </c>
      <c r="G2676" t="s">
        <v>3090</v>
      </c>
      <c r="H2676">
        <v>24</v>
      </c>
      <c r="I2676" t="s">
        <v>34</v>
      </c>
      <c r="J2676">
        <v>18</v>
      </c>
      <c r="K2676" t="s">
        <v>34</v>
      </c>
      <c r="L2676">
        <v>8</v>
      </c>
      <c r="M2676">
        <v>82149</v>
      </c>
      <c r="N2676">
        <v>6</v>
      </c>
    </row>
    <row r="2677" spans="1:14" x14ac:dyDescent="0.2">
      <c r="A2677" s="3">
        <f t="shared" si="43"/>
        <v>5604299</v>
      </c>
      <c r="B2677" t="str">
        <f>"56042990014"</f>
        <v>56042990014</v>
      </c>
      <c r="C2677" t="s">
        <v>3091</v>
      </c>
      <c r="D2677" t="s">
        <v>70</v>
      </c>
      <c r="E2677">
        <v>30</v>
      </c>
      <c r="F2677">
        <v>8006</v>
      </c>
      <c r="G2677" t="s">
        <v>162</v>
      </c>
      <c r="H2677">
        <v>23</v>
      </c>
      <c r="I2677" t="s">
        <v>34</v>
      </c>
      <c r="J2677">
        <v>17</v>
      </c>
      <c r="K2677" t="s">
        <v>34</v>
      </c>
      <c r="L2677">
        <v>8</v>
      </c>
      <c r="M2677">
        <v>83065</v>
      </c>
      <c r="N2677">
        <v>6</v>
      </c>
    </row>
    <row r="2678" spans="1:14" x14ac:dyDescent="0.2">
      <c r="A2678" s="3">
        <f t="shared" si="43"/>
        <v>5604304</v>
      </c>
      <c r="B2678" t="str">
        <f>"56043040008"</f>
        <v>56043040008</v>
      </c>
      <c r="C2678" t="s">
        <v>3092</v>
      </c>
      <c r="D2678" t="s">
        <v>52</v>
      </c>
      <c r="E2678">
        <v>30</v>
      </c>
      <c r="F2678">
        <v>1761</v>
      </c>
      <c r="G2678" t="s">
        <v>3093</v>
      </c>
      <c r="H2678">
        <v>18</v>
      </c>
      <c r="I2678" t="s">
        <v>34</v>
      </c>
      <c r="J2678">
        <v>13</v>
      </c>
      <c r="K2678" t="s">
        <v>34</v>
      </c>
      <c r="L2678">
        <v>6</v>
      </c>
      <c r="M2678">
        <v>3521</v>
      </c>
      <c r="N2678">
        <v>5</v>
      </c>
    </row>
    <row r="2679" spans="1:14" x14ac:dyDescent="0.2">
      <c r="A2679" s="3">
        <f t="shared" si="43"/>
        <v>5604305</v>
      </c>
      <c r="B2679" t="str">
        <f>"56043050008"</f>
        <v>56043050008</v>
      </c>
      <c r="C2679" t="s">
        <v>3094</v>
      </c>
      <c r="D2679" t="s">
        <v>52</v>
      </c>
      <c r="E2679">
        <v>30</v>
      </c>
      <c r="F2679">
        <v>1761</v>
      </c>
      <c r="G2679" t="s">
        <v>3093</v>
      </c>
      <c r="H2679">
        <v>18</v>
      </c>
      <c r="I2679" t="s">
        <v>34</v>
      </c>
      <c r="J2679">
        <v>13</v>
      </c>
      <c r="K2679" t="s">
        <v>34</v>
      </c>
      <c r="L2679">
        <v>6</v>
      </c>
      <c r="M2679">
        <v>3522</v>
      </c>
      <c r="N2679">
        <v>5</v>
      </c>
    </row>
    <row r="2680" spans="1:14" x14ac:dyDescent="0.2">
      <c r="A2680" s="3">
        <f t="shared" si="43"/>
        <v>5604326</v>
      </c>
      <c r="B2680" t="str">
        <f>"56043260010"</f>
        <v>56043260010</v>
      </c>
      <c r="C2680" t="s">
        <v>3095</v>
      </c>
      <c r="D2680" t="s">
        <v>289</v>
      </c>
      <c r="E2680">
        <v>20</v>
      </c>
      <c r="F2680">
        <v>8086</v>
      </c>
      <c r="G2680" t="s">
        <v>290</v>
      </c>
      <c r="H2680">
        <v>12</v>
      </c>
      <c r="I2680" t="s">
        <v>25</v>
      </c>
      <c r="J2680">
        <v>9</v>
      </c>
      <c r="K2680" t="s">
        <v>25</v>
      </c>
      <c r="L2680">
        <v>8</v>
      </c>
      <c r="M2680">
        <v>87024</v>
      </c>
      <c r="N2680">
        <v>3</v>
      </c>
    </row>
    <row r="2681" spans="1:14" x14ac:dyDescent="0.2">
      <c r="A2681" s="3">
        <f t="shared" si="43"/>
        <v>5604326</v>
      </c>
      <c r="B2681" t="str">
        <f>"56043260010"</f>
        <v>56043260010</v>
      </c>
      <c r="C2681" t="s">
        <v>3095</v>
      </c>
      <c r="D2681" t="s">
        <v>289</v>
      </c>
      <c r="E2681">
        <v>20</v>
      </c>
      <c r="F2681">
        <v>1769</v>
      </c>
      <c r="G2681" t="s">
        <v>3096</v>
      </c>
      <c r="H2681">
        <v>12</v>
      </c>
      <c r="I2681" t="s">
        <v>25</v>
      </c>
      <c r="J2681">
        <v>9</v>
      </c>
      <c r="K2681" t="s">
        <v>25</v>
      </c>
      <c r="L2681">
        <v>8</v>
      </c>
      <c r="M2681">
        <v>87024</v>
      </c>
      <c r="N2681">
        <v>3</v>
      </c>
    </row>
    <row r="2682" spans="1:14" x14ac:dyDescent="0.2">
      <c r="A2682" s="3">
        <f t="shared" si="43"/>
        <v>5604343</v>
      </c>
      <c r="B2682" t="str">
        <f>"56043430015"</f>
        <v>56043430015</v>
      </c>
      <c r="C2682" t="s">
        <v>3097</v>
      </c>
      <c r="D2682" t="s">
        <v>67</v>
      </c>
      <c r="E2682">
        <v>30</v>
      </c>
      <c r="F2682">
        <v>705</v>
      </c>
      <c r="G2682" t="s">
        <v>1213</v>
      </c>
      <c r="H2682">
        <v>17</v>
      </c>
      <c r="I2682" t="s">
        <v>34</v>
      </c>
      <c r="J2682">
        <v>11</v>
      </c>
      <c r="K2682" t="s">
        <v>34</v>
      </c>
      <c r="L2682">
        <v>8</v>
      </c>
      <c r="M2682">
        <v>83003</v>
      </c>
      <c r="N2682">
        <v>6</v>
      </c>
    </row>
    <row r="2683" spans="1:14" x14ac:dyDescent="0.2">
      <c r="A2683" s="3">
        <f t="shared" si="43"/>
        <v>5604346</v>
      </c>
      <c r="B2683" t="str">
        <f>"56043460008"</f>
        <v>56043460008</v>
      </c>
      <c r="C2683" t="s">
        <v>3098</v>
      </c>
      <c r="D2683" t="s">
        <v>67</v>
      </c>
      <c r="E2683">
        <v>30</v>
      </c>
      <c r="F2683">
        <v>705</v>
      </c>
      <c r="G2683" t="s">
        <v>1213</v>
      </c>
      <c r="H2683">
        <v>17</v>
      </c>
      <c r="I2683" t="s">
        <v>34</v>
      </c>
      <c r="J2683">
        <v>11</v>
      </c>
      <c r="K2683" t="s">
        <v>34</v>
      </c>
      <c r="L2683">
        <v>8</v>
      </c>
      <c r="M2683">
        <v>82188</v>
      </c>
      <c r="N2683">
        <v>6</v>
      </c>
    </row>
    <row r="2684" spans="1:14" x14ac:dyDescent="0.2">
      <c r="A2684" s="3">
        <f t="shared" si="43"/>
        <v>5604366</v>
      </c>
      <c r="B2684" t="str">
        <f>"56043660012"</f>
        <v>56043660012</v>
      </c>
      <c r="C2684" t="s">
        <v>3099</v>
      </c>
      <c r="D2684" t="s">
        <v>67</v>
      </c>
      <c r="E2684">
        <v>32</v>
      </c>
      <c r="F2684">
        <v>920</v>
      </c>
      <c r="G2684" t="s">
        <v>105</v>
      </c>
      <c r="H2684">
        <v>30</v>
      </c>
      <c r="I2684" t="s">
        <v>34</v>
      </c>
      <c r="J2684">
        <v>20</v>
      </c>
      <c r="K2684" t="s">
        <v>34</v>
      </c>
      <c r="L2684">
        <v>8</v>
      </c>
      <c r="M2684">
        <v>82047</v>
      </c>
      <c r="N2684">
        <v>10</v>
      </c>
    </row>
    <row r="2685" spans="1:14" x14ac:dyDescent="0.2">
      <c r="A2685" s="3">
        <f t="shared" si="43"/>
        <v>5604380</v>
      </c>
      <c r="B2685" t="str">
        <f>"56043800001"</f>
        <v>56043800001</v>
      </c>
      <c r="C2685" t="s">
        <v>3100</v>
      </c>
      <c r="D2685" t="s">
        <v>337</v>
      </c>
      <c r="E2685">
        <v>90</v>
      </c>
      <c r="F2685">
        <v>1784</v>
      </c>
      <c r="G2685" t="s">
        <v>347</v>
      </c>
      <c r="H2685">
        <v>9</v>
      </c>
      <c r="I2685" t="s">
        <v>34</v>
      </c>
      <c r="J2685">
        <v>6</v>
      </c>
      <c r="K2685" t="s">
        <v>34</v>
      </c>
      <c r="L2685">
        <v>8</v>
      </c>
      <c r="M2685">
        <v>91022</v>
      </c>
      <c r="N2685">
        <v>3</v>
      </c>
    </row>
    <row r="2686" spans="1:14" x14ac:dyDescent="0.2">
      <c r="A2686" s="3">
        <f t="shared" si="43"/>
        <v>5604381</v>
      </c>
      <c r="B2686" t="str">
        <f>"56043810001"</f>
        <v>56043810001</v>
      </c>
      <c r="C2686" t="s">
        <v>3101</v>
      </c>
      <c r="D2686" t="s">
        <v>337</v>
      </c>
      <c r="E2686">
        <v>90</v>
      </c>
      <c r="F2686">
        <v>8253</v>
      </c>
      <c r="G2686" t="s">
        <v>343</v>
      </c>
      <c r="H2686">
        <v>11</v>
      </c>
      <c r="I2686" t="s">
        <v>34</v>
      </c>
      <c r="J2686">
        <v>7</v>
      </c>
      <c r="K2686" t="s">
        <v>34</v>
      </c>
      <c r="L2686">
        <v>8</v>
      </c>
      <c r="M2686">
        <v>91014</v>
      </c>
      <c r="N2686">
        <v>3</v>
      </c>
    </row>
    <row r="2687" spans="1:14" x14ac:dyDescent="0.2">
      <c r="A2687" s="3">
        <f t="shared" si="43"/>
        <v>5604391</v>
      </c>
      <c r="B2687" t="str">
        <f>"56043910013"</f>
        <v>56043910013</v>
      </c>
      <c r="C2687" t="s">
        <v>3102</v>
      </c>
      <c r="D2687" t="s">
        <v>52</v>
      </c>
      <c r="E2687">
        <v>40</v>
      </c>
      <c r="F2687">
        <v>3709</v>
      </c>
      <c r="G2687" t="s">
        <v>249</v>
      </c>
      <c r="H2687">
        <v>40</v>
      </c>
      <c r="I2687" t="s">
        <v>34</v>
      </c>
      <c r="J2687">
        <v>30</v>
      </c>
      <c r="K2687" t="s">
        <v>34</v>
      </c>
      <c r="L2687">
        <v>6</v>
      </c>
      <c r="M2687">
        <v>1607</v>
      </c>
      <c r="N2687">
        <v>10</v>
      </c>
    </row>
    <row r="2688" spans="1:14" x14ac:dyDescent="0.2">
      <c r="A2688" s="3">
        <f t="shared" si="43"/>
        <v>5604413</v>
      </c>
      <c r="B2688" t="str">
        <f>"56044130004"</f>
        <v>56044130004</v>
      </c>
      <c r="C2688" t="s">
        <v>3103</v>
      </c>
      <c r="D2688" t="s">
        <v>23</v>
      </c>
      <c r="E2688">
        <v>63</v>
      </c>
      <c r="F2688">
        <v>102</v>
      </c>
      <c r="G2688" t="s">
        <v>894</v>
      </c>
      <c r="H2688">
        <v>10</v>
      </c>
      <c r="I2688" t="s">
        <v>25</v>
      </c>
      <c r="J2688">
        <v>7</v>
      </c>
      <c r="K2688" t="s">
        <v>25</v>
      </c>
      <c r="L2688">
        <v>8</v>
      </c>
      <c r="M2688">
        <v>62193</v>
      </c>
      <c r="N2688">
        <v>3</v>
      </c>
    </row>
    <row r="2689" spans="1:14" x14ac:dyDescent="0.2">
      <c r="A2689" s="3">
        <f t="shared" si="43"/>
        <v>5604421</v>
      </c>
      <c r="B2689" t="str">
        <f>"56044210072"</f>
        <v>56044210072</v>
      </c>
      <c r="C2689" t="s">
        <v>3104</v>
      </c>
      <c r="D2689" t="s">
        <v>52</v>
      </c>
      <c r="E2689">
        <v>60</v>
      </c>
      <c r="F2689">
        <v>5976</v>
      </c>
      <c r="G2689" t="s">
        <v>3105</v>
      </c>
      <c r="H2689" t="s">
        <v>44</v>
      </c>
      <c r="I2689" t="s">
        <v>45</v>
      </c>
      <c r="J2689" t="s">
        <v>44</v>
      </c>
      <c r="K2689" t="s">
        <v>45</v>
      </c>
      <c r="L2689">
        <v>6</v>
      </c>
      <c r="M2689">
        <v>51623</v>
      </c>
      <c r="N2689" t="s">
        <v>46</v>
      </c>
    </row>
    <row r="2690" spans="1:14" x14ac:dyDescent="0.2">
      <c r="A2690" s="3">
        <f t="shared" si="43"/>
        <v>5604422</v>
      </c>
      <c r="B2690" t="str">
        <f>"56044220001"</f>
        <v>56044220001</v>
      </c>
      <c r="C2690" t="s">
        <v>3106</v>
      </c>
      <c r="D2690" t="s">
        <v>337</v>
      </c>
      <c r="E2690">
        <v>91</v>
      </c>
      <c r="F2690">
        <v>8050</v>
      </c>
      <c r="G2690" t="s">
        <v>322</v>
      </c>
      <c r="H2690">
        <v>7</v>
      </c>
      <c r="I2690" t="s">
        <v>34</v>
      </c>
      <c r="J2690">
        <v>5</v>
      </c>
      <c r="K2690" t="s">
        <v>34</v>
      </c>
      <c r="L2690">
        <v>8</v>
      </c>
      <c r="M2690">
        <v>91051</v>
      </c>
      <c r="N2690">
        <v>2</v>
      </c>
    </row>
    <row r="2691" spans="1:14" x14ac:dyDescent="0.2">
      <c r="A2691" s="3">
        <f t="shared" si="43"/>
        <v>5604423</v>
      </c>
      <c r="B2691" t="str">
        <f>"56044230001"</f>
        <v>56044230001</v>
      </c>
      <c r="C2691" t="s">
        <v>3107</v>
      </c>
      <c r="D2691" t="s">
        <v>337</v>
      </c>
      <c r="E2691">
        <v>91</v>
      </c>
      <c r="F2691">
        <v>8050</v>
      </c>
      <c r="G2691" t="s">
        <v>322</v>
      </c>
      <c r="H2691">
        <v>7</v>
      </c>
      <c r="I2691" t="s">
        <v>34</v>
      </c>
      <c r="J2691">
        <v>5</v>
      </c>
      <c r="K2691" t="s">
        <v>34</v>
      </c>
      <c r="L2691">
        <v>8</v>
      </c>
      <c r="M2691">
        <v>91049</v>
      </c>
      <c r="N2691">
        <v>2</v>
      </c>
    </row>
    <row r="2692" spans="1:14" x14ac:dyDescent="0.2">
      <c r="A2692" s="3">
        <f t="shared" ref="A2692:A2755" si="44">(B2692-RIGHT(B2692,4))/10000</f>
        <v>5604425</v>
      </c>
      <c r="B2692" t="str">
        <f>"56044250012"</f>
        <v>56044250012</v>
      </c>
      <c r="C2692" t="s">
        <v>3108</v>
      </c>
      <c r="D2692" t="s">
        <v>101</v>
      </c>
      <c r="E2692">
        <v>40</v>
      </c>
      <c r="F2692">
        <v>8003</v>
      </c>
      <c r="G2692" t="s">
        <v>164</v>
      </c>
      <c r="H2692">
        <v>40</v>
      </c>
      <c r="I2692" t="s">
        <v>34</v>
      </c>
      <c r="J2692">
        <v>30</v>
      </c>
      <c r="K2692" t="s">
        <v>34</v>
      </c>
      <c r="L2692">
        <v>8</v>
      </c>
      <c r="M2692">
        <v>76047</v>
      </c>
      <c r="N2692">
        <v>10</v>
      </c>
    </row>
    <row r="2693" spans="1:14" x14ac:dyDescent="0.2">
      <c r="A2693" s="3">
        <f t="shared" si="44"/>
        <v>5604426</v>
      </c>
      <c r="B2693" t="str">
        <f>"56044260018"</f>
        <v>56044260018</v>
      </c>
      <c r="C2693" t="s">
        <v>3109</v>
      </c>
      <c r="D2693" t="s">
        <v>52</v>
      </c>
      <c r="E2693">
        <v>40</v>
      </c>
      <c r="F2693">
        <v>8003</v>
      </c>
      <c r="G2693" t="s">
        <v>164</v>
      </c>
      <c r="H2693">
        <v>50</v>
      </c>
      <c r="I2693" t="s">
        <v>34</v>
      </c>
      <c r="J2693">
        <v>37</v>
      </c>
      <c r="K2693" t="s">
        <v>34</v>
      </c>
      <c r="L2693">
        <v>6</v>
      </c>
      <c r="M2693">
        <v>3601</v>
      </c>
      <c r="N2693">
        <v>13</v>
      </c>
    </row>
    <row r="2694" spans="1:14" x14ac:dyDescent="0.2">
      <c r="A2694" s="3">
        <f t="shared" si="44"/>
        <v>5604427</v>
      </c>
      <c r="B2694" t="str">
        <f>"56044270004"</f>
        <v>56044270004</v>
      </c>
      <c r="C2694" t="s">
        <v>3110</v>
      </c>
      <c r="D2694" t="s">
        <v>52</v>
      </c>
      <c r="E2694">
        <v>62</v>
      </c>
      <c r="F2694">
        <v>1819</v>
      </c>
      <c r="G2694" t="s">
        <v>3111</v>
      </c>
      <c r="H2694" t="s">
        <v>44</v>
      </c>
      <c r="I2694" t="s">
        <v>45</v>
      </c>
      <c r="J2694" t="s">
        <v>44</v>
      </c>
      <c r="K2694" t="s">
        <v>45</v>
      </c>
      <c r="L2694">
        <v>6</v>
      </c>
      <c r="M2694">
        <v>52621</v>
      </c>
      <c r="N2694" t="s">
        <v>46</v>
      </c>
    </row>
    <row r="2695" spans="1:14" x14ac:dyDescent="0.2">
      <c r="A2695" s="3">
        <f t="shared" si="44"/>
        <v>5604429</v>
      </c>
      <c r="B2695" t="str">
        <f>"56044290020"</f>
        <v>56044290020</v>
      </c>
      <c r="C2695" t="s">
        <v>3112</v>
      </c>
      <c r="D2695" t="s">
        <v>67</v>
      </c>
      <c r="E2695">
        <v>32</v>
      </c>
      <c r="F2695">
        <v>3743</v>
      </c>
      <c r="G2695" t="s">
        <v>1574</v>
      </c>
      <c r="H2695">
        <v>50</v>
      </c>
      <c r="I2695" t="s">
        <v>34</v>
      </c>
      <c r="J2695">
        <v>37</v>
      </c>
      <c r="K2695" t="s">
        <v>34</v>
      </c>
      <c r="L2695">
        <v>8</v>
      </c>
      <c r="M2695">
        <v>81160</v>
      </c>
      <c r="N2695">
        <v>11</v>
      </c>
    </row>
    <row r="2696" spans="1:14" x14ac:dyDescent="0.2">
      <c r="A2696" s="3">
        <f t="shared" si="44"/>
        <v>5604430</v>
      </c>
      <c r="B2696" t="str">
        <f>"56044300001"</f>
        <v>56044300001</v>
      </c>
      <c r="C2696" t="s">
        <v>3113</v>
      </c>
      <c r="D2696" t="s">
        <v>337</v>
      </c>
      <c r="E2696">
        <v>91</v>
      </c>
      <c r="F2696">
        <v>8050</v>
      </c>
      <c r="G2696" t="s">
        <v>322</v>
      </c>
      <c r="H2696">
        <v>7</v>
      </c>
      <c r="I2696" t="s">
        <v>34</v>
      </c>
      <c r="J2696">
        <v>5</v>
      </c>
      <c r="K2696" t="s">
        <v>34</v>
      </c>
      <c r="L2696">
        <v>8</v>
      </c>
      <c r="M2696">
        <v>91050</v>
      </c>
      <c r="N2696">
        <v>2</v>
      </c>
    </row>
    <row r="2697" spans="1:14" x14ac:dyDescent="0.2">
      <c r="A2697" s="3">
        <f t="shared" si="44"/>
        <v>5604431</v>
      </c>
      <c r="B2697" t="str">
        <f>"56044310001"</f>
        <v>56044310001</v>
      </c>
      <c r="C2697" t="s">
        <v>3114</v>
      </c>
      <c r="D2697" t="s">
        <v>337</v>
      </c>
      <c r="E2697">
        <v>91</v>
      </c>
      <c r="F2697">
        <v>8050</v>
      </c>
      <c r="G2697" t="s">
        <v>322</v>
      </c>
      <c r="H2697">
        <v>7</v>
      </c>
      <c r="I2697" t="s">
        <v>34</v>
      </c>
      <c r="J2697">
        <v>5</v>
      </c>
      <c r="K2697" t="s">
        <v>34</v>
      </c>
      <c r="L2697">
        <v>8</v>
      </c>
      <c r="M2697">
        <v>91053</v>
      </c>
      <c r="N2697">
        <v>2</v>
      </c>
    </row>
    <row r="2698" spans="1:14" x14ac:dyDescent="0.2">
      <c r="A2698" s="3">
        <f t="shared" si="44"/>
        <v>5604441</v>
      </c>
      <c r="B2698" t="str">
        <f>"56044410010"</f>
        <v>56044410010</v>
      </c>
      <c r="C2698" t="s">
        <v>3115</v>
      </c>
      <c r="D2698" t="s">
        <v>36</v>
      </c>
      <c r="E2698">
        <v>71</v>
      </c>
      <c r="F2698">
        <v>2209</v>
      </c>
      <c r="G2698" t="s">
        <v>3116</v>
      </c>
      <c r="H2698">
        <v>16</v>
      </c>
      <c r="I2698" t="s">
        <v>25</v>
      </c>
      <c r="J2698">
        <v>13</v>
      </c>
      <c r="K2698" t="s">
        <v>25</v>
      </c>
      <c r="L2698">
        <v>8</v>
      </c>
      <c r="M2698">
        <v>72038</v>
      </c>
      <c r="N2698">
        <v>3</v>
      </c>
    </row>
    <row r="2699" spans="1:14" x14ac:dyDescent="0.2">
      <c r="A2699" s="3">
        <f t="shared" si="44"/>
        <v>5604443</v>
      </c>
      <c r="B2699" t="str">
        <f>"56044430012"</f>
        <v>56044430012</v>
      </c>
      <c r="C2699" t="s">
        <v>3117</v>
      </c>
      <c r="D2699" t="s">
        <v>52</v>
      </c>
      <c r="E2699">
        <v>62</v>
      </c>
      <c r="F2699">
        <v>1818</v>
      </c>
      <c r="G2699" t="s">
        <v>3118</v>
      </c>
      <c r="H2699">
        <v>10</v>
      </c>
      <c r="I2699" t="s">
        <v>25</v>
      </c>
      <c r="J2699">
        <v>7</v>
      </c>
      <c r="K2699" t="s">
        <v>25</v>
      </c>
      <c r="L2699">
        <v>6</v>
      </c>
      <c r="M2699">
        <v>52618</v>
      </c>
      <c r="N2699">
        <v>3</v>
      </c>
    </row>
    <row r="2700" spans="1:14" x14ac:dyDescent="0.2">
      <c r="A2700" s="3">
        <f t="shared" si="44"/>
        <v>5604444</v>
      </c>
      <c r="B2700" t="str">
        <f>"56044440012"</f>
        <v>56044440012</v>
      </c>
      <c r="C2700" t="s">
        <v>3119</v>
      </c>
      <c r="D2700" t="s">
        <v>52</v>
      </c>
      <c r="E2700">
        <v>62</v>
      </c>
      <c r="F2700">
        <v>1818</v>
      </c>
      <c r="G2700" t="s">
        <v>3118</v>
      </c>
      <c r="H2700">
        <v>8</v>
      </c>
      <c r="I2700" t="s">
        <v>25</v>
      </c>
      <c r="J2700">
        <v>6</v>
      </c>
      <c r="K2700" t="s">
        <v>25</v>
      </c>
      <c r="L2700">
        <v>6</v>
      </c>
      <c r="M2700">
        <v>52619</v>
      </c>
      <c r="N2700">
        <v>2</v>
      </c>
    </row>
    <row r="2701" spans="1:14" x14ac:dyDescent="0.2">
      <c r="A2701" s="3">
        <f t="shared" si="44"/>
        <v>5604445</v>
      </c>
      <c r="B2701" t="str">
        <f>"56044450012"</f>
        <v>56044450012</v>
      </c>
      <c r="C2701" t="s">
        <v>3120</v>
      </c>
      <c r="D2701" t="s">
        <v>52</v>
      </c>
      <c r="E2701">
        <v>62</v>
      </c>
      <c r="F2701">
        <v>1818</v>
      </c>
      <c r="G2701" t="s">
        <v>3118</v>
      </c>
      <c r="H2701">
        <v>10</v>
      </c>
      <c r="I2701" t="s">
        <v>25</v>
      </c>
      <c r="J2701">
        <v>7</v>
      </c>
      <c r="K2701" t="s">
        <v>25</v>
      </c>
      <c r="L2701">
        <v>6</v>
      </c>
      <c r="M2701">
        <v>52620</v>
      </c>
      <c r="N2701">
        <v>3</v>
      </c>
    </row>
    <row r="2702" spans="1:14" x14ac:dyDescent="0.2">
      <c r="A2702" s="3">
        <f t="shared" si="44"/>
        <v>5604457</v>
      </c>
      <c r="B2702" t="str">
        <f>"56044570008"</f>
        <v>56044570008</v>
      </c>
      <c r="C2702" t="s">
        <v>3121</v>
      </c>
      <c r="D2702" t="s">
        <v>42</v>
      </c>
      <c r="E2702">
        <v>44</v>
      </c>
      <c r="F2702">
        <v>344</v>
      </c>
      <c r="G2702" t="s">
        <v>425</v>
      </c>
      <c r="H2702" t="s">
        <v>44</v>
      </c>
      <c r="I2702" t="s">
        <v>45</v>
      </c>
      <c r="J2702" t="s">
        <v>44</v>
      </c>
      <c r="K2702" t="s">
        <v>45</v>
      </c>
      <c r="L2702">
        <v>8</v>
      </c>
      <c r="M2702">
        <v>65215</v>
      </c>
      <c r="N2702" t="s">
        <v>46</v>
      </c>
    </row>
    <row r="2703" spans="1:14" x14ac:dyDescent="0.2">
      <c r="A2703" s="3">
        <f t="shared" si="44"/>
        <v>5604482</v>
      </c>
      <c r="B2703" t="str">
        <f>"56044820006"</f>
        <v>56044820006</v>
      </c>
      <c r="C2703" t="s">
        <v>3122</v>
      </c>
      <c r="D2703" t="s">
        <v>386</v>
      </c>
      <c r="E2703">
        <v>60</v>
      </c>
      <c r="F2703">
        <v>5968</v>
      </c>
      <c r="G2703" t="s">
        <v>927</v>
      </c>
      <c r="H2703" t="s">
        <v>44</v>
      </c>
      <c r="I2703" t="s">
        <v>45</v>
      </c>
      <c r="J2703" t="s">
        <v>44</v>
      </c>
      <c r="K2703" t="s">
        <v>45</v>
      </c>
      <c r="L2703">
        <v>8</v>
      </c>
      <c r="M2703">
        <v>62122</v>
      </c>
      <c r="N2703" t="s">
        <v>46</v>
      </c>
    </row>
    <row r="2704" spans="1:14" x14ac:dyDescent="0.2">
      <c r="A2704" s="3">
        <f t="shared" si="44"/>
        <v>5604483</v>
      </c>
      <c r="B2704" t="str">
        <f>"56044830012"</f>
        <v>56044830012</v>
      </c>
      <c r="C2704" t="s">
        <v>3123</v>
      </c>
      <c r="D2704" t="s">
        <v>101</v>
      </c>
      <c r="E2704">
        <v>30</v>
      </c>
      <c r="F2704">
        <v>460</v>
      </c>
      <c r="G2704" t="s">
        <v>3124</v>
      </c>
      <c r="H2704">
        <v>40</v>
      </c>
      <c r="I2704" t="s">
        <v>34</v>
      </c>
      <c r="J2704">
        <v>30</v>
      </c>
      <c r="K2704" t="s">
        <v>34</v>
      </c>
      <c r="L2704">
        <v>8</v>
      </c>
      <c r="M2704">
        <v>83036</v>
      </c>
      <c r="N2704">
        <v>10</v>
      </c>
    </row>
    <row r="2705" spans="1:14" x14ac:dyDescent="0.2">
      <c r="A2705" s="3">
        <f t="shared" si="44"/>
        <v>5604489</v>
      </c>
      <c r="B2705" t="str">
        <f>"56044890007"</f>
        <v>56044890007</v>
      </c>
      <c r="C2705" t="s">
        <v>3125</v>
      </c>
      <c r="D2705" t="s">
        <v>48</v>
      </c>
      <c r="E2705">
        <v>72</v>
      </c>
      <c r="F2705">
        <v>737</v>
      </c>
      <c r="G2705" t="s">
        <v>560</v>
      </c>
      <c r="H2705">
        <v>11</v>
      </c>
      <c r="I2705" t="s">
        <v>34</v>
      </c>
      <c r="J2705">
        <v>7</v>
      </c>
      <c r="K2705" t="s">
        <v>34</v>
      </c>
      <c r="L2705">
        <v>8</v>
      </c>
      <c r="M2705">
        <v>76230</v>
      </c>
      <c r="N2705">
        <v>4</v>
      </c>
    </row>
    <row r="2706" spans="1:14" x14ac:dyDescent="0.2">
      <c r="A2706" s="3">
        <f t="shared" si="44"/>
        <v>5604491</v>
      </c>
      <c r="B2706" t="str">
        <f>"56044910006"</f>
        <v>56044910006</v>
      </c>
      <c r="C2706" t="s">
        <v>3126</v>
      </c>
      <c r="D2706" t="s">
        <v>52</v>
      </c>
      <c r="E2706">
        <v>63</v>
      </c>
      <c r="F2706">
        <v>1829</v>
      </c>
      <c r="G2706" t="s">
        <v>3127</v>
      </c>
      <c r="H2706">
        <v>12</v>
      </c>
      <c r="I2706" t="s">
        <v>25</v>
      </c>
      <c r="J2706">
        <v>9</v>
      </c>
      <c r="K2706" t="s">
        <v>25</v>
      </c>
      <c r="L2706">
        <v>6</v>
      </c>
      <c r="M2706">
        <v>52611</v>
      </c>
      <c r="N2706">
        <v>3</v>
      </c>
    </row>
    <row r="2707" spans="1:14" x14ac:dyDescent="0.2">
      <c r="A2707" s="3">
        <f t="shared" si="44"/>
        <v>5604507</v>
      </c>
      <c r="B2707" t="str">
        <f>"56045070012"</f>
        <v>56045070012</v>
      </c>
      <c r="C2707" t="s">
        <v>3128</v>
      </c>
      <c r="D2707" t="s">
        <v>36</v>
      </c>
      <c r="E2707">
        <v>70</v>
      </c>
      <c r="F2707">
        <v>3222</v>
      </c>
      <c r="G2707" t="s">
        <v>555</v>
      </c>
      <c r="H2707">
        <v>6</v>
      </c>
      <c r="I2707" t="s">
        <v>25</v>
      </c>
      <c r="J2707">
        <v>4</v>
      </c>
      <c r="K2707" t="s">
        <v>25</v>
      </c>
      <c r="L2707">
        <v>8</v>
      </c>
      <c r="M2707">
        <v>74128</v>
      </c>
      <c r="N2707">
        <v>2</v>
      </c>
    </row>
    <row r="2708" spans="1:14" x14ac:dyDescent="0.2">
      <c r="A2708" s="3">
        <f t="shared" si="44"/>
        <v>5604508</v>
      </c>
      <c r="B2708" t="str">
        <f>"56045080021"</f>
        <v>56045080021</v>
      </c>
      <c r="C2708" t="s">
        <v>3129</v>
      </c>
      <c r="D2708" t="s">
        <v>36</v>
      </c>
      <c r="E2708">
        <v>70</v>
      </c>
      <c r="F2708">
        <v>3222</v>
      </c>
      <c r="G2708" t="s">
        <v>555</v>
      </c>
      <c r="H2708">
        <v>8</v>
      </c>
      <c r="I2708" t="s">
        <v>25</v>
      </c>
      <c r="J2708">
        <v>6</v>
      </c>
      <c r="K2708" t="s">
        <v>25</v>
      </c>
      <c r="L2708">
        <v>8</v>
      </c>
      <c r="M2708">
        <v>74039</v>
      </c>
      <c r="N2708">
        <v>2</v>
      </c>
    </row>
    <row r="2709" spans="1:14" x14ac:dyDescent="0.2">
      <c r="A2709" s="3">
        <f t="shared" si="44"/>
        <v>5604515</v>
      </c>
      <c r="B2709" t="str">
        <f>"56045150008"</f>
        <v>56045150008</v>
      </c>
      <c r="C2709" t="s">
        <v>3130</v>
      </c>
      <c r="D2709" t="s">
        <v>52</v>
      </c>
      <c r="E2709">
        <v>30</v>
      </c>
      <c r="F2709">
        <v>2499</v>
      </c>
      <c r="G2709" t="s">
        <v>1325</v>
      </c>
      <c r="H2709">
        <v>21</v>
      </c>
      <c r="I2709" t="s">
        <v>34</v>
      </c>
      <c r="J2709">
        <v>15</v>
      </c>
      <c r="K2709" t="s">
        <v>34</v>
      </c>
      <c r="L2709">
        <v>6</v>
      </c>
      <c r="M2709">
        <v>3518</v>
      </c>
      <c r="N2709">
        <v>6</v>
      </c>
    </row>
    <row r="2710" spans="1:14" x14ac:dyDescent="0.2">
      <c r="A2710" s="3">
        <f t="shared" si="44"/>
        <v>5604552</v>
      </c>
      <c r="B2710" t="str">
        <f>"56045520010"</f>
        <v>56045520010</v>
      </c>
      <c r="C2710" t="s">
        <v>3131</v>
      </c>
      <c r="D2710" t="s">
        <v>52</v>
      </c>
      <c r="E2710">
        <v>33</v>
      </c>
      <c r="F2710">
        <v>544</v>
      </c>
      <c r="G2710" t="s">
        <v>118</v>
      </c>
      <c r="H2710">
        <v>21</v>
      </c>
      <c r="I2710" t="s">
        <v>34</v>
      </c>
      <c r="J2710">
        <v>15</v>
      </c>
      <c r="K2710" t="s">
        <v>34</v>
      </c>
      <c r="L2710">
        <v>6</v>
      </c>
      <c r="M2710">
        <v>3508</v>
      </c>
      <c r="N2710">
        <v>6</v>
      </c>
    </row>
    <row r="2711" spans="1:14" x14ac:dyDescent="0.2">
      <c r="A2711" s="3">
        <f t="shared" si="44"/>
        <v>5604553</v>
      </c>
      <c r="B2711" t="str">
        <f>"56045530010"</f>
        <v>56045530010</v>
      </c>
      <c r="C2711" t="s">
        <v>3132</v>
      </c>
      <c r="D2711" t="s">
        <v>52</v>
      </c>
      <c r="E2711">
        <v>33</v>
      </c>
      <c r="F2711">
        <v>544</v>
      </c>
      <c r="G2711" t="s">
        <v>118</v>
      </c>
      <c r="H2711">
        <v>21</v>
      </c>
      <c r="I2711" t="s">
        <v>34</v>
      </c>
      <c r="J2711">
        <v>15</v>
      </c>
      <c r="K2711" t="s">
        <v>34</v>
      </c>
      <c r="L2711">
        <v>6</v>
      </c>
      <c r="M2711">
        <v>3509</v>
      </c>
      <c r="N2711">
        <v>6</v>
      </c>
    </row>
    <row r="2712" spans="1:14" x14ac:dyDescent="0.2">
      <c r="A2712" s="3">
        <f t="shared" si="44"/>
        <v>5604554</v>
      </c>
      <c r="B2712" t="str">
        <f>"56045540006"</f>
        <v>56045540006</v>
      </c>
      <c r="C2712" t="s">
        <v>3133</v>
      </c>
      <c r="D2712" t="s">
        <v>70</v>
      </c>
      <c r="E2712">
        <v>33</v>
      </c>
      <c r="F2712">
        <v>544</v>
      </c>
      <c r="G2712" t="s">
        <v>118</v>
      </c>
      <c r="H2712">
        <v>21</v>
      </c>
      <c r="I2712" t="s">
        <v>34</v>
      </c>
      <c r="J2712">
        <v>15</v>
      </c>
      <c r="K2712" t="s">
        <v>34</v>
      </c>
      <c r="L2712">
        <v>6</v>
      </c>
      <c r="M2712">
        <v>3510</v>
      </c>
      <c r="N2712">
        <v>6</v>
      </c>
    </row>
    <row r="2713" spans="1:14" x14ac:dyDescent="0.2">
      <c r="A2713" s="3">
        <f t="shared" si="44"/>
        <v>5604564</v>
      </c>
      <c r="B2713" t="str">
        <f>"56045640016"</f>
        <v>56045640016</v>
      </c>
      <c r="C2713" t="s">
        <v>3134</v>
      </c>
      <c r="D2713" t="s">
        <v>52</v>
      </c>
      <c r="E2713">
        <v>30</v>
      </c>
      <c r="F2713">
        <v>4806</v>
      </c>
      <c r="G2713" t="s">
        <v>160</v>
      </c>
      <c r="H2713">
        <v>17</v>
      </c>
      <c r="I2713" t="s">
        <v>34</v>
      </c>
      <c r="J2713">
        <v>11</v>
      </c>
      <c r="K2713" t="s">
        <v>34</v>
      </c>
      <c r="L2713">
        <v>6</v>
      </c>
      <c r="M2713">
        <v>52505</v>
      </c>
      <c r="N2713">
        <v>6</v>
      </c>
    </row>
    <row r="2714" spans="1:14" x14ac:dyDescent="0.2">
      <c r="A2714" s="3">
        <f t="shared" si="44"/>
        <v>5604565</v>
      </c>
      <c r="B2714" t="str">
        <f>"56045650020"</f>
        <v>56045650020</v>
      </c>
      <c r="C2714" t="s">
        <v>3135</v>
      </c>
      <c r="D2714" t="s">
        <v>52</v>
      </c>
      <c r="E2714">
        <v>44</v>
      </c>
      <c r="F2714">
        <v>1852</v>
      </c>
      <c r="G2714" t="s">
        <v>1242</v>
      </c>
      <c r="H2714">
        <v>20</v>
      </c>
      <c r="I2714" t="s">
        <v>25</v>
      </c>
      <c r="J2714">
        <v>16</v>
      </c>
      <c r="K2714" t="s">
        <v>25</v>
      </c>
      <c r="L2714">
        <v>6</v>
      </c>
      <c r="M2714">
        <v>3618</v>
      </c>
      <c r="N2714">
        <v>4</v>
      </c>
    </row>
    <row r="2715" spans="1:14" x14ac:dyDescent="0.2">
      <c r="A2715" s="3">
        <f t="shared" si="44"/>
        <v>5604570</v>
      </c>
      <c r="B2715" t="str">
        <f>"56045700012"</f>
        <v>56045700012</v>
      </c>
      <c r="C2715" t="s">
        <v>3136</v>
      </c>
      <c r="D2715" t="s">
        <v>67</v>
      </c>
      <c r="E2715">
        <v>32</v>
      </c>
      <c r="F2715">
        <v>920</v>
      </c>
      <c r="G2715" t="s">
        <v>105</v>
      </c>
      <c r="H2715">
        <v>29</v>
      </c>
      <c r="I2715" t="s">
        <v>34</v>
      </c>
      <c r="J2715">
        <v>20</v>
      </c>
      <c r="K2715" t="s">
        <v>34</v>
      </c>
      <c r="L2715">
        <v>8</v>
      </c>
      <c r="M2715">
        <v>84128</v>
      </c>
      <c r="N2715">
        <v>9</v>
      </c>
    </row>
    <row r="2716" spans="1:14" x14ac:dyDescent="0.2">
      <c r="A2716" s="3">
        <f t="shared" si="44"/>
        <v>5604577</v>
      </c>
      <c r="B2716" t="str">
        <f>"56045770006"</f>
        <v>56045770006</v>
      </c>
      <c r="C2716" t="s">
        <v>3137</v>
      </c>
      <c r="D2716" t="s">
        <v>52</v>
      </c>
      <c r="E2716">
        <v>61</v>
      </c>
      <c r="F2716">
        <v>320</v>
      </c>
      <c r="G2716" t="s">
        <v>813</v>
      </c>
      <c r="H2716" t="s">
        <v>44</v>
      </c>
      <c r="I2716" t="s">
        <v>45</v>
      </c>
      <c r="J2716" t="s">
        <v>44</v>
      </c>
      <c r="K2716" t="s">
        <v>45</v>
      </c>
      <c r="L2716">
        <v>6</v>
      </c>
      <c r="M2716">
        <v>3603</v>
      </c>
      <c r="N2716" t="s">
        <v>46</v>
      </c>
    </row>
    <row r="2717" spans="1:14" x14ac:dyDescent="0.2">
      <c r="A2717" s="3">
        <f t="shared" si="44"/>
        <v>5604597</v>
      </c>
      <c r="B2717" t="str">
        <f>"56045970010"</f>
        <v>56045970010</v>
      </c>
      <c r="C2717" t="s">
        <v>3138</v>
      </c>
      <c r="D2717" t="s">
        <v>48</v>
      </c>
      <c r="E2717">
        <v>72</v>
      </c>
      <c r="F2717">
        <v>737</v>
      </c>
      <c r="G2717" t="s">
        <v>560</v>
      </c>
      <c r="H2717">
        <v>11</v>
      </c>
      <c r="I2717" t="s">
        <v>34</v>
      </c>
      <c r="J2717">
        <v>7</v>
      </c>
      <c r="K2717" t="s">
        <v>34</v>
      </c>
      <c r="L2717">
        <v>8</v>
      </c>
      <c r="M2717">
        <v>76199</v>
      </c>
      <c r="N2717">
        <v>4</v>
      </c>
    </row>
    <row r="2718" spans="1:14" x14ac:dyDescent="0.2">
      <c r="A2718" s="3">
        <f t="shared" si="44"/>
        <v>5604602</v>
      </c>
      <c r="B2718" t="str">
        <f>"56046020015"</f>
        <v>56046020015</v>
      </c>
      <c r="C2718" t="s">
        <v>3139</v>
      </c>
      <c r="D2718" t="s">
        <v>52</v>
      </c>
      <c r="E2718">
        <v>70</v>
      </c>
      <c r="F2718">
        <v>213</v>
      </c>
      <c r="G2718" t="s">
        <v>1258</v>
      </c>
      <c r="H2718">
        <v>8</v>
      </c>
      <c r="I2718" t="s">
        <v>25</v>
      </c>
      <c r="J2718">
        <v>6</v>
      </c>
      <c r="K2718" t="s">
        <v>25</v>
      </c>
      <c r="L2718">
        <v>6</v>
      </c>
      <c r="M2718">
        <v>2641</v>
      </c>
      <c r="N2718">
        <v>2</v>
      </c>
    </row>
    <row r="2719" spans="1:14" x14ac:dyDescent="0.2">
      <c r="A2719" s="3">
        <f t="shared" si="44"/>
        <v>5604603</v>
      </c>
      <c r="B2719" t="str">
        <f>"56046030009"</f>
        <v>56046030009</v>
      </c>
      <c r="C2719" t="s">
        <v>3140</v>
      </c>
      <c r="D2719" t="s">
        <v>36</v>
      </c>
      <c r="E2719">
        <v>70</v>
      </c>
      <c r="F2719">
        <v>213</v>
      </c>
      <c r="G2719" t="s">
        <v>1258</v>
      </c>
      <c r="H2719">
        <v>160</v>
      </c>
      <c r="I2719" t="s">
        <v>34</v>
      </c>
      <c r="J2719">
        <v>125</v>
      </c>
      <c r="K2719" t="s">
        <v>34</v>
      </c>
      <c r="L2719">
        <v>8</v>
      </c>
      <c r="M2719">
        <v>72199</v>
      </c>
      <c r="N2719">
        <v>35</v>
      </c>
    </row>
    <row r="2720" spans="1:14" x14ac:dyDescent="0.2">
      <c r="A2720" s="3">
        <f t="shared" si="44"/>
        <v>5604607</v>
      </c>
      <c r="B2720" t="str">
        <f>"56046070012"</f>
        <v>56046070012</v>
      </c>
      <c r="C2720" t="s">
        <v>3141</v>
      </c>
      <c r="D2720" t="s">
        <v>42</v>
      </c>
      <c r="E2720">
        <v>44</v>
      </c>
      <c r="F2720">
        <v>344</v>
      </c>
      <c r="G2720" t="s">
        <v>425</v>
      </c>
      <c r="H2720">
        <v>7</v>
      </c>
      <c r="I2720" t="s">
        <v>25</v>
      </c>
      <c r="J2720">
        <v>5</v>
      </c>
      <c r="K2720" t="s">
        <v>25</v>
      </c>
      <c r="L2720">
        <v>8</v>
      </c>
      <c r="M2720">
        <v>65252</v>
      </c>
      <c r="N2720">
        <v>2</v>
      </c>
    </row>
    <row r="2721" spans="1:14" x14ac:dyDescent="0.2">
      <c r="A2721" s="3">
        <f t="shared" si="44"/>
        <v>5604610</v>
      </c>
      <c r="B2721" t="str">
        <f>"56046100006"</f>
        <v>56046100006</v>
      </c>
      <c r="C2721" t="s">
        <v>3142</v>
      </c>
      <c r="D2721" t="s">
        <v>36</v>
      </c>
      <c r="E2721">
        <v>51</v>
      </c>
      <c r="F2721">
        <v>1856</v>
      </c>
      <c r="G2721" t="s">
        <v>3143</v>
      </c>
      <c r="H2721">
        <v>8</v>
      </c>
      <c r="I2721" t="s">
        <v>25</v>
      </c>
      <c r="J2721">
        <v>6</v>
      </c>
      <c r="K2721" t="s">
        <v>25</v>
      </c>
      <c r="L2721">
        <v>8</v>
      </c>
      <c r="M2721">
        <v>72168</v>
      </c>
      <c r="N2721">
        <v>2</v>
      </c>
    </row>
    <row r="2722" spans="1:14" x14ac:dyDescent="0.2">
      <c r="A2722" s="3">
        <f t="shared" si="44"/>
        <v>5604626</v>
      </c>
      <c r="B2722" t="str">
        <f>"56046260006"</f>
        <v>56046260006</v>
      </c>
      <c r="C2722" t="s">
        <v>3144</v>
      </c>
      <c r="D2722" t="s">
        <v>36</v>
      </c>
      <c r="E2722">
        <v>46</v>
      </c>
      <c r="F2722">
        <v>1839</v>
      </c>
      <c r="G2722" t="s">
        <v>3145</v>
      </c>
      <c r="H2722">
        <v>12</v>
      </c>
      <c r="I2722" t="s">
        <v>25</v>
      </c>
      <c r="J2722">
        <v>9</v>
      </c>
      <c r="K2722" t="s">
        <v>25</v>
      </c>
      <c r="L2722">
        <v>8</v>
      </c>
      <c r="M2722">
        <v>72210</v>
      </c>
      <c r="N2722">
        <v>3</v>
      </c>
    </row>
    <row r="2723" spans="1:14" x14ac:dyDescent="0.2">
      <c r="A2723" s="3">
        <f t="shared" si="44"/>
        <v>5604627</v>
      </c>
      <c r="B2723" t="str">
        <f>"56046270006"</f>
        <v>56046270006</v>
      </c>
      <c r="C2723" t="s">
        <v>3146</v>
      </c>
      <c r="D2723" t="s">
        <v>386</v>
      </c>
      <c r="E2723">
        <v>60</v>
      </c>
      <c r="F2723">
        <v>2230</v>
      </c>
      <c r="G2723" t="s">
        <v>1523</v>
      </c>
      <c r="H2723" t="s">
        <v>44</v>
      </c>
      <c r="I2723" t="s">
        <v>45</v>
      </c>
      <c r="J2723" t="s">
        <v>44</v>
      </c>
      <c r="K2723" t="s">
        <v>45</v>
      </c>
      <c r="L2723">
        <v>8</v>
      </c>
      <c r="M2723">
        <v>61175</v>
      </c>
      <c r="N2723" t="s">
        <v>46</v>
      </c>
    </row>
    <row r="2724" spans="1:14" x14ac:dyDescent="0.2">
      <c r="A2724" s="3">
        <f t="shared" si="44"/>
        <v>5604628</v>
      </c>
      <c r="B2724" t="str">
        <f>"56046280006"</f>
        <v>56046280006</v>
      </c>
      <c r="C2724" t="s">
        <v>3147</v>
      </c>
      <c r="D2724" t="s">
        <v>386</v>
      </c>
      <c r="E2724">
        <v>60</v>
      </c>
      <c r="F2724">
        <v>858</v>
      </c>
      <c r="G2724" t="s">
        <v>727</v>
      </c>
      <c r="H2724" t="s">
        <v>44</v>
      </c>
      <c r="I2724" t="s">
        <v>45</v>
      </c>
      <c r="J2724" t="s">
        <v>44</v>
      </c>
      <c r="K2724" t="s">
        <v>45</v>
      </c>
      <c r="L2724">
        <v>8</v>
      </c>
      <c r="M2724">
        <v>61061</v>
      </c>
      <c r="N2724" t="s">
        <v>46</v>
      </c>
    </row>
    <row r="2725" spans="1:14" x14ac:dyDescent="0.2">
      <c r="A2725" s="3">
        <f t="shared" si="44"/>
        <v>5604630</v>
      </c>
      <c r="B2725" t="str">
        <f>"56046300001"</f>
        <v>56046300001</v>
      </c>
      <c r="C2725" t="s">
        <v>3148</v>
      </c>
      <c r="D2725" t="s">
        <v>52</v>
      </c>
      <c r="E2725">
        <v>60</v>
      </c>
      <c r="F2725">
        <v>5962</v>
      </c>
      <c r="G2725" t="s">
        <v>945</v>
      </c>
      <c r="H2725" t="s">
        <v>44</v>
      </c>
      <c r="I2725" t="s">
        <v>45</v>
      </c>
      <c r="J2725" t="s">
        <v>44</v>
      </c>
      <c r="K2725" t="s">
        <v>45</v>
      </c>
      <c r="L2725">
        <v>5</v>
      </c>
      <c r="M2725" t="s">
        <v>65</v>
      </c>
      <c r="N2725" t="s">
        <v>46</v>
      </c>
    </row>
    <row r="2726" spans="1:14" x14ac:dyDescent="0.2">
      <c r="A2726" s="3">
        <f t="shared" si="44"/>
        <v>5604630</v>
      </c>
      <c r="B2726" t="str">
        <f>"56046300004"</f>
        <v>56046300004</v>
      </c>
      <c r="C2726" t="s">
        <v>3148</v>
      </c>
      <c r="D2726" t="s">
        <v>386</v>
      </c>
      <c r="E2726">
        <v>60</v>
      </c>
      <c r="F2726">
        <v>5962</v>
      </c>
      <c r="G2726" t="s">
        <v>945</v>
      </c>
      <c r="H2726" t="s">
        <v>44</v>
      </c>
      <c r="I2726" t="s">
        <v>45</v>
      </c>
      <c r="J2726" t="s">
        <v>44</v>
      </c>
      <c r="K2726" t="s">
        <v>45</v>
      </c>
      <c r="L2726">
        <v>8</v>
      </c>
      <c r="M2726">
        <v>62069</v>
      </c>
      <c r="N2726" t="s">
        <v>46</v>
      </c>
    </row>
    <row r="2727" spans="1:14" x14ac:dyDescent="0.2">
      <c r="A2727" s="3">
        <f t="shared" si="44"/>
        <v>5604635</v>
      </c>
      <c r="B2727" t="str">
        <f>"56046350012"</f>
        <v>56046350012</v>
      </c>
      <c r="C2727" t="s">
        <v>3149</v>
      </c>
      <c r="D2727" t="s">
        <v>70</v>
      </c>
      <c r="E2727">
        <v>33</v>
      </c>
      <c r="F2727">
        <v>544</v>
      </c>
      <c r="G2727" t="s">
        <v>118</v>
      </c>
      <c r="H2727">
        <v>21</v>
      </c>
      <c r="I2727" t="s">
        <v>34</v>
      </c>
      <c r="J2727">
        <v>15</v>
      </c>
      <c r="K2727" t="s">
        <v>34</v>
      </c>
      <c r="L2727">
        <v>8</v>
      </c>
      <c r="M2727">
        <v>84028</v>
      </c>
      <c r="N2727">
        <v>6</v>
      </c>
    </row>
    <row r="2728" spans="1:14" x14ac:dyDescent="0.2">
      <c r="A2728" s="3">
        <f t="shared" si="44"/>
        <v>5604643</v>
      </c>
      <c r="B2728" t="str">
        <f>"56046430001"</f>
        <v>56046430001</v>
      </c>
      <c r="C2728" t="s">
        <v>3150</v>
      </c>
      <c r="D2728" t="s">
        <v>337</v>
      </c>
      <c r="E2728">
        <v>92</v>
      </c>
      <c r="F2728">
        <v>2114</v>
      </c>
      <c r="G2728" t="s">
        <v>2986</v>
      </c>
      <c r="H2728">
        <v>12</v>
      </c>
      <c r="I2728" t="s">
        <v>34</v>
      </c>
      <c r="J2728">
        <v>8</v>
      </c>
      <c r="K2728" t="s">
        <v>34</v>
      </c>
      <c r="L2728">
        <v>8</v>
      </c>
      <c r="M2728">
        <v>91095</v>
      </c>
      <c r="N2728">
        <v>4</v>
      </c>
    </row>
    <row r="2729" spans="1:14" x14ac:dyDescent="0.2">
      <c r="A2729" s="3">
        <f t="shared" si="44"/>
        <v>5604646</v>
      </c>
      <c r="B2729" t="str">
        <f>"56046460070"</f>
        <v>56046460070</v>
      </c>
      <c r="C2729" t="s">
        <v>3151</v>
      </c>
      <c r="D2729" t="s">
        <v>42</v>
      </c>
      <c r="E2729">
        <v>71</v>
      </c>
      <c r="F2729">
        <v>330</v>
      </c>
      <c r="G2729" t="s">
        <v>629</v>
      </c>
      <c r="H2729">
        <v>12</v>
      </c>
      <c r="I2729" t="s">
        <v>25</v>
      </c>
      <c r="J2729">
        <v>9</v>
      </c>
      <c r="K2729" t="s">
        <v>25</v>
      </c>
      <c r="L2729">
        <v>8</v>
      </c>
      <c r="M2729">
        <v>76054</v>
      </c>
      <c r="N2729">
        <v>3</v>
      </c>
    </row>
    <row r="2730" spans="1:14" x14ac:dyDescent="0.2">
      <c r="A2730" s="3">
        <f t="shared" si="44"/>
        <v>5604901</v>
      </c>
      <c r="B2730" t="str">
        <f>"56049010006"</f>
        <v>56049010006</v>
      </c>
      <c r="C2730" t="s">
        <v>3152</v>
      </c>
      <c r="D2730" t="s">
        <v>386</v>
      </c>
      <c r="E2730">
        <v>60</v>
      </c>
      <c r="F2730">
        <v>1688</v>
      </c>
      <c r="G2730" t="s">
        <v>939</v>
      </c>
      <c r="H2730" t="s">
        <v>44</v>
      </c>
      <c r="I2730" t="s">
        <v>45</v>
      </c>
      <c r="J2730" t="s">
        <v>44</v>
      </c>
      <c r="K2730" t="s">
        <v>45</v>
      </c>
      <c r="L2730">
        <v>8</v>
      </c>
      <c r="M2730">
        <v>61237</v>
      </c>
      <c r="N2730" t="s">
        <v>46</v>
      </c>
    </row>
    <row r="2731" spans="1:14" x14ac:dyDescent="0.2">
      <c r="A2731" s="3">
        <f t="shared" si="44"/>
        <v>5605054</v>
      </c>
      <c r="B2731" t="str">
        <f>"56050540008"</f>
        <v>56050540008</v>
      </c>
      <c r="C2731" t="s">
        <v>3153</v>
      </c>
      <c r="D2731" t="s">
        <v>48</v>
      </c>
      <c r="E2731">
        <v>33</v>
      </c>
      <c r="F2731">
        <v>3428</v>
      </c>
      <c r="G2731" t="s">
        <v>206</v>
      </c>
      <c r="H2731">
        <v>24</v>
      </c>
      <c r="I2731" t="s">
        <v>34</v>
      </c>
      <c r="J2731">
        <v>18</v>
      </c>
      <c r="K2731" t="s">
        <v>34</v>
      </c>
      <c r="L2731">
        <v>8</v>
      </c>
      <c r="M2731">
        <v>84087</v>
      </c>
      <c r="N2731">
        <v>6</v>
      </c>
    </row>
    <row r="2732" spans="1:14" x14ac:dyDescent="0.2">
      <c r="A2732" s="3">
        <f t="shared" si="44"/>
        <v>5605074</v>
      </c>
      <c r="B2732" t="str">
        <f>"56050740006"</f>
        <v>56050740006</v>
      </c>
      <c r="C2732" t="s">
        <v>3154</v>
      </c>
      <c r="D2732" t="s">
        <v>172</v>
      </c>
      <c r="E2732">
        <v>33</v>
      </c>
      <c r="F2732">
        <v>1426</v>
      </c>
      <c r="G2732" t="s">
        <v>3155</v>
      </c>
      <c r="H2732">
        <v>17</v>
      </c>
      <c r="I2732" t="s">
        <v>34</v>
      </c>
      <c r="J2732">
        <v>11</v>
      </c>
      <c r="K2732" t="s">
        <v>34</v>
      </c>
      <c r="L2732">
        <v>8</v>
      </c>
      <c r="M2732">
        <v>85039</v>
      </c>
      <c r="N2732">
        <v>6</v>
      </c>
    </row>
    <row r="2733" spans="1:14" x14ac:dyDescent="0.2">
      <c r="A2733" s="3">
        <f t="shared" si="44"/>
        <v>5605107</v>
      </c>
      <c r="B2733" t="str">
        <f>"56051070001"</f>
        <v>56051070001</v>
      </c>
      <c r="C2733" t="s">
        <v>3156</v>
      </c>
      <c r="D2733" t="s">
        <v>52</v>
      </c>
      <c r="E2733">
        <v>60</v>
      </c>
      <c r="F2733">
        <v>5962</v>
      </c>
      <c r="G2733" t="s">
        <v>945</v>
      </c>
      <c r="H2733" t="s">
        <v>44</v>
      </c>
      <c r="I2733" t="s">
        <v>45</v>
      </c>
      <c r="J2733" t="s">
        <v>44</v>
      </c>
      <c r="K2733" t="s">
        <v>45</v>
      </c>
      <c r="L2733">
        <v>6</v>
      </c>
      <c r="M2733">
        <v>1612</v>
      </c>
      <c r="N2733" t="s">
        <v>46</v>
      </c>
    </row>
    <row r="2734" spans="1:14" x14ac:dyDescent="0.2">
      <c r="A2734" s="3">
        <f t="shared" si="44"/>
        <v>5605109</v>
      </c>
      <c r="B2734" t="str">
        <f>"56051090012"</f>
        <v>56051090012</v>
      </c>
      <c r="C2734" t="s">
        <v>3157</v>
      </c>
      <c r="D2734" t="s">
        <v>77</v>
      </c>
      <c r="E2734">
        <v>32</v>
      </c>
      <c r="F2734">
        <v>1009</v>
      </c>
      <c r="G2734" t="s">
        <v>840</v>
      </c>
      <c r="H2734">
        <v>45</v>
      </c>
      <c r="I2734" t="s">
        <v>34</v>
      </c>
      <c r="J2734">
        <v>34</v>
      </c>
      <c r="K2734" t="s">
        <v>34</v>
      </c>
      <c r="L2734">
        <v>8</v>
      </c>
      <c r="M2734">
        <v>84122</v>
      </c>
      <c r="N2734">
        <v>11</v>
      </c>
    </row>
    <row r="2735" spans="1:14" x14ac:dyDescent="0.2">
      <c r="A2735" s="3">
        <f t="shared" si="44"/>
        <v>5605110</v>
      </c>
      <c r="B2735" t="str">
        <f>"56051100012"</f>
        <v>56051100012</v>
      </c>
      <c r="C2735" t="s">
        <v>3158</v>
      </c>
      <c r="D2735" t="s">
        <v>77</v>
      </c>
      <c r="E2735">
        <v>32</v>
      </c>
      <c r="F2735">
        <v>1009</v>
      </c>
      <c r="G2735" t="s">
        <v>840</v>
      </c>
      <c r="H2735">
        <v>45</v>
      </c>
      <c r="I2735" t="s">
        <v>34</v>
      </c>
      <c r="J2735">
        <v>34</v>
      </c>
      <c r="K2735" t="s">
        <v>34</v>
      </c>
      <c r="L2735">
        <v>8</v>
      </c>
      <c r="M2735">
        <v>84153</v>
      </c>
      <c r="N2735">
        <v>11</v>
      </c>
    </row>
    <row r="2736" spans="1:14" x14ac:dyDescent="0.2">
      <c r="A2736" s="3">
        <f t="shared" si="44"/>
        <v>5605122</v>
      </c>
      <c r="B2736" t="str">
        <f>"56051220004"</f>
        <v>56051220004</v>
      </c>
      <c r="C2736" t="s">
        <v>3159</v>
      </c>
      <c r="D2736" t="s">
        <v>52</v>
      </c>
      <c r="E2736">
        <v>46</v>
      </c>
      <c r="F2736">
        <v>1839</v>
      </c>
      <c r="G2736" t="s">
        <v>3145</v>
      </c>
      <c r="H2736">
        <v>12</v>
      </c>
      <c r="I2736" t="s">
        <v>25</v>
      </c>
      <c r="J2736">
        <v>9</v>
      </c>
      <c r="K2736" t="s">
        <v>25</v>
      </c>
      <c r="L2736">
        <v>6</v>
      </c>
      <c r="M2736">
        <v>51601</v>
      </c>
      <c r="N2736">
        <v>3</v>
      </c>
    </row>
    <row r="2737" spans="1:14" x14ac:dyDescent="0.2">
      <c r="A2737" s="3">
        <f t="shared" si="44"/>
        <v>5605129</v>
      </c>
      <c r="B2737" t="str">
        <f>"56051290006"</f>
        <v>56051290006</v>
      </c>
      <c r="C2737" t="s">
        <v>3160</v>
      </c>
      <c r="D2737" t="s">
        <v>172</v>
      </c>
      <c r="E2737">
        <v>33</v>
      </c>
      <c r="F2737">
        <v>1426</v>
      </c>
      <c r="G2737" t="s">
        <v>3155</v>
      </c>
      <c r="H2737">
        <v>17</v>
      </c>
      <c r="I2737" t="s">
        <v>34</v>
      </c>
      <c r="J2737">
        <v>11</v>
      </c>
      <c r="K2737" t="s">
        <v>34</v>
      </c>
      <c r="L2737">
        <v>9</v>
      </c>
      <c r="M2737">
        <v>85034</v>
      </c>
      <c r="N2737">
        <v>6</v>
      </c>
    </row>
    <row r="2738" spans="1:14" x14ac:dyDescent="0.2">
      <c r="A2738" s="3">
        <f t="shared" si="44"/>
        <v>5605130</v>
      </c>
      <c r="B2738" t="str">
        <f>"56051300012"</f>
        <v>56051300012</v>
      </c>
      <c r="C2738" t="s">
        <v>3161</v>
      </c>
      <c r="D2738" t="s">
        <v>52</v>
      </c>
      <c r="E2738">
        <v>71</v>
      </c>
      <c r="F2738">
        <v>244</v>
      </c>
      <c r="G2738" t="s">
        <v>3162</v>
      </c>
      <c r="H2738">
        <v>60</v>
      </c>
      <c r="I2738" t="s">
        <v>34</v>
      </c>
      <c r="J2738">
        <v>44</v>
      </c>
      <c r="K2738" t="s">
        <v>34</v>
      </c>
      <c r="L2738">
        <v>6</v>
      </c>
      <c r="M2738">
        <v>2609</v>
      </c>
      <c r="N2738">
        <v>16</v>
      </c>
    </row>
    <row r="2739" spans="1:14" x14ac:dyDescent="0.2">
      <c r="A2739" s="3">
        <f t="shared" si="44"/>
        <v>5605131</v>
      </c>
      <c r="B2739" t="str">
        <f>"56051310012"</f>
        <v>56051310012</v>
      </c>
      <c r="C2739" t="s">
        <v>3163</v>
      </c>
      <c r="D2739" t="s">
        <v>52</v>
      </c>
      <c r="E2739">
        <v>71</v>
      </c>
      <c r="F2739">
        <v>244</v>
      </c>
      <c r="G2739" t="s">
        <v>3162</v>
      </c>
      <c r="H2739">
        <v>60</v>
      </c>
      <c r="I2739" t="s">
        <v>34</v>
      </c>
      <c r="J2739">
        <v>44</v>
      </c>
      <c r="K2739" t="s">
        <v>34</v>
      </c>
      <c r="L2739">
        <v>6</v>
      </c>
      <c r="M2739">
        <v>2610</v>
      </c>
      <c r="N2739">
        <v>16</v>
      </c>
    </row>
    <row r="2740" spans="1:14" x14ac:dyDescent="0.2">
      <c r="A2740" s="3">
        <f t="shared" si="44"/>
        <v>5605132</v>
      </c>
      <c r="B2740" t="str">
        <f>"56051320012"</f>
        <v>56051320012</v>
      </c>
      <c r="C2740" t="s">
        <v>3164</v>
      </c>
      <c r="D2740" t="s">
        <v>52</v>
      </c>
      <c r="E2740">
        <v>71</v>
      </c>
      <c r="F2740">
        <v>244</v>
      </c>
      <c r="G2740" t="s">
        <v>3162</v>
      </c>
      <c r="H2740">
        <v>60</v>
      </c>
      <c r="I2740" t="s">
        <v>34</v>
      </c>
      <c r="J2740">
        <v>44</v>
      </c>
      <c r="K2740" t="s">
        <v>34</v>
      </c>
      <c r="L2740">
        <v>6</v>
      </c>
      <c r="M2740">
        <v>2611</v>
      </c>
      <c r="N2740">
        <v>16</v>
      </c>
    </row>
    <row r="2741" spans="1:14" x14ac:dyDescent="0.2">
      <c r="A2741" s="3">
        <f t="shared" si="44"/>
        <v>5605133</v>
      </c>
      <c r="B2741" t="str">
        <f>"56051330012"</f>
        <v>56051330012</v>
      </c>
      <c r="C2741" t="s">
        <v>3165</v>
      </c>
      <c r="D2741" t="s">
        <v>52</v>
      </c>
      <c r="E2741">
        <v>71</v>
      </c>
      <c r="F2741">
        <v>244</v>
      </c>
      <c r="G2741" t="s">
        <v>3162</v>
      </c>
      <c r="H2741">
        <v>60</v>
      </c>
      <c r="I2741" t="s">
        <v>34</v>
      </c>
      <c r="J2741">
        <v>44</v>
      </c>
      <c r="K2741" t="s">
        <v>34</v>
      </c>
      <c r="L2741">
        <v>6</v>
      </c>
      <c r="M2741">
        <v>2612</v>
      </c>
      <c r="N2741">
        <v>16</v>
      </c>
    </row>
    <row r="2742" spans="1:14" x14ac:dyDescent="0.2">
      <c r="A2742" s="3">
        <f t="shared" si="44"/>
        <v>5605142</v>
      </c>
      <c r="B2742" t="str">
        <f>"56051420012"</f>
        <v>56051420012</v>
      </c>
      <c r="C2742" t="s">
        <v>3166</v>
      </c>
      <c r="D2742" t="s">
        <v>115</v>
      </c>
      <c r="E2742">
        <v>70</v>
      </c>
      <c r="F2742">
        <v>6920</v>
      </c>
      <c r="G2742" t="s">
        <v>3167</v>
      </c>
      <c r="H2742">
        <v>8</v>
      </c>
      <c r="I2742" t="s">
        <v>25</v>
      </c>
      <c r="J2742">
        <v>6</v>
      </c>
      <c r="K2742" t="s">
        <v>25</v>
      </c>
      <c r="L2742">
        <v>8</v>
      </c>
      <c r="M2742">
        <v>72228</v>
      </c>
      <c r="N2742">
        <v>2</v>
      </c>
    </row>
    <row r="2743" spans="1:14" x14ac:dyDescent="0.2">
      <c r="A2743" s="3">
        <f t="shared" si="44"/>
        <v>5605146</v>
      </c>
      <c r="B2743" t="str">
        <f>"56051460012"</f>
        <v>56051460012</v>
      </c>
      <c r="C2743" t="s">
        <v>3168</v>
      </c>
      <c r="D2743" t="s">
        <v>115</v>
      </c>
      <c r="E2743">
        <v>70</v>
      </c>
      <c r="F2743">
        <v>6920</v>
      </c>
      <c r="G2743" t="s">
        <v>3167</v>
      </c>
      <c r="H2743">
        <v>6</v>
      </c>
      <c r="I2743" t="s">
        <v>25</v>
      </c>
      <c r="J2743">
        <v>4</v>
      </c>
      <c r="K2743" t="s">
        <v>25</v>
      </c>
      <c r="L2743">
        <v>8</v>
      </c>
      <c r="M2743">
        <v>72091</v>
      </c>
      <c r="N2743">
        <v>2</v>
      </c>
    </row>
    <row r="2744" spans="1:14" x14ac:dyDescent="0.2">
      <c r="A2744" s="3">
        <f t="shared" si="44"/>
        <v>5605151</v>
      </c>
      <c r="B2744" t="str">
        <f>"56051510015"</f>
        <v>56051510015</v>
      </c>
      <c r="C2744" t="s">
        <v>3169</v>
      </c>
      <c r="D2744" t="s">
        <v>115</v>
      </c>
      <c r="E2744">
        <v>70</v>
      </c>
      <c r="F2744">
        <v>6920</v>
      </c>
      <c r="G2744" t="s">
        <v>3167</v>
      </c>
      <c r="H2744">
        <v>135</v>
      </c>
      <c r="I2744" t="s">
        <v>34</v>
      </c>
      <c r="J2744">
        <v>109</v>
      </c>
      <c r="K2744" t="s">
        <v>34</v>
      </c>
      <c r="L2744">
        <v>8</v>
      </c>
      <c r="M2744">
        <v>76025</v>
      </c>
      <c r="N2744">
        <v>26</v>
      </c>
    </row>
    <row r="2745" spans="1:14" x14ac:dyDescent="0.2">
      <c r="A2745" s="3">
        <f t="shared" si="44"/>
        <v>5605158</v>
      </c>
      <c r="B2745" t="str">
        <f>"56051580020"</f>
        <v>56051580020</v>
      </c>
      <c r="C2745" t="s">
        <v>3170</v>
      </c>
      <c r="D2745" t="s">
        <v>115</v>
      </c>
      <c r="E2745">
        <v>72</v>
      </c>
      <c r="F2745">
        <v>864</v>
      </c>
      <c r="G2745" t="s">
        <v>3171</v>
      </c>
      <c r="H2745">
        <v>120</v>
      </c>
      <c r="I2745" t="s">
        <v>34</v>
      </c>
      <c r="J2745">
        <v>88</v>
      </c>
      <c r="K2745" t="s">
        <v>34</v>
      </c>
      <c r="L2745">
        <v>8</v>
      </c>
      <c r="M2745">
        <v>74160</v>
      </c>
      <c r="N2745">
        <v>32</v>
      </c>
    </row>
    <row r="2746" spans="1:14" x14ac:dyDescent="0.2">
      <c r="A2746" s="3">
        <f t="shared" si="44"/>
        <v>5605168</v>
      </c>
      <c r="B2746" t="str">
        <f>"56051680016"</f>
        <v>56051680016</v>
      </c>
      <c r="C2746" t="s">
        <v>3172</v>
      </c>
      <c r="D2746" t="s">
        <v>101</v>
      </c>
      <c r="E2746">
        <v>40</v>
      </c>
      <c r="F2746">
        <v>8003</v>
      </c>
      <c r="G2746" t="s">
        <v>164</v>
      </c>
      <c r="H2746">
        <v>30</v>
      </c>
      <c r="I2746" t="s">
        <v>34</v>
      </c>
      <c r="J2746">
        <v>20</v>
      </c>
      <c r="K2746" t="s">
        <v>34</v>
      </c>
      <c r="L2746">
        <v>8</v>
      </c>
      <c r="M2746">
        <v>76058</v>
      </c>
      <c r="N2746">
        <v>10</v>
      </c>
    </row>
    <row r="2747" spans="1:14" x14ac:dyDescent="0.2">
      <c r="A2747" s="3">
        <f t="shared" si="44"/>
        <v>5605170</v>
      </c>
      <c r="B2747" t="str">
        <f>"56051700006"</f>
        <v>56051700006</v>
      </c>
      <c r="C2747" t="s">
        <v>3173</v>
      </c>
      <c r="D2747" t="s">
        <v>23</v>
      </c>
      <c r="E2747">
        <v>41</v>
      </c>
      <c r="F2747">
        <v>851</v>
      </c>
      <c r="G2747" t="s">
        <v>210</v>
      </c>
      <c r="H2747">
        <v>60</v>
      </c>
      <c r="I2747" t="s">
        <v>34</v>
      </c>
      <c r="J2747">
        <v>44</v>
      </c>
      <c r="K2747" t="s">
        <v>34</v>
      </c>
      <c r="L2747">
        <v>8</v>
      </c>
      <c r="M2747">
        <v>69186</v>
      </c>
      <c r="N2747">
        <v>16</v>
      </c>
    </row>
    <row r="2748" spans="1:14" x14ac:dyDescent="0.2">
      <c r="A2748" s="3">
        <f t="shared" si="44"/>
        <v>5605180</v>
      </c>
      <c r="B2748" t="str">
        <f>"56051800008"</f>
        <v>56051800008</v>
      </c>
      <c r="C2748" t="s">
        <v>3174</v>
      </c>
      <c r="D2748" t="s">
        <v>36</v>
      </c>
      <c r="E2748">
        <v>51</v>
      </c>
      <c r="F2748">
        <v>2176</v>
      </c>
      <c r="G2748" t="s">
        <v>3175</v>
      </c>
      <c r="H2748">
        <v>9</v>
      </c>
      <c r="I2748" t="s">
        <v>25</v>
      </c>
      <c r="J2748">
        <v>7</v>
      </c>
      <c r="K2748" t="s">
        <v>25</v>
      </c>
      <c r="L2748">
        <v>9</v>
      </c>
      <c r="M2748">
        <v>65105</v>
      </c>
      <c r="N2748">
        <v>2</v>
      </c>
    </row>
    <row r="2749" spans="1:14" x14ac:dyDescent="0.2">
      <c r="A2749" s="3">
        <f t="shared" si="44"/>
        <v>5605193</v>
      </c>
      <c r="B2749" t="str">
        <f>"56051930015"</f>
        <v>56051930015</v>
      </c>
      <c r="C2749" t="s">
        <v>3176</v>
      </c>
      <c r="D2749" t="s">
        <v>52</v>
      </c>
      <c r="E2749">
        <v>32</v>
      </c>
      <c r="F2749">
        <v>109</v>
      </c>
      <c r="G2749" t="s">
        <v>113</v>
      </c>
      <c r="H2749">
        <v>40</v>
      </c>
      <c r="I2749" t="s">
        <v>34</v>
      </c>
      <c r="J2749">
        <v>30</v>
      </c>
      <c r="K2749" t="s">
        <v>34</v>
      </c>
      <c r="L2749">
        <v>6</v>
      </c>
      <c r="M2749">
        <v>3526</v>
      </c>
      <c r="N2749">
        <v>10</v>
      </c>
    </row>
    <row r="2750" spans="1:14" x14ac:dyDescent="0.2">
      <c r="A2750" s="3">
        <f t="shared" si="44"/>
        <v>5605206</v>
      </c>
      <c r="B2750" t="str">
        <f>"56052060008"</f>
        <v>56052060008</v>
      </c>
      <c r="C2750" t="s">
        <v>3177</v>
      </c>
      <c r="D2750" t="s">
        <v>52</v>
      </c>
      <c r="E2750">
        <v>20</v>
      </c>
      <c r="F2750">
        <v>8086</v>
      </c>
      <c r="G2750" t="s">
        <v>290</v>
      </c>
      <c r="H2750">
        <v>12</v>
      </c>
      <c r="I2750" t="s">
        <v>25</v>
      </c>
      <c r="J2750">
        <v>9</v>
      </c>
      <c r="K2750" t="s">
        <v>25</v>
      </c>
      <c r="L2750">
        <v>6</v>
      </c>
      <c r="M2750">
        <v>99568</v>
      </c>
      <c r="N2750">
        <v>3</v>
      </c>
    </row>
    <row r="2751" spans="1:14" x14ac:dyDescent="0.2">
      <c r="A2751" s="3">
        <f t="shared" si="44"/>
        <v>5605206</v>
      </c>
      <c r="B2751" t="str">
        <f>"56052060008"</f>
        <v>56052060008</v>
      </c>
      <c r="C2751" t="s">
        <v>3177</v>
      </c>
      <c r="D2751" t="s">
        <v>52</v>
      </c>
      <c r="E2751">
        <v>20</v>
      </c>
      <c r="F2751">
        <v>2211</v>
      </c>
      <c r="G2751" t="s">
        <v>3178</v>
      </c>
      <c r="H2751">
        <v>12</v>
      </c>
      <c r="I2751" t="s">
        <v>25</v>
      </c>
      <c r="J2751">
        <v>9</v>
      </c>
      <c r="K2751" t="s">
        <v>25</v>
      </c>
      <c r="L2751">
        <v>6</v>
      </c>
      <c r="M2751">
        <v>99568</v>
      </c>
      <c r="N2751">
        <v>3</v>
      </c>
    </row>
    <row r="2752" spans="1:14" x14ac:dyDescent="0.2">
      <c r="A2752" s="3">
        <f t="shared" si="44"/>
        <v>5605209</v>
      </c>
      <c r="B2752" t="str">
        <f>"56052090016"</f>
        <v>56052090016</v>
      </c>
      <c r="C2752" t="s">
        <v>3179</v>
      </c>
      <c r="D2752" t="s">
        <v>101</v>
      </c>
      <c r="E2752">
        <v>32</v>
      </c>
      <c r="F2752">
        <v>109</v>
      </c>
      <c r="G2752" t="s">
        <v>113</v>
      </c>
      <c r="H2752">
        <v>26</v>
      </c>
      <c r="I2752" t="s">
        <v>34</v>
      </c>
      <c r="J2752">
        <v>19</v>
      </c>
      <c r="K2752" t="s">
        <v>34</v>
      </c>
      <c r="L2752">
        <v>8</v>
      </c>
      <c r="M2752">
        <v>82102</v>
      </c>
      <c r="N2752">
        <v>7</v>
      </c>
    </row>
    <row r="2753" spans="1:14" x14ac:dyDescent="0.2">
      <c r="A2753" s="3">
        <f t="shared" si="44"/>
        <v>5605212</v>
      </c>
      <c r="B2753" t="str">
        <f>"56052120004"</f>
        <v>56052120004</v>
      </c>
      <c r="C2753" t="s">
        <v>3180</v>
      </c>
      <c r="D2753" t="s">
        <v>172</v>
      </c>
      <c r="E2753">
        <v>33</v>
      </c>
      <c r="F2753">
        <v>6968</v>
      </c>
      <c r="G2753" t="s">
        <v>410</v>
      </c>
      <c r="H2753">
        <v>15</v>
      </c>
      <c r="I2753" t="s">
        <v>34</v>
      </c>
      <c r="J2753">
        <v>10</v>
      </c>
      <c r="K2753" t="s">
        <v>34</v>
      </c>
      <c r="L2753">
        <v>8</v>
      </c>
      <c r="M2753">
        <v>84146</v>
      </c>
      <c r="N2753">
        <v>5</v>
      </c>
    </row>
    <row r="2754" spans="1:14" x14ac:dyDescent="0.2">
      <c r="A2754" s="3">
        <f t="shared" si="44"/>
        <v>5605218</v>
      </c>
      <c r="B2754" t="str">
        <f>"56052180006"</f>
        <v>56052180006</v>
      </c>
      <c r="C2754" t="s">
        <v>3181</v>
      </c>
      <c r="D2754" t="s">
        <v>67</v>
      </c>
      <c r="E2754">
        <v>36</v>
      </c>
      <c r="F2754">
        <v>4937</v>
      </c>
      <c r="G2754" t="s">
        <v>68</v>
      </c>
      <c r="H2754">
        <v>18</v>
      </c>
      <c r="I2754" t="s">
        <v>34</v>
      </c>
      <c r="J2754">
        <v>13</v>
      </c>
      <c r="K2754" t="s">
        <v>34</v>
      </c>
      <c r="L2754">
        <v>8</v>
      </c>
      <c r="M2754">
        <v>84157</v>
      </c>
      <c r="N2754">
        <v>5</v>
      </c>
    </row>
    <row r="2755" spans="1:14" x14ac:dyDescent="0.2">
      <c r="A2755" s="3">
        <f t="shared" si="44"/>
        <v>5605220</v>
      </c>
      <c r="B2755" t="str">
        <f>"56052200006"</f>
        <v>56052200006</v>
      </c>
      <c r="C2755" t="s">
        <v>3182</v>
      </c>
      <c r="D2755" t="s">
        <v>52</v>
      </c>
      <c r="E2755">
        <v>33</v>
      </c>
      <c r="F2755">
        <v>1985</v>
      </c>
      <c r="G2755" t="s">
        <v>287</v>
      </c>
      <c r="H2755">
        <v>19</v>
      </c>
      <c r="I2755" t="s">
        <v>34</v>
      </c>
      <c r="J2755">
        <v>14</v>
      </c>
      <c r="K2755" t="s">
        <v>34</v>
      </c>
      <c r="L2755">
        <v>6</v>
      </c>
      <c r="M2755">
        <v>1527</v>
      </c>
      <c r="N2755">
        <v>5</v>
      </c>
    </row>
    <row r="2756" spans="1:14" x14ac:dyDescent="0.2">
      <c r="A2756" s="3">
        <f t="shared" ref="A2756:A2819" si="45">(B2756-RIGHT(B2756,4))/10000</f>
        <v>5605231</v>
      </c>
      <c r="B2756" t="str">
        <f>"56052310008"</f>
        <v>56052310008</v>
      </c>
      <c r="C2756" t="s">
        <v>3183</v>
      </c>
      <c r="D2756" t="s">
        <v>52</v>
      </c>
      <c r="E2756">
        <v>35</v>
      </c>
      <c r="F2756">
        <v>5846</v>
      </c>
      <c r="G2756" t="s">
        <v>3003</v>
      </c>
      <c r="H2756">
        <v>45</v>
      </c>
      <c r="I2756" t="s">
        <v>34</v>
      </c>
      <c r="J2756">
        <v>34</v>
      </c>
      <c r="K2756" t="s">
        <v>34</v>
      </c>
      <c r="L2756">
        <v>6</v>
      </c>
      <c r="M2756">
        <v>3507</v>
      </c>
      <c r="N2756">
        <v>11</v>
      </c>
    </row>
    <row r="2757" spans="1:14" x14ac:dyDescent="0.2">
      <c r="A2757" s="3">
        <f t="shared" si="45"/>
        <v>5605237</v>
      </c>
      <c r="B2757" t="str">
        <f>"56052370006"</f>
        <v>56052370006</v>
      </c>
      <c r="C2757" t="s">
        <v>3184</v>
      </c>
      <c r="D2757" t="s">
        <v>52</v>
      </c>
      <c r="E2757">
        <v>33</v>
      </c>
      <c r="F2757">
        <v>2243</v>
      </c>
      <c r="G2757" t="s">
        <v>151</v>
      </c>
      <c r="H2757">
        <v>21</v>
      </c>
      <c r="I2757" t="s">
        <v>34</v>
      </c>
      <c r="J2757">
        <v>15</v>
      </c>
      <c r="K2757" t="s">
        <v>34</v>
      </c>
      <c r="L2757">
        <v>6</v>
      </c>
      <c r="M2757">
        <v>3539</v>
      </c>
      <c r="N2757">
        <v>6</v>
      </c>
    </row>
    <row r="2758" spans="1:14" x14ac:dyDescent="0.2">
      <c r="A2758" s="3">
        <f t="shared" si="45"/>
        <v>5605238</v>
      </c>
      <c r="B2758" t="str">
        <f>"56052380006"</f>
        <v>56052380006</v>
      </c>
      <c r="C2758" t="s">
        <v>3185</v>
      </c>
      <c r="D2758" t="s">
        <v>52</v>
      </c>
      <c r="E2758">
        <v>33</v>
      </c>
      <c r="F2758">
        <v>2243</v>
      </c>
      <c r="G2758" t="s">
        <v>151</v>
      </c>
      <c r="H2758">
        <v>21</v>
      </c>
      <c r="I2758" t="s">
        <v>34</v>
      </c>
      <c r="J2758">
        <v>15</v>
      </c>
      <c r="K2758" t="s">
        <v>34</v>
      </c>
      <c r="L2758">
        <v>6</v>
      </c>
      <c r="M2758">
        <v>1530</v>
      </c>
      <c r="N2758">
        <v>6</v>
      </c>
    </row>
    <row r="2759" spans="1:14" x14ac:dyDescent="0.2">
      <c r="A2759" s="3">
        <f t="shared" si="45"/>
        <v>5605259</v>
      </c>
      <c r="B2759" t="str">
        <f>"56052590010"</f>
        <v>56052590010</v>
      </c>
      <c r="C2759" t="s">
        <v>3186</v>
      </c>
      <c r="D2759" t="s">
        <v>52</v>
      </c>
      <c r="E2759">
        <v>33</v>
      </c>
      <c r="F2759">
        <v>544</v>
      </c>
      <c r="G2759" t="s">
        <v>118</v>
      </c>
      <c r="H2759">
        <v>21</v>
      </c>
      <c r="I2759" t="s">
        <v>34</v>
      </c>
      <c r="J2759">
        <v>15</v>
      </c>
      <c r="K2759" t="s">
        <v>34</v>
      </c>
      <c r="L2759">
        <v>6</v>
      </c>
      <c r="M2759">
        <v>1506</v>
      </c>
      <c r="N2759">
        <v>6</v>
      </c>
    </row>
    <row r="2760" spans="1:14" x14ac:dyDescent="0.2">
      <c r="A2760" s="3">
        <f t="shared" si="45"/>
        <v>5605260</v>
      </c>
      <c r="B2760" t="str">
        <f>"56052600010"</f>
        <v>56052600010</v>
      </c>
      <c r="C2760" t="s">
        <v>3187</v>
      </c>
      <c r="D2760" t="s">
        <v>52</v>
      </c>
      <c r="E2760">
        <v>33</v>
      </c>
      <c r="F2760">
        <v>544</v>
      </c>
      <c r="G2760" t="s">
        <v>118</v>
      </c>
      <c r="H2760">
        <v>21</v>
      </c>
      <c r="I2760" t="s">
        <v>34</v>
      </c>
      <c r="J2760">
        <v>15</v>
      </c>
      <c r="K2760" t="s">
        <v>34</v>
      </c>
      <c r="L2760">
        <v>6</v>
      </c>
      <c r="M2760">
        <v>1507</v>
      </c>
      <c r="N2760">
        <v>6</v>
      </c>
    </row>
    <row r="2761" spans="1:14" x14ac:dyDescent="0.2">
      <c r="A2761" s="3">
        <f t="shared" si="45"/>
        <v>5605282</v>
      </c>
      <c r="B2761" t="str">
        <f>"56052820032"</f>
        <v>56052820032</v>
      </c>
      <c r="C2761" t="s">
        <v>3188</v>
      </c>
      <c r="D2761" t="s">
        <v>289</v>
      </c>
      <c r="E2761">
        <v>73</v>
      </c>
      <c r="F2761">
        <v>8086</v>
      </c>
      <c r="G2761" t="s">
        <v>290</v>
      </c>
      <c r="H2761">
        <v>8</v>
      </c>
      <c r="I2761" t="s">
        <v>25</v>
      </c>
      <c r="J2761">
        <v>6</v>
      </c>
      <c r="K2761" t="s">
        <v>25</v>
      </c>
      <c r="L2761">
        <v>8</v>
      </c>
      <c r="M2761">
        <v>86077</v>
      </c>
      <c r="N2761">
        <v>1</v>
      </c>
    </row>
    <row r="2762" spans="1:14" x14ac:dyDescent="0.2">
      <c r="A2762" s="3">
        <f t="shared" si="45"/>
        <v>5605282</v>
      </c>
      <c r="B2762" t="str">
        <f>"56052820032"</f>
        <v>56052820032</v>
      </c>
      <c r="C2762" t="s">
        <v>3188</v>
      </c>
      <c r="D2762" t="s">
        <v>289</v>
      </c>
      <c r="E2762">
        <v>73</v>
      </c>
      <c r="F2762">
        <v>1930</v>
      </c>
      <c r="G2762" t="s">
        <v>673</v>
      </c>
      <c r="H2762">
        <v>8</v>
      </c>
      <c r="I2762" t="s">
        <v>25</v>
      </c>
      <c r="J2762">
        <v>6</v>
      </c>
      <c r="K2762" t="s">
        <v>25</v>
      </c>
      <c r="L2762">
        <v>8</v>
      </c>
      <c r="M2762">
        <v>86077</v>
      </c>
      <c r="N2762">
        <v>1</v>
      </c>
    </row>
    <row r="2763" spans="1:14" x14ac:dyDescent="0.2">
      <c r="A2763" s="3">
        <f t="shared" si="45"/>
        <v>5605283</v>
      </c>
      <c r="B2763" t="str">
        <f>"56052830032"</f>
        <v>56052830032</v>
      </c>
      <c r="C2763" t="s">
        <v>3189</v>
      </c>
      <c r="D2763" t="s">
        <v>289</v>
      </c>
      <c r="E2763">
        <v>73</v>
      </c>
      <c r="F2763">
        <v>8086</v>
      </c>
      <c r="G2763" t="s">
        <v>290</v>
      </c>
      <c r="H2763">
        <v>8</v>
      </c>
      <c r="I2763" t="s">
        <v>25</v>
      </c>
      <c r="J2763">
        <v>6</v>
      </c>
      <c r="K2763" t="s">
        <v>25</v>
      </c>
      <c r="L2763">
        <v>8</v>
      </c>
      <c r="M2763">
        <v>86074</v>
      </c>
      <c r="N2763">
        <v>1</v>
      </c>
    </row>
    <row r="2764" spans="1:14" x14ac:dyDescent="0.2">
      <c r="A2764" s="3">
        <f t="shared" si="45"/>
        <v>5605283</v>
      </c>
      <c r="B2764" t="str">
        <f>"56052830032"</f>
        <v>56052830032</v>
      </c>
      <c r="C2764" t="s">
        <v>3189</v>
      </c>
      <c r="D2764" t="s">
        <v>289</v>
      </c>
      <c r="E2764">
        <v>73</v>
      </c>
      <c r="F2764">
        <v>1930</v>
      </c>
      <c r="G2764" t="s">
        <v>673</v>
      </c>
      <c r="H2764">
        <v>8</v>
      </c>
      <c r="I2764" t="s">
        <v>25</v>
      </c>
      <c r="J2764">
        <v>6</v>
      </c>
      <c r="K2764" t="s">
        <v>25</v>
      </c>
      <c r="L2764">
        <v>8</v>
      </c>
      <c r="M2764">
        <v>86074</v>
      </c>
      <c r="N2764">
        <v>1</v>
      </c>
    </row>
    <row r="2765" spans="1:14" x14ac:dyDescent="0.2">
      <c r="A2765" s="3">
        <f t="shared" si="45"/>
        <v>5605284</v>
      </c>
      <c r="B2765" t="str">
        <f>"56052840006"</f>
        <v>56052840006</v>
      </c>
      <c r="C2765" t="s">
        <v>3190</v>
      </c>
      <c r="D2765" t="s">
        <v>289</v>
      </c>
      <c r="E2765">
        <v>73</v>
      </c>
      <c r="F2765">
        <v>8086</v>
      </c>
      <c r="G2765" t="s">
        <v>290</v>
      </c>
      <c r="H2765">
        <v>12</v>
      </c>
      <c r="I2765" t="s">
        <v>25</v>
      </c>
      <c r="J2765">
        <v>9</v>
      </c>
      <c r="K2765" t="s">
        <v>25</v>
      </c>
      <c r="L2765">
        <v>8</v>
      </c>
      <c r="M2765">
        <v>86071</v>
      </c>
      <c r="N2765">
        <v>1</v>
      </c>
    </row>
    <row r="2766" spans="1:14" x14ac:dyDescent="0.2">
      <c r="A2766" s="3">
        <f t="shared" si="45"/>
        <v>5605284</v>
      </c>
      <c r="B2766" t="str">
        <f>"56052840006"</f>
        <v>56052840006</v>
      </c>
      <c r="C2766" t="s">
        <v>3190</v>
      </c>
      <c r="D2766" t="s">
        <v>289</v>
      </c>
      <c r="E2766">
        <v>73</v>
      </c>
      <c r="F2766">
        <v>1930</v>
      </c>
      <c r="G2766" t="s">
        <v>673</v>
      </c>
      <c r="H2766">
        <v>12</v>
      </c>
      <c r="I2766" t="s">
        <v>25</v>
      </c>
      <c r="J2766">
        <v>9</v>
      </c>
      <c r="K2766" t="s">
        <v>25</v>
      </c>
      <c r="L2766">
        <v>8</v>
      </c>
      <c r="M2766">
        <v>86071</v>
      </c>
      <c r="N2766">
        <v>1</v>
      </c>
    </row>
    <row r="2767" spans="1:14" x14ac:dyDescent="0.2">
      <c r="A2767" s="3">
        <f t="shared" si="45"/>
        <v>5605285</v>
      </c>
      <c r="B2767" t="str">
        <f>"56052850012"</f>
        <v>56052850012</v>
      </c>
      <c r="C2767" t="s">
        <v>3191</v>
      </c>
      <c r="D2767" t="s">
        <v>289</v>
      </c>
      <c r="E2767">
        <v>73</v>
      </c>
      <c r="F2767">
        <v>8086</v>
      </c>
      <c r="G2767" t="s">
        <v>290</v>
      </c>
      <c r="H2767">
        <v>12</v>
      </c>
      <c r="I2767" t="s">
        <v>25</v>
      </c>
      <c r="J2767">
        <v>9</v>
      </c>
      <c r="K2767" t="s">
        <v>25</v>
      </c>
      <c r="L2767">
        <v>8</v>
      </c>
      <c r="M2767">
        <v>86076</v>
      </c>
      <c r="N2767">
        <v>1</v>
      </c>
    </row>
    <row r="2768" spans="1:14" x14ac:dyDescent="0.2">
      <c r="A2768" s="3">
        <f t="shared" si="45"/>
        <v>5605285</v>
      </c>
      <c r="B2768" t="str">
        <f>"56052850012"</f>
        <v>56052850012</v>
      </c>
      <c r="C2768" t="s">
        <v>3191</v>
      </c>
      <c r="D2768" t="s">
        <v>289</v>
      </c>
      <c r="E2768">
        <v>73</v>
      </c>
      <c r="F2768">
        <v>1930</v>
      </c>
      <c r="G2768" t="s">
        <v>673</v>
      </c>
      <c r="H2768">
        <v>12</v>
      </c>
      <c r="I2768" t="s">
        <v>25</v>
      </c>
      <c r="J2768">
        <v>9</v>
      </c>
      <c r="K2768" t="s">
        <v>25</v>
      </c>
      <c r="L2768">
        <v>8</v>
      </c>
      <c r="M2768">
        <v>86076</v>
      </c>
      <c r="N2768">
        <v>1</v>
      </c>
    </row>
    <row r="2769" spans="1:14" x14ac:dyDescent="0.2">
      <c r="A2769" s="3">
        <f t="shared" si="45"/>
        <v>5605286</v>
      </c>
      <c r="B2769" t="str">
        <f>"56052860009"</f>
        <v>56052860009</v>
      </c>
      <c r="C2769" t="s">
        <v>3192</v>
      </c>
      <c r="D2769" t="s">
        <v>289</v>
      </c>
      <c r="E2769">
        <v>73</v>
      </c>
      <c r="F2769">
        <v>8086</v>
      </c>
      <c r="G2769" t="s">
        <v>290</v>
      </c>
      <c r="H2769">
        <v>12</v>
      </c>
      <c r="I2769" t="s">
        <v>25</v>
      </c>
      <c r="J2769">
        <v>9</v>
      </c>
      <c r="K2769" t="s">
        <v>25</v>
      </c>
      <c r="L2769">
        <v>8</v>
      </c>
      <c r="M2769">
        <v>86075</v>
      </c>
      <c r="N2769">
        <v>1</v>
      </c>
    </row>
    <row r="2770" spans="1:14" x14ac:dyDescent="0.2">
      <c r="A2770" s="3">
        <f t="shared" si="45"/>
        <v>5605286</v>
      </c>
      <c r="B2770" t="str">
        <f>"56052860009"</f>
        <v>56052860009</v>
      </c>
      <c r="C2770" t="s">
        <v>3192</v>
      </c>
      <c r="D2770" t="s">
        <v>289</v>
      </c>
      <c r="E2770">
        <v>73</v>
      </c>
      <c r="F2770">
        <v>1986</v>
      </c>
      <c r="G2770" t="s">
        <v>3193</v>
      </c>
      <c r="H2770">
        <v>12</v>
      </c>
      <c r="I2770" t="s">
        <v>25</v>
      </c>
      <c r="J2770">
        <v>9</v>
      </c>
      <c r="K2770" t="s">
        <v>25</v>
      </c>
      <c r="L2770">
        <v>8</v>
      </c>
      <c r="M2770">
        <v>86075</v>
      </c>
      <c r="N2770">
        <v>1</v>
      </c>
    </row>
    <row r="2771" spans="1:14" x14ac:dyDescent="0.2">
      <c r="A2771" s="3">
        <f t="shared" si="45"/>
        <v>5605288</v>
      </c>
      <c r="B2771" t="str">
        <f>"56052880006"</f>
        <v>56052880006</v>
      </c>
      <c r="C2771" t="s">
        <v>3194</v>
      </c>
      <c r="D2771" t="s">
        <v>289</v>
      </c>
      <c r="E2771">
        <v>73</v>
      </c>
      <c r="F2771">
        <v>8086</v>
      </c>
      <c r="G2771" t="s">
        <v>290</v>
      </c>
      <c r="H2771">
        <v>8</v>
      </c>
      <c r="I2771" t="s">
        <v>25</v>
      </c>
      <c r="J2771">
        <v>6</v>
      </c>
      <c r="K2771" t="s">
        <v>25</v>
      </c>
      <c r="L2771">
        <v>8</v>
      </c>
      <c r="M2771">
        <v>86072</v>
      </c>
      <c r="N2771">
        <v>1</v>
      </c>
    </row>
    <row r="2772" spans="1:14" x14ac:dyDescent="0.2">
      <c r="A2772" s="3">
        <f t="shared" si="45"/>
        <v>5605288</v>
      </c>
      <c r="B2772" t="str">
        <f>"56052880006"</f>
        <v>56052880006</v>
      </c>
      <c r="C2772" t="s">
        <v>3194</v>
      </c>
      <c r="D2772" t="s">
        <v>289</v>
      </c>
      <c r="E2772">
        <v>73</v>
      </c>
      <c r="F2772">
        <v>1968</v>
      </c>
      <c r="G2772" t="s">
        <v>3195</v>
      </c>
      <c r="H2772">
        <v>8</v>
      </c>
      <c r="I2772" t="s">
        <v>25</v>
      </c>
      <c r="J2772">
        <v>6</v>
      </c>
      <c r="K2772" t="s">
        <v>25</v>
      </c>
      <c r="L2772">
        <v>8</v>
      </c>
      <c r="M2772">
        <v>86072</v>
      </c>
      <c r="N2772">
        <v>1</v>
      </c>
    </row>
    <row r="2773" spans="1:14" x14ac:dyDescent="0.2">
      <c r="A2773" s="3">
        <f t="shared" si="45"/>
        <v>5605292</v>
      </c>
      <c r="B2773" t="str">
        <f>"56052920006"</f>
        <v>56052920006</v>
      </c>
      <c r="C2773" t="s">
        <v>3196</v>
      </c>
      <c r="D2773" t="s">
        <v>289</v>
      </c>
      <c r="E2773">
        <v>73</v>
      </c>
      <c r="F2773">
        <v>8086</v>
      </c>
      <c r="G2773" t="s">
        <v>290</v>
      </c>
      <c r="H2773">
        <v>12</v>
      </c>
      <c r="I2773" t="s">
        <v>25</v>
      </c>
      <c r="J2773">
        <v>9</v>
      </c>
      <c r="K2773" t="s">
        <v>25</v>
      </c>
      <c r="L2773">
        <v>8</v>
      </c>
      <c r="M2773">
        <v>86082</v>
      </c>
      <c r="N2773">
        <v>1</v>
      </c>
    </row>
    <row r="2774" spans="1:14" x14ac:dyDescent="0.2">
      <c r="A2774" s="3">
        <f t="shared" si="45"/>
        <v>5605292</v>
      </c>
      <c r="B2774" t="str">
        <f>"56052920006"</f>
        <v>56052920006</v>
      </c>
      <c r="C2774" t="s">
        <v>3196</v>
      </c>
      <c r="D2774" t="s">
        <v>289</v>
      </c>
      <c r="E2774">
        <v>73</v>
      </c>
      <c r="F2774">
        <v>472</v>
      </c>
      <c r="G2774" t="s">
        <v>1125</v>
      </c>
      <c r="H2774">
        <v>12</v>
      </c>
      <c r="I2774" t="s">
        <v>25</v>
      </c>
      <c r="J2774">
        <v>9</v>
      </c>
      <c r="K2774" t="s">
        <v>25</v>
      </c>
      <c r="L2774">
        <v>8</v>
      </c>
      <c r="M2774">
        <v>86082</v>
      </c>
      <c r="N2774">
        <v>1</v>
      </c>
    </row>
    <row r="2775" spans="1:14" x14ac:dyDescent="0.2">
      <c r="A2775" s="3">
        <f t="shared" si="45"/>
        <v>5605293</v>
      </c>
      <c r="B2775" t="str">
        <f>"56052930004"</f>
        <v>56052930004</v>
      </c>
      <c r="C2775" t="s">
        <v>3197</v>
      </c>
      <c r="D2775" t="s">
        <v>172</v>
      </c>
      <c r="E2775">
        <v>33</v>
      </c>
      <c r="F2775">
        <v>6968</v>
      </c>
      <c r="G2775" t="s">
        <v>410</v>
      </c>
      <c r="H2775">
        <v>7</v>
      </c>
      <c r="I2775" t="s">
        <v>34</v>
      </c>
      <c r="J2775">
        <v>5</v>
      </c>
      <c r="K2775" t="s">
        <v>34</v>
      </c>
      <c r="L2775">
        <v>8</v>
      </c>
      <c r="M2775">
        <v>84237</v>
      </c>
      <c r="N2775">
        <v>2</v>
      </c>
    </row>
    <row r="2776" spans="1:14" x14ac:dyDescent="0.2">
      <c r="A2776" s="3">
        <f t="shared" si="45"/>
        <v>5605309</v>
      </c>
      <c r="B2776" t="str">
        <f>"56053090012"</f>
        <v>56053090012</v>
      </c>
      <c r="C2776" t="s">
        <v>3198</v>
      </c>
      <c r="D2776" t="s">
        <v>52</v>
      </c>
      <c r="E2776">
        <v>32</v>
      </c>
      <c r="F2776">
        <v>1763</v>
      </c>
      <c r="G2776" t="s">
        <v>3090</v>
      </c>
      <c r="H2776">
        <v>60</v>
      </c>
      <c r="I2776" t="s">
        <v>34</v>
      </c>
      <c r="J2776">
        <v>44</v>
      </c>
      <c r="K2776" t="s">
        <v>34</v>
      </c>
      <c r="L2776">
        <v>6</v>
      </c>
      <c r="M2776">
        <v>3513</v>
      </c>
      <c r="N2776">
        <v>16</v>
      </c>
    </row>
    <row r="2777" spans="1:14" x14ac:dyDescent="0.2">
      <c r="A2777" s="3">
        <f t="shared" si="45"/>
        <v>5605312</v>
      </c>
      <c r="B2777" t="str">
        <f>"56053120012"</f>
        <v>56053120012</v>
      </c>
      <c r="C2777" t="s">
        <v>3199</v>
      </c>
      <c r="D2777" t="s">
        <v>289</v>
      </c>
      <c r="E2777">
        <v>73</v>
      </c>
      <c r="F2777">
        <v>8086</v>
      </c>
      <c r="G2777" t="s">
        <v>290</v>
      </c>
      <c r="H2777">
        <v>12</v>
      </c>
      <c r="I2777" t="s">
        <v>25</v>
      </c>
      <c r="J2777">
        <v>9</v>
      </c>
      <c r="K2777" t="s">
        <v>25</v>
      </c>
      <c r="L2777">
        <v>8</v>
      </c>
      <c r="M2777">
        <v>86073</v>
      </c>
      <c r="N2777">
        <v>1</v>
      </c>
    </row>
    <row r="2778" spans="1:14" x14ac:dyDescent="0.2">
      <c r="A2778" s="3">
        <f t="shared" si="45"/>
        <v>5605312</v>
      </c>
      <c r="B2778" t="str">
        <f>"56053120012"</f>
        <v>56053120012</v>
      </c>
      <c r="C2778" t="s">
        <v>3199</v>
      </c>
      <c r="D2778" t="s">
        <v>289</v>
      </c>
      <c r="E2778">
        <v>73</v>
      </c>
      <c r="F2778">
        <v>2504</v>
      </c>
      <c r="G2778" t="s">
        <v>715</v>
      </c>
      <c r="H2778">
        <v>12</v>
      </c>
      <c r="I2778" t="s">
        <v>25</v>
      </c>
      <c r="J2778">
        <v>9</v>
      </c>
      <c r="K2778" t="s">
        <v>25</v>
      </c>
      <c r="L2778">
        <v>8</v>
      </c>
      <c r="M2778">
        <v>86073</v>
      </c>
      <c r="N2778">
        <v>1</v>
      </c>
    </row>
    <row r="2779" spans="1:14" x14ac:dyDescent="0.2">
      <c r="A2779" s="3">
        <f t="shared" si="45"/>
        <v>5605317</v>
      </c>
      <c r="B2779" t="str">
        <f>"56053170010"</f>
        <v>56053170010</v>
      </c>
      <c r="C2779" t="s">
        <v>3200</v>
      </c>
      <c r="D2779" t="s">
        <v>115</v>
      </c>
      <c r="E2779">
        <v>62</v>
      </c>
      <c r="F2779">
        <v>1948</v>
      </c>
      <c r="G2779" t="s">
        <v>3201</v>
      </c>
      <c r="H2779">
        <v>8</v>
      </c>
      <c r="I2779" t="s">
        <v>25</v>
      </c>
      <c r="J2779">
        <v>6</v>
      </c>
      <c r="K2779" t="s">
        <v>25</v>
      </c>
      <c r="L2779">
        <v>8</v>
      </c>
      <c r="M2779">
        <v>72157</v>
      </c>
      <c r="N2779">
        <v>2</v>
      </c>
    </row>
    <row r="2780" spans="1:14" x14ac:dyDescent="0.2">
      <c r="A2780" s="3">
        <f t="shared" si="45"/>
        <v>5605320</v>
      </c>
      <c r="B2780" t="str">
        <f>"56053200010"</f>
        <v>56053200010</v>
      </c>
      <c r="C2780" t="s">
        <v>3202</v>
      </c>
      <c r="D2780" t="s">
        <v>67</v>
      </c>
      <c r="E2780">
        <v>32</v>
      </c>
      <c r="F2780">
        <v>3743</v>
      </c>
      <c r="G2780" t="s">
        <v>1574</v>
      </c>
      <c r="H2780">
        <v>50</v>
      </c>
      <c r="I2780" t="s">
        <v>34</v>
      </c>
      <c r="J2780">
        <v>37</v>
      </c>
      <c r="K2780" t="s">
        <v>34</v>
      </c>
      <c r="L2780">
        <v>8</v>
      </c>
      <c r="M2780">
        <v>81157</v>
      </c>
      <c r="N2780">
        <v>13</v>
      </c>
    </row>
    <row r="2781" spans="1:14" x14ac:dyDescent="0.2">
      <c r="A2781" s="3">
        <f t="shared" si="45"/>
        <v>5605322</v>
      </c>
      <c r="B2781" t="str">
        <f>"56053220008"</f>
        <v>56053220008</v>
      </c>
      <c r="C2781" t="s">
        <v>3203</v>
      </c>
      <c r="D2781" t="s">
        <v>289</v>
      </c>
      <c r="E2781">
        <v>20</v>
      </c>
      <c r="F2781">
        <v>8086</v>
      </c>
      <c r="G2781" t="s">
        <v>290</v>
      </c>
      <c r="H2781">
        <v>12</v>
      </c>
      <c r="I2781" t="s">
        <v>25</v>
      </c>
      <c r="J2781">
        <v>9</v>
      </c>
      <c r="K2781" t="s">
        <v>25</v>
      </c>
      <c r="L2781">
        <v>8</v>
      </c>
      <c r="M2781">
        <v>89052</v>
      </c>
      <c r="N2781">
        <v>3</v>
      </c>
    </row>
    <row r="2782" spans="1:14" x14ac:dyDescent="0.2">
      <c r="A2782" s="3">
        <f t="shared" si="45"/>
        <v>5605322</v>
      </c>
      <c r="B2782" t="str">
        <f>"56053220008"</f>
        <v>56053220008</v>
      </c>
      <c r="C2782" t="s">
        <v>3203</v>
      </c>
      <c r="D2782" t="s">
        <v>289</v>
      </c>
      <c r="E2782">
        <v>20</v>
      </c>
      <c r="F2782">
        <v>4607</v>
      </c>
      <c r="G2782" t="s">
        <v>3204</v>
      </c>
      <c r="H2782">
        <v>12</v>
      </c>
      <c r="I2782" t="s">
        <v>25</v>
      </c>
      <c r="J2782">
        <v>9</v>
      </c>
      <c r="K2782" t="s">
        <v>25</v>
      </c>
      <c r="L2782">
        <v>8</v>
      </c>
      <c r="M2782">
        <v>89052</v>
      </c>
      <c r="N2782">
        <v>3</v>
      </c>
    </row>
    <row r="2783" spans="1:14" x14ac:dyDescent="0.2">
      <c r="A2783" s="3">
        <f t="shared" si="45"/>
        <v>5605324</v>
      </c>
      <c r="B2783" t="str">
        <f>"56053240008"</f>
        <v>56053240008</v>
      </c>
      <c r="C2783" t="s">
        <v>3205</v>
      </c>
      <c r="D2783" t="s">
        <v>1124</v>
      </c>
      <c r="E2783">
        <v>20</v>
      </c>
      <c r="F2783">
        <v>8086</v>
      </c>
      <c r="G2783" t="s">
        <v>290</v>
      </c>
      <c r="H2783">
        <v>12</v>
      </c>
      <c r="I2783" t="s">
        <v>25</v>
      </c>
      <c r="J2783">
        <v>9</v>
      </c>
      <c r="K2783" t="s">
        <v>25</v>
      </c>
      <c r="L2783">
        <v>6</v>
      </c>
      <c r="M2783">
        <v>99661</v>
      </c>
      <c r="N2783">
        <v>3</v>
      </c>
    </row>
    <row r="2784" spans="1:14" x14ac:dyDescent="0.2">
      <c r="A2784" s="3">
        <f t="shared" si="45"/>
        <v>5605324</v>
      </c>
      <c r="B2784" t="str">
        <f>"56053240008"</f>
        <v>56053240008</v>
      </c>
      <c r="C2784" t="s">
        <v>3205</v>
      </c>
      <c r="D2784" t="s">
        <v>1124</v>
      </c>
      <c r="E2784">
        <v>20</v>
      </c>
      <c r="F2784">
        <v>2841</v>
      </c>
      <c r="G2784" t="s">
        <v>713</v>
      </c>
      <c r="H2784">
        <v>12</v>
      </c>
      <c r="I2784" t="s">
        <v>25</v>
      </c>
      <c r="J2784">
        <v>9</v>
      </c>
      <c r="K2784" t="s">
        <v>25</v>
      </c>
      <c r="L2784">
        <v>6</v>
      </c>
      <c r="M2784">
        <v>99661</v>
      </c>
      <c r="N2784">
        <v>3</v>
      </c>
    </row>
    <row r="2785" spans="1:14" x14ac:dyDescent="0.2">
      <c r="A2785" s="3">
        <f t="shared" si="45"/>
        <v>5605325</v>
      </c>
      <c r="B2785" t="str">
        <f>"56053250008"</f>
        <v>56053250008</v>
      </c>
      <c r="C2785" t="s">
        <v>3206</v>
      </c>
      <c r="D2785" t="s">
        <v>289</v>
      </c>
      <c r="E2785">
        <v>20</v>
      </c>
      <c r="F2785">
        <v>8086</v>
      </c>
      <c r="G2785" t="s">
        <v>290</v>
      </c>
      <c r="H2785">
        <v>12</v>
      </c>
      <c r="I2785" t="s">
        <v>25</v>
      </c>
      <c r="J2785">
        <v>9</v>
      </c>
      <c r="K2785" t="s">
        <v>25</v>
      </c>
      <c r="L2785">
        <v>8</v>
      </c>
      <c r="M2785">
        <v>87046</v>
      </c>
      <c r="N2785">
        <v>3</v>
      </c>
    </row>
    <row r="2786" spans="1:14" x14ac:dyDescent="0.2">
      <c r="A2786" s="3">
        <f t="shared" si="45"/>
        <v>5605325</v>
      </c>
      <c r="B2786" t="str">
        <f>"56053250008"</f>
        <v>56053250008</v>
      </c>
      <c r="C2786" t="s">
        <v>3206</v>
      </c>
      <c r="D2786" t="s">
        <v>289</v>
      </c>
      <c r="E2786">
        <v>20</v>
      </c>
      <c r="F2786">
        <v>2841</v>
      </c>
      <c r="G2786" t="s">
        <v>713</v>
      </c>
      <c r="H2786">
        <v>12</v>
      </c>
      <c r="I2786" t="s">
        <v>25</v>
      </c>
      <c r="J2786">
        <v>9</v>
      </c>
      <c r="K2786" t="s">
        <v>25</v>
      </c>
      <c r="L2786">
        <v>8</v>
      </c>
      <c r="M2786">
        <v>87046</v>
      </c>
      <c r="N2786">
        <v>3</v>
      </c>
    </row>
    <row r="2787" spans="1:14" x14ac:dyDescent="0.2">
      <c r="A2787" s="3">
        <f t="shared" si="45"/>
        <v>5605326</v>
      </c>
      <c r="B2787" t="str">
        <f>"56053260006"</f>
        <v>56053260006</v>
      </c>
      <c r="C2787" t="s">
        <v>3207</v>
      </c>
      <c r="D2787" t="s">
        <v>289</v>
      </c>
      <c r="E2787">
        <v>20</v>
      </c>
      <c r="F2787">
        <v>8086</v>
      </c>
      <c r="G2787" t="s">
        <v>290</v>
      </c>
      <c r="H2787">
        <v>12</v>
      </c>
      <c r="I2787" t="s">
        <v>25</v>
      </c>
      <c r="J2787">
        <v>9</v>
      </c>
      <c r="K2787" t="s">
        <v>25</v>
      </c>
      <c r="L2787">
        <v>8</v>
      </c>
      <c r="M2787">
        <v>89058</v>
      </c>
      <c r="N2787">
        <v>3</v>
      </c>
    </row>
    <row r="2788" spans="1:14" x14ac:dyDescent="0.2">
      <c r="A2788" s="3">
        <f t="shared" si="45"/>
        <v>5605326</v>
      </c>
      <c r="B2788" t="str">
        <f>"56053260006"</f>
        <v>56053260006</v>
      </c>
      <c r="C2788" t="s">
        <v>3207</v>
      </c>
      <c r="D2788" t="s">
        <v>289</v>
      </c>
      <c r="E2788">
        <v>20</v>
      </c>
      <c r="F2788">
        <v>472</v>
      </c>
      <c r="G2788" t="s">
        <v>1125</v>
      </c>
      <c r="H2788">
        <v>12</v>
      </c>
      <c r="I2788" t="s">
        <v>25</v>
      </c>
      <c r="J2788">
        <v>9</v>
      </c>
      <c r="K2788" t="s">
        <v>25</v>
      </c>
      <c r="L2788">
        <v>8</v>
      </c>
      <c r="M2788">
        <v>89058</v>
      </c>
      <c r="N2788">
        <v>3</v>
      </c>
    </row>
    <row r="2789" spans="1:14" x14ac:dyDescent="0.2">
      <c r="A2789" s="3">
        <f t="shared" si="45"/>
        <v>5605327</v>
      </c>
      <c r="B2789" t="str">
        <f>"56053270006"</f>
        <v>56053270006</v>
      </c>
      <c r="C2789" t="s">
        <v>3208</v>
      </c>
      <c r="D2789" t="s">
        <v>289</v>
      </c>
      <c r="E2789">
        <v>20</v>
      </c>
      <c r="F2789">
        <v>8086</v>
      </c>
      <c r="G2789" t="s">
        <v>290</v>
      </c>
      <c r="H2789">
        <v>12</v>
      </c>
      <c r="I2789" t="s">
        <v>25</v>
      </c>
      <c r="J2789">
        <v>9</v>
      </c>
      <c r="K2789" t="s">
        <v>25</v>
      </c>
      <c r="L2789">
        <v>8</v>
      </c>
      <c r="M2789">
        <v>89053</v>
      </c>
      <c r="N2789">
        <v>3</v>
      </c>
    </row>
    <row r="2790" spans="1:14" x14ac:dyDescent="0.2">
      <c r="A2790" s="3">
        <f t="shared" si="45"/>
        <v>5605327</v>
      </c>
      <c r="B2790" t="str">
        <f>"56053270006"</f>
        <v>56053270006</v>
      </c>
      <c r="C2790" t="s">
        <v>3208</v>
      </c>
      <c r="D2790" t="s">
        <v>289</v>
      </c>
      <c r="E2790">
        <v>20</v>
      </c>
      <c r="F2790">
        <v>472</v>
      </c>
      <c r="G2790" t="s">
        <v>1125</v>
      </c>
      <c r="H2790">
        <v>12</v>
      </c>
      <c r="I2790" t="s">
        <v>25</v>
      </c>
      <c r="J2790">
        <v>9</v>
      </c>
      <c r="K2790" t="s">
        <v>25</v>
      </c>
      <c r="L2790">
        <v>8</v>
      </c>
      <c r="M2790">
        <v>89053</v>
      </c>
      <c r="N2790">
        <v>3</v>
      </c>
    </row>
    <row r="2791" spans="1:14" x14ac:dyDescent="0.2">
      <c r="A2791" s="3">
        <f t="shared" si="45"/>
        <v>5605336</v>
      </c>
      <c r="B2791" t="str">
        <f>"56053360006"</f>
        <v>56053360006</v>
      </c>
      <c r="C2791" t="s">
        <v>3209</v>
      </c>
      <c r="D2791" t="s">
        <v>386</v>
      </c>
      <c r="E2791">
        <v>60</v>
      </c>
      <c r="F2791">
        <v>1593</v>
      </c>
      <c r="G2791" t="s">
        <v>3210</v>
      </c>
      <c r="H2791" t="s">
        <v>44</v>
      </c>
      <c r="I2791" t="s">
        <v>45</v>
      </c>
      <c r="J2791" t="s">
        <v>44</v>
      </c>
      <c r="K2791" t="s">
        <v>45</v>
      </c>
      <c r="L2791">
        <v>8</v>
      </c>
      <c r="M2791">
        <v>62127</v>
      </c>
      <c r="N2791" t="s">
        <v>46</v>
      </c>
    </row>
    <row r="2792" spans="1:14" x14ac:dyDescent="0.2">
      <c r="A2792" s="3">
        <f t="shared" si="45"/>
        <v>5605339</v>
      </c>
      <c r="B2792" t="str">
        <f>"56053390006"</f>
        <v>56053390006</v>
      </c>
      <c r="C2792" t="s">
        <v>3211</v>
      </c>
      <c r="D2792" t="s">
        <v>48</v>
      </c>
      <c r="E2792">
        <v>33</v>
      </c>
      <c r="F2792">
        <v>1985</v>
      </c>
      <c r="G2792" t="s">
        <v>287</v>
      </c>
      <c r="H2792">
        <v>11</v>
      </c>
      <c r="I2792" t="s">
        <v>34</v>
      </c>
      <c r="J2792">
        <v>7</v>
      </c>
      <c r="K2792" t="s">
        <v>34</v>
      </c>
      <c r="L2792">
        <v>8</v>
      </c>
      <c r="M2792">
        <v>83149</v>
      </c>
      <c r="N2792">
        <v>4</v>
      </c>
    </row>
    <row r="2793" spans="1:14" x14ac:dyDescent="0.2">
      <c r="A2793" s="3">
        <f t="shared" si="45"/>
        <v>5605364</v>
      </c>
      <c r="B2793" t="str">
        <f>"56053640006"</f>
        <v>56053640006</v>
      </c>
      <c r="C2793" t="s">
        <v>3212</v>
      </c>
      <c r="D2793" t="s">
        <v>23</v>
      </c>
      <c r="E2793">
        <v>41</v>
      </c>
      <c r="F2793">
        <v>4229</v>
      </c>
      <c r="G2793" t="s">
        <v>3213</v>
      </c>
      <c r="H2793">
        <v>50</v>
      </c>
      <c r="I2793" t="s">
        <v>34</v>
      </c>
      <c r="J2793">
        <v>37</v>
      </c>
      <c r="K2793" t="s">
        <v>34</v>
      </c>
      <c r="L2793">
        <v>8</v>
      </c>
      <c r="M2793">
        <v>69217</v>
      </c>
      <c r="N2793">
        <v>13</v>
      </c>
    </row>
    <row r="2794" spans="1:14" x14ac:dyDescent="0.2">
      <c r="A2794" s="3">
        <f t="shared" si="45"/>
        <v>5605365</v>
      </c>
      <c r="B2794" t="str">
        <f>"56053650006"</f>
        <v>56053650006</v>
      </c>
      <c r="C2794" t="s">
        <v>3214</v>
      </c>
      <c r="D2794" t="s">
        <v>23</v>
      </c>
      <c r="E2794">
        <v>41</v>
      </c>
      <c r="F2794">
        <v>4229</v>
      </c>
      <c r="G2794" t="s">
        <v>3213</v>
      </c>
      <c r="H2794">
        <v>50</v>
      </c>
      <c r="I2794" t="s">
        <v>34</v>
      </c>
      <c r="J2794">
        <v>37</v>
      </c>
      <c r="K2794" t="s">
        <v>34</v>
      </c>
      <c r="L2794">
        <v>8</v>
      </c>
      <c r="M2794">
        <v>69215</v>
      </c>
      <c r="N2794">
        <v>13</v>
      </c>
    </row>
    <row r="2795" spans="1:14" x14ac:dyDescent="0.2">
      <c r="A2795" s="3">
        <f t="shared" si="45"/>
        <v>5605367</v>
      </c>
      <c r="B2795" t="str">
        <f>"56053670006"</f>
        <v>56053670006</v>
      </c>
      <c r="C2795" t="s">
        <v>3215</v>
      </c>
      <c r="D2795" t="s">
        <v>52</v>
      </c>
      <c r="E2795">
        <v>52</v>
      </c>
      <c r="F2795">
        <v>2273</v>
      </c>
      <c r="G2795" t="s">
        <v>3216</v>
      </c>
      <c r="H2795">
        <v>24</v>
      </c>
      <c r="I2795" t="s">
        <v>25</v>
      </c>
      <c r="J2795">
        <v>20</v>
      </c>
      <c r="K2795" t="s">
        <v>25</v>
      </c>
      <c r="L2795">
        <v>6</v>
      </c>
      <c r="M2795">
        <v>51611</v>
      </c>
      <c r="N2795">
        <v>4</v>
      </c>
    </row>
    <row r="2796" spans="1:14" x14ac:dyDescent="0.2">
      <c r="A2796" s="3">
        <f t="shared" si="45"/>
        <v>5605383</v>
      </c>
      <c r="B2796" t="str">
        <f>"56053830070"</f>
        <v>56053830070</v>
      </c>
      <c r="C2796" t="s">
        <v>3217</v>
      </c>
      <c r="D2796" t="s">
        <v>289</v>
      </c>
      <c r="E2796">
        <v>74</v>
      </c>
      <c r="F2796">
        <v>8086</v>
      </c>
      <c r="G2796" t="s">
        <v>290</v>
      </c>
      <c r="H2796">
        <v>6</v>
      </c>
      <c r="I2796" t="s">
        <v>25</v>
      </c>
      <c r="J2796">
        <v>4</v>
      </c>
      <c r="K2796" t="s">
        <v>25</v>
      </c>
      <c r="L2796">
        <v>8</v>
      </c>
      <c r="M2796">
        <v>86043</v>
      </c>
      <c r="N2796">
        <v>1</v>
      </c>
    </row>
    <row r="2797" spans="1:14" x14ac:dyDescent="0.2">
      <c r="A2797" s="3">
        <f t="shared" si="45"/>
        <v>5605383</v>
      </c>
      <c r="B2797" t="str">
        <f>"56053830070"</f>
        <v>56053830070</v>
      </c>
      <c r="C2797" t="s">
        <v>3217</v>
      </c>
      <c r="D2797" t="s">
        <v>289</v>
      </c>
      <c r="E2797">
        <v>74</v>
      </c>
      <c r="F2797">
        <v>2037</v>
      </c>
      <c r="G2797" t="s">
        <v>3218</v>
      </c>
      <c r="H2797">
        <v>6</v>
      </c>
      <c r="I2797" t="s">
        <v>25</v>
      </c>
      <c r="J2797">
        <v>4</v>
      </c>
      <c r="K2797" t="s">
        <v>25</v>
      </c>
      <c r="L2797">
        <v>8</v>
      </c>
      <c r="M2797">
        <v>86043</v>
      </c>
      <c r="N2797">
        <v>1</v>
      </c>
    </row>
    <row r="2798" spans="1:14" x14ac:dyDescent="0.2">
      <c r="A2798" s="3">
        <f t="shared" si="45"/>
        <v>5605392</v>
      </c>
      <c r="B2798" t="str">
        <f>"56053920016"</f>
        <v>56053920016</v>
      </c>
      <c r="C2798" t="s">
        <v>3219</v>
      </c>
      <c r="D2798" t="s">
        <v>36</v>
      </c>
      <c r="E2798">
        <v>48</v>
      </c>
      <c r="F2798">
        <v>1211</v>
      </c>
      <c r="G2798" t="s">
        <v>1206</v>
      </c>
      <c r="H2798">
        <v>24</v>
      </c>
      <c r="I2798" t="s">
        <v>25</v>
      </c>
      <c r="J2798">
        <v>20</v>
      </c>
      <c r="K2798" t="s">
        <v>25</v>
      </c>
      <c r="L2798">
        <v>8</v>
      </c>
      <c r="M2798">
        <v>72219</v>
      </c>
      <c r="N2798">
        <v>4</v>
      </c>
    </row>
    <row r="2799" spans="1:14" x14ac:dyDescent="0.2">
      <c r="A2799" s="3">
        <f t="shared" si="45"/>
        <v>5605404</v>
      </c>
      <c r="B2799" t="str">
        <f>"56054040012"</f>
        <v>56054040012</v>
      </c>
      <c r="C2799" t="s">
        <v>3220</v>
      </c>
      <c r="D2799" t="s">
        <v>289</v>
      </c>
      <c r="E2799">
        <v>20</v>
      </c>
      <c r="F2799">
        <v>8086</v>
      </c>
      <c r="G2799" t="s">
        <v>290</v>
      </c>
      <c r="H2799">
        <v>12</v>
      </c>
      <c r="I2799" t="s">
        <v>25</v>
      </c>
      <c r="J2799">
        <v>9</v>
      </c>
      <c r="K2799" t="s">
        <v>25</v>
      </c>
      <c r="L2799">
        <v>8</v>
      </c>
      <c r="M2799">
        <v>89054</v>
      </c>
      <c r="N2799">
        <v>3</v>
      </c>
    </row>
    <row r="2800" spans="1:14" x14ac:dyDescent="0.2">
      <c r="A2800" s="3">
        <f t="shared" si="45"/>
        <v>5605404</v>
      </c>
      <c r="B2800" t="str">
        <f>"56054040012"</f>
        <v>56054040012</v>
      </c>
      <c r="C2800" t="s">
        <v>3220</v>
      </c>
      <c r="D2800" t="s">
        <v>289</v>
      </c>
      <c r="E2800">
        <v>20</v>
      </c>
      <c r="F2800">
        <v>2504</v>
      </c>
      <c r="G2800" t="s">
        <v>715</v>
      </c>
      <c r="H2800">
        <v>12</v>
      </c>
      <c r="I2800" t="s">
        <v>25</v>
      </c>
      <c r="J2800">
        <v>9</v>
      </c>
      <c r="K2800" t="s">
        <v>25</v>
      </c>
      <c r="L2800">
        <v>8</v>
      </c>
      <c r="M2800">
        <v>89054</v>
      </c>
      <c r="N2800">
        <v>3</v>
      </c>
    </row>
    <row r="2801" spans="1:14" x14ac:dyDescent="0.2">
      <c r="A2801" s="3">
        <f t="shared" si="45"/>
        <v>5605431</v>
      </c>
      <c r="B2801" t="str">
        <f>"56054310010"</f>
        <v>56054310010</v>
      </c>
      <c r="C2801" t="s">
        <v>3221</v>
      </c>
      <c r="D2801" t="s">
        <v>52</v>
      </c>
      <c r="E2801">
        <v>33</v>
      </c>
      <c r="F2801">
        <v>1949</v>
      </c>
      <c r="G2801" t="s">
        <v>186</v>
      </c>
      <c r="H2801">
        <v>35</v>
      </c>
      <c r="I2801" t="s">
        <v>34</v>
      </c>
      <c r="J2801">
        <v>27</v>
      </c>
      <c r="K2801" t="s">
        <v>34</v>
      </c>
      <c r="L2801">
        <v>6</v>
      </c>
      <c r="M2801">
        <v>52513</v>
      </c>
      <c r="N2801">
        <v>8</v>
      </c>
    </row>
    <row r="2802" spans="1:14" x14ac:dyDescent="0.2">
      <c r="A2802" s="3">
        <f t="shared" si="45"/>
        <v>5605471</v>
      </c>
      <c r="B2802" t="str">
        <f>"56054710004"</f>
        <v>56054710004</v>
      </c>
      <c r="C2802" t="s">
        <v>3222</v>
      </c>
      <c r="D2802" t="s">
        <v>52</v>
      </c>
      <c r="E2802">
        <v>33</v>
      </c>
      <c r="F2802">
        <v>6968</v>
      </c>
      <c r="G2802" t="s">
        <v>410</v>
      </c>
      <c r="H2802">
        <v>10</v>
      </c>
      <c r="I2802" t="s">
        <v>34</v>
      </c>
      <c r="J2802">
        <v>7</v>
      </c>
      <c r="K2802" t="s">
        <v>34</v>
      </c>
      <c r="L2802">
        <v>6</v>
      </c>
      <c r="M2802">
        <v>52514</v>
      </c>
      <c r="N2802">
        <v>3</v>
      </c>
    </row>
    <row r="2803" spans="1:14" x14ac:dyDescent="0.2">
      <c r="A2803" s="3">
        <f t="shared" si="45"/>
        <v>5605472</v>
      </c>
      <c r="B2803" t="str">
        <f>"56054720004"</f>
        <v>56054720004</v>
      </c>
      <c r="C2803" t="s">
        <v>3223</v>
      </c>
      <c r="D2803" t="s">
        <v>52</v>
      </c>
      <c r="E2803">
        <v>33</v>
      </c>
      <c r="F2803">
        <v>6968</v>
      </c>
      <c r="G2803" t="s">
        <v>410</v>
      </c>
      <c r="H2803">
        <v>10</v>
      </c>
      <c r="I2803" t="s">
        <v>34</v>
      </c>
      <c r="J2803">
        <v>7</v>
      </c>
      <c r="K2803" t="s">
        <v>34</v>
      </c>
      <c r="L2803">
        <v>6</v>
      </c>
      <c r="M2803">
        <v>52515</v>
      </c>
      <c r="N2803">
        <v>3</v>
      </c>
    </row>
    <row r="2804" spans="1:14" x14ac:dyDescent="0.2">
      <c r="A2804" s="3">
        <f t="shared" si="45"/>
        <v>5605473</v>
      </c>
      <c r="B2804" t="str">
        <f>"56054730004"</f>
        <v>56054730004</v>
      </c>
      <c r="C2804" t="s">
        <v>3224</v>
      </c>
      <c r="D2804" t="s">
        <v>52</v>
      </c>
      <c r="E2804">
        <v>33</v>
      </c>
      <c r="F2804">
        <v>6968</v>
      </c>
      <c r="G2804" t="s">
        <v>410</v>
      </c>
      <c r="H2804">
        <v>10</v>
      </c>
      <c r="I2804" t="s">
        <v>34</v>
      </c>
      <c r="J2804">
        <v>7</v>
      </c>
      <c r="K2804" t="s">
        <v>34</v>
      </c>
      <c r="L2804">
        <v>6</v>
      </c>
      <c r="M2804">
        <v>52516</v>
      </c>
      <c r="N2804">
        <v>3</v>
      </c>
    </row>
    <row r="2805" spans="1:14" x14ac:dyDescent="0.2">
      <c r="A2805" s="3">
        <f t="shared" si="45"/>
        <v>5605487</v>
      </c>
      <c r="B2805" t="str">
        <f>"56054870048"</f>
        <v>56054870048</v>
      </c>
      <c r="C2805" t="s">
        <v>3225</v>
      </c>
      <c r="D2805" t="s">
        <v>289</v>
      </c>
      <c r="E2805">
        <v>74</v>
      </c>
      <c r="F2805">
        <v>8086</v>
      </c>
      <c r="G2805" t="s">
        <v>290</v>
      </c>
      <c r="H2805">
        <v>12</v>
      </c>
      <c r="I2805" t="s">
        <v>25</v>
      </c>
      <c r="J2805">
        <v>9</v>
      </c>
      <c r="K2805" t="s">
        <v>25</v>
      </c>
      <c r="L2805">
        <v>8</v>
      </c>
      <c r="M2805">
        <v>86050</v>
      </c>
      <c r="N2805">
        <v>1</v>
      </c>
    </row>
    <row r="2806" spans="1:14" x14ac:dyDescent="0.2">
      <c r="A2806" s="3">
        <f t="shared" si="45"/>
        <v>5605487</v>
      </c>
      <c r="B2806" t="str">
        <f>"56054870048"</f>
        <v>56054870048</v>
      </c>
      <c r="C2806" t="s">
        <v>3225</v>
      </c>
      <c r="D2806" t="s">
        <v>289</v>
      </c>
      <c r="E2806">
        <v>74</v>
      </c>
      <c r="F2806">
        <v>2024</v>
      </c>
      <c r="G2806" t="s">
        <v>3226</v>
      </c>
      <c r="H2806">
        <v>12</v>
      </c>
      <c r="I2806" t="s">
        <v>25</v>
      </c>
      <c r="J2806">
        <v>9</v>
      </c>
      <c r="K2806" t="s">
        <v>25</v>
      </c>
      <c r="L2806">
        <v>8</v>
      </c>
      <c r="M2806">
        <v>86050</v>
      </c>
      <c r="N2806">
        <v>1</v>
      </c>
    </row>
    <row r="2807" spans="1:14" x14ac:dyDescent="0.2">
      <c r="A2807" s="3">
        <f t="shared" si="45"/>
        <v>5605488</v>
      </c>
      <c r="B2807" t="str">
        <f>"56054880008"</f>
        <v>56054880008</v>
      </c>
      <c r="C2807" t="s">
        <v>3227</v>
      </c>
      <c r="D2807" t="s">
        <v>52</v>
      </c>
      <c r="E2807">
        <v>20</v>
      </c>
      <c r="F2807">
        <v>8086</v>
      </c>
      <c r="G2807" t="s">
        <v>290</v>
      </c>
      <c r="H2807">
        <v>12</v>
      </c>
      <c r="I2807" t="s">
        <v>25</v>
      </c>
      <c r="J2807">
        <v>9</v>
      </c>
      <c r="K2807" t="s">
        <v>25</v>
      </c>
      <c r="L2807">
        <v>6</v>
      </c>
      <c r="M2807">
        <v>99634</v>
      </c>
      <c r="N2807">
        <v>3</v>
      </c>
    </row>
    <row r="2808" spans="1:14" x14ac:dyDescent="0.2">
      <c r="A2808" s="3">
        <f t="shared" si="45"/>
        <v>5605488</v>
      </c>
      <c r="B2808" t="str">
        <f>"56054880008"</f>
        <v>56054880008</v>
      </c>
      <c r="C2808" t="s">
        <v>3227</v>
      </c>
      <c r="D2808" t="s">
        <v>52</v>
      </c>
      <c r="E2808">
        <v>20</v>
      </c>
      <c r="F2808">
        <v>1964</v>
      </c>
      <c r="G2808" t="s">
        <v>3228</v>
      </c>
      <c r="H2808">
        <v>12</v>
      </c>
      <c r="I2808" t="s">
        <v>25</v>
      </c>
      <c r="J2808">
        <v>9</v>
      </c>
      <c r="K2808" t="s">
        <v>25</v>
      </c>
      <c r="L2808">
        <v>6</v>
      </c>
      <c r="M2808">
        <v>99634</v>
      </c>
      <c r="N2808">
        <v>3</v>
      </c>
    </row>
    <row r="2809" spans="1:14" x14ac:dyDescent="0.2">
      <c r="A2809" s="3">
        <f t="shared" si="45"/>
        <v>5605496</v>
      </c>
      <c r="B2809" t="str">
        <f>"56054960027"</f>
        <v>56054960027</v>
      </c>
      <c r="C2809" t="s">
        <v>3229</v>
      </c>
      <c r="D2809" t="s">
        <v>36</v>
      </c>
      <c r="E2809">
        <v>70</v>
      </c>
      <c r="F2809">
        <v>1440</v>
      </c>
      <c r="G2809" t="s">
        <v>3230</v>
      </c>
      <c r="H2809">
        <v>8</v>
      </c>
      <c r="I2809" t="s">
        <v>25</v>
      </c>
      <c r="J2809">
        <v>6</v>
      </c>
      <c r="K2809" t="s">
        <v>25</v>
      </c>
      <c r="L2809">
        <v>8</v>
      </c>
      <c r="M2809">
        <v>66274</v>
      </c>
      <c r="N2809">
        <v>2</v>
      </c>
    </row>
    <row r="2810" spans="1:14" x14ac:dyDescent="0.2">
      <c r="A2810" s="3">
        <f t="shared" si="45"/>
        <v>5605502</v>
      </c>
      <c r="B2810" t="str">
        <f>"56055020008"</f>
        <v>56055020008</v>
      </c>
      <c r="C2810" t="s">
        <v>3231</v>
      </c>
      <c r="D2810" t="s">
        <v>67</v>
      </c>
      <c r="E2810">
        <v>72</v>
      </c>
      <c r="F2810">
        <v>4641</v>
      </c>
      <c r="G2810" t="s">
        <v>566</v>
      </c>
      <c r="H2810">
        <v>60</v>
      </c>
      <c r="I2810" t="s">
        <v>34</v>
      </c>
      <c r="J2810">
        <v>44</v>
      </c>
      <c r="K2810" t="s">
        <v>34</v>
      </c>
      <c r="L2810">
        <v>8</v>
      </c>
      <c r="M2810">
        <v>74171</v>
      </c>
      <c r="N2810">
        <v>16</v>
      </c>
    </row>
    <row r="2811" spans="1:14" x14ac:dyDescent="0.2">
      <c r="A2811" s="3">
        <f t="shared" si="45"/>
        <v>5605503</v>
      </c>
      <c r="B2811" t="str">
        <f>"56055030006"</f>
        <v>56055030006</v>
      </c>
      <c r="C2811" t="s">
        <v>3232</v>
      </c>
      <c r="D2811" t="s">
        <v>52</v>
      </c>
      <c r="E2811">
        <v>36</v>
      </c>
      <c r="F2811">
        <v>4266</v>
      </c>
      <c r="G2811" t="s">
        <v>394</v>
      </c>
      <c r="H2811">
        <v>13</v>
      </c>
      <c r="I2811" t="s">
        <v>34</v>
      </c>
      <c r="J2811">
        <v>9</v>
      </c>
      <c r="K2811" t="s">
        <v>34</v>
      </c>
      <c r="L2811">
        <v>6</v>
      </c>
      <c r="M2811">
        <v>2502</v>
      </c>
      <c r="N2811">
        <v>4</v>
      </c>
    </row>
    <row r="2812" spans="1:14" x14ac:dyDescent="0.2">
      <c r="A2812" s="3">
        <f t="shared" si="45"/>
        <v>5605507</v>
      </c>
      <c r="B2812" t="str">
        <f>"56055070001"</f>
        <v>56055070001</v>
      </c>
      <c r="C2812" t="s">
        <v>3233</v>
      </c>
      <c r="D2812" t="s">
        <v>337</v>
      </c>
      <c r="E2812">
        <v>92</v>
      </c>
      <c r="F2812">
        <v>969</v>
      </c>
      <c r="G2812" t="s">
        <v>2457</v>
      </c>
      <c r="H2812">
        <v>6</v>
      </c>
      <c r="I2812" t="s">
        <v>34</v>
      </c>
      <c r="J2812">
        <v>4</v>
      </c>
      <c r="K2812" t="s">
        <v>34</v>
      </c>
      <c r="L2812">
        <v>8</v>
      </c>
      <c r="M2812">
        <v>91108</v>
      </c>
      <c r="N2812">
        <v>2</v>
      </c>
    </row>
    <row r="2813" spans="1:14" x14ac:dyDescent="0.2">
      <c r="A2813" s="3">
        <f t="shared" si="45"/>
        <v>5605510</v>
      </c>
      <c r="B2813" t="str">
        <f>"56055100006"</f>
        <v>56055100006</v>
      </c>
      <c r="C2813" t="s">
        <v>3234</v>
      </c>
      <c r="D2813" t="s">
        <v>23</v>
      </c>
      <c r="E2813">
        <v>41</v>
      </c>
      <c r="F2813">
        <v>851</v>
      </c>
      <c r="G2813" t="s">
        <v>210</v>
      </c>
      <c r="H2813">
        <v>40</v>
      </c>
      <c r="I2813" t="s">
        <v>34</v>
      </c>
      <c r="J2813">
        <v>30</v>
      </c>
      <c r="K2813" t="s">
        <v>34</v>
      </c>
      <c r="L2813">
        <v>8</v>
      </c>
      <c r="M2813">
        <v>69193</v>
      </c>
      <c r="N2813">
        <v>10</v>
      </c>
    </row>
    <row r="2814" spans="1:14" x14ac:dyDescent="0.2">
      <c r="A2814" s="3">
        <f t="shared" si="45"/>
        <v>5605514</v>
      </c>
      <c r="B2814" t="str">
        <f>"56055140001"</f>
        <v>56055140001</v>
      </c>
      <c r="C2814" t="s">
        <v>3235</v>
      </c>
      <c r="D2814" t="s">
        <v>52</v>
      </c>
      <c r="E2814">
        <v>92</v>
      </c>
      <c r="F2814">
        <v>291</v>
      </c>
      <c r="G2814" t="s">
        <v>3087</v>
      </c>
      <c r="H2814">
        <v>7</v>
      </c>
      <c r="I2814" t="s">
        <v>34</v>
      </c>
      <c r="J2814">
        <v>5</v>
      </c>
      <c r="K2814" t="s">
        <v>34</v>
      </c>
      <c r="L2814">
        <v>6</v>
      </c>
      <c r="M2814" t="s">
        <v>65</v>
      </c>
      <c r="N2814">
        <v>2</v>
      </c>
    </row>
    <row r="2815" spans="1:14" x14ac:dyDescent="0.2">
      <c r="A2815" s="3">
        <f t="shared" si="45"/>
        <v>5605535</v>
      </c>
      <c r="B2815" t="str">
        <f>"56055350015"</f>
        <v>56055350015</v>
      </c>
      <c r="C2815" t="s">
        <v>3236</v>
      </c>
      <c r="D2815" t="s">
        <v>67</v>
      </c>
      <c r="E2815">
        <v>36</v>
      </c>
      <c r="F2815">
        <v>2503</v>
      </c>
      <c r="G2815" t="s">
        <v>851</v>
      </c>
      <c r="H2815">
        <v>17</v>
      </c>
      <c r="I2815" t="s">
        <v>34</v>
      </c>
      <c r="J2815">
        <v>11</v>
      </c>
      <c r="K2815" t="s">
        <v>34</v>
      </c>
      <c r="L2815">
        <v>8</v>
      </c>
      <c r="M2815">
        <v>81058</v>
      </c>
      <c r="N2815">
        <v>6</v>
      </c>
    </row>
    <row r="2816" spans="1:14" x14ac:dyDescent="0.2">
      <c r="A2816" s="3">
        <f t="shared" si="45"/>
        <v>5605539</v>
      </c>
      <c r="B2816" t="str">
        <f>"56055390006"</f>
        <v>56055390006</v>
      </c>
      <c r="C2816" t="s">
        <v>3237</v>
      </c>
      <c r="D2816" t="s">
        <v>386</v>
      </c>
      <c r="E2816">
        <v>60</v>
      </c>
      <c r="F2816">
        <v>659</v>
      </c>
      <c r="G2816" t="s">
        <v>3238</v>
      </c>
      <c r="H2816" t="s">
        <v>44</v>
      </c>
      <c r="I2816" t="s">
        <v>45</v>
      </c>
      <c r="J2816" t="s">
        <v>44</v>
      </c>
      <c r="K2816" t="s">
        <v>45</v>
      </c>
      <c r="L2816">
        <v>8</v>
      </c>
      <c r="M2816">
        <v>62120</v>
      </c>
      <c r="N2816" t="s">
        <v>46</v>
      </c>
    </row>
    <row r="2817" spans="1:14" x14ac:dyDescent="0.2">
      <c r="A2817" s="3">
        <f t="shared" si="45"/>
        <v>5605573</v>
      </c>
      <c r="B2817" t="str">
        <f>"56055730012"</f>
        <v>56055730012</v>
      </c>
      <c r="C2817" t="s">
        <v>3239</v>
      </c>
      <c r="D2817" t="s">
        <v>289</v>
      </c>
      <c r="E2817">
        <v>20</v>
      </c>
      <c r="F2817">
        <v>8086</v>
      </c>
      <c r="G2817" t="s">
        <v>290</v>
      </c>
      <c r="H2817">
        <v>12</v>
      </c>
      <c r="I2817" t="s">
        <v>25</v>
      </c>
      <c r="J2817">
        <v>9</v>
      </c>
      <c r="K2817" t="s">
        <v>25</v>
      </c>
      <c r="L2817">
        <v>8</v>
      </c>
      <c r="M2817">
        <v>89056</v>
      </c>
      <c r="N2817">
        <v>3</v>
      </c>
    </row>
    <row r="2818" spans="1:14" x14ac:dyDescent="0.2">
      <c r="A2818" s="3">
        <f t="shared" si="45"/>
        <v>5605573</v>
      </c>
      <c r="B2818" t="str">
        <f>"56055730012"</f>
        <v>56055730012</v>
      </c>
      <c r="C2818" t="s">
        <v>3239</v>
      </c>
      <c r="D2818" t="s">
        <v>289</v>
      </c>
      <c r="E2818">
        <v>20</v>
      </c>
      <c r="F2818">
        <v>472</v>
      </c>
      <c r="G2818" t="s">
        <v>1125</v>
      </c>
      <c r="H2818">
        <v>12</v>
      </c>
      <c r="I2818" t="s">
        <v>25</v>
      </c>
      <c r="J2818">
        <v>9</v>
      </c>
      <c r="K2818" t="s">
        <v>25</v>
      </c>
      <c r="L2818">
        <v>8</v>
      </c>
      <c r="M2818">
        <v>89056</v>
      </c>
      <c r="N2818">
        <v>3</v>
      </c>
    </row>
    <row r="2819" spans="1:14" x14ac:dyDescent="0.2">
      <c r="A2819" s="3">
        <f t="shared" si="45"/>
        <v>5605574</v>
      </c>
      <c r="B2819" t="str">
        <f>"56055740012"</f>
        <v>56055740012</v>
      </c>
      <c r="C2819" t="s">
        <v>3240</v>
      </c>
      <c r="D2819" t="s">
        <v>36</v>
      </c>
      <c r="E2819">
        <v>70</v>
      </c>
      <c r="F2819">
        <v>213</v>
      </c>
      <c r="G2819" t="s">
        <v>1258</v>
      </c>
      <c r="H2819">
        <v>8</v>
      </c>
      <c r="I2819" t="s">
        <v>25</v>
      </c>
      <c r="J2819">
        <v>6</v>
      </c>
      <c r="K2819" t="s">
        <v>25</v>
      </c>
      <c r="L2819">
        <v>8</v>
      </c>
      <c r="M2819">
        <v>72204</v>
      </c>
      <c r="N2819">
        <v>2</v>
      </c>
    </row>
    <row r="2820" spans="1:14" x14ac:dyDescent="0.2">
      <c r="A2820" s="3">
        <f t="shared" ref="A2820:A2883" si="46">(B2820-RIGHT(B2820,4))/10000</f>
        <v>5605575</v>
      </c>
      <c r="B2820" t="str">
        <f>"56055750004"</f>
        <v>56055750004</v>
      </c>
      <c r="C2820" t="s">
        <v>3241</v>
      </c>
      <c r="D2820" t="s">
        <v>52</v>
      </c>
      <c r="E2820">
        <v>33</v>
      </c>
      <c r="F2820">
        <v>2779</v>
      </c>
      <c r="G2820" t="s">
        <v>411</v>
      </c>
      <c r="H2820">
        <v>17</v>
      </c>
      <c r="I2820" t="s">
        <v>34</v>
      </c>
      <c r="J2820">
        <v>11</v>
      </c>
      <c r="K2820" t="s">
        <v>34</v>
      </c>
      <c r="L2820">
        <v>6</v>
      </c>
      <c r="M2820">
        <v>52502</v>
      </c>
      <c r="N2820">
        <v>6</v>
      </c>
    </row>
    <row r="2821" spans="1:14" x14ac:dyDescent="0.2">
      <c r="A2821" s="3">
        <f t="shared" si="46"/>
        <v>5605586</v>
      </c>
      <c r="B2821" t="str">
        <f>"56055860010"</f>
        <v>56055860010</v>
      </c>
      <c r="C2821" t="s">
        <v>3242</v>
      </c>
      <c r="D2821" t="s">
        <v>77</v>
      </c>
      <c r="E2821">
        <v>32</v>
      </c>
      <c r="F2821">
        <v>648</v>
      </c>
      <c r="G2821" t="s">
        <v>3061</v>
      </c>
      <c r="H2821">
        <v>60</v>
      </c>
      <c r="I2821" t="s">
        <v>34</v>
      </c>
      <c r="J2821">
        <v>44</v>
      </c>
      <c r="K2821" t="s">
        <v>34</v>
      </c>
      <c r="L2821">
        <v>8</v>
      </c>
      <c r="M2821">
        <v>81188</v>
      </c>
      <c r="N2821">
        <v>11</v>
      </c>
    </row>
    <row r="2822" spans="1:14" x14ac:dyDescent="0.2">
      <c r="A2822" s="3">
        <f t="shared" si="46"/>
        <v>5605587</v>
      </c>
      <c r="B2822" t="str">
        <f>"56055870006"</f>
        <v>56055870006</v>
      </c>
      <c r="C2822" t="s">
        <v>3243</v>
      </c>
      <c r="D2822" t="s">
        <v>52</v>
      </c>
      <c r="E2822">
        <v>60</v>
      </c>
      <c r="F2822">
        <v>1593</v>
      </c>
      <c r="G2822" t="s">
        <v>3210</v>
      </c>
      <c r="H2822" t="s">
        <v>44</v>
      </c>
      <c r="I2822" t="s">
        <v>45</v>
      </c>
      <c r="J2822" t="s">
        <v>44</v>
      </c>
      <c r="K2822" t="s">
        <v>45</v>
      </c>
      <c r="L2822">
        <v>6</v>
      </c>
      <c r="M2822">
        <v>52628</v>
      </c>
      <c r="N2822" t="s">
        <v>46</v>
      </c>
    </row>
    <row r="2823" spans="1:14" x14ac:dyDescent="0.2">
      <c r="A2823" s="3">
        <f t="shared" si="46"/>
        <v>5605610</v>
      </c>
      <c r="B2823" t="str">
        <f>"56056100006"</f>
        <v>56056100006</v>
      </c>
      <c r="C2823" t="s">
        <v>3244</v>
      </c>
      <c r="D2823" t="s">
        <v>115</v>
      </c>
      <c r="E2823">
        <v>72</v>
      </c>
      <c r="F2823">
        <v>6954</v>
      </c>
      <c r="G2823" t="s">
        <v>3245</v>
      </c>
      <c r="H2823">
        <v>45</v>
      </c>
      <c r="I2823" t="s">
        <v>34</v>
      </c>
      <c r="J2823">
        <v>34</v>
      </c>
      <c r="K2823" t="s">
        <v>34</v>
      </c>
      <c r="L2823">
        <v>8</v>
      </c>
      <c r="M2823">
        <v>72234</v>
      </c>
      <c r="N2823">
        <v>11</v>
      </c>
    </row>
    <row r="2824" spans="1:14" x14ac:dyDescent="0.2">
      <c r="A2824" s="3">
        <f t="shared" si="46"/>
        <v>5605644</v>
      </c>
      <c r="B2824" t="str">
        <f>"56056440026"</f>
        <v>56056440026</v>
      </c>
      <c r="C2824" t="s">
        <v>3246</v>
      </c>
      <c r="D2824" t="s">
        <v>289</v>
      </c>
      <c r="E2824">
        <v>74</v>
      </c>
      <c r="F2824">
        <v>8086</v>
      </c>
      <c r="G2824" t="s">
        <v>290</v>
      </c>
      <c r="H2824">
        <v>8</v>
      </c>
      <c r="I2824" t="s">
        <v>25</v>
      </c>
      <c r="J2824">
        <v>6</v>
      </c>
      <c r="K2824" t="s">
        <v>25</v>
      </c>
      <c r="L2824">
        <v>8</v>
      </c>
      <c r="M2824">
        <v>86027</v>
      </c>
      <c r="N2824">
        <v>1</v>
      </c>
    </row>
    <row r="2825" spans="1:14" x14ac:dyDescent="0.2">
      <c r="A2825" s="3">
        <f t="shared" si="46"/>
        <v>5605644</v>
      </c>
      <c r="B2825" t="str">
        <f>"56056440026"</f>
        <v>56056440026</v>
      </c>
      <c r="C2825" t="s">
        <v>3246</v>
      </c>
      <c r="D2825" t="s">
        <v>289</v>
      </c>
      <c r="E2825">
        <v>74</v>
      </c>
      <c r="F2825">
        <v>2037</v>
      </c>
      <c r="G2825" t="s">
        <v>3218</v>
      </c>
      <c r="H2825">
        <v>8</v>
      </c>
      <c r="I2825" t="s">
        <v>25</v>
      </c>
      <c r="J2825">
        <v>6</v>
      </c>
      <c r="K2825" t="s">
        <v>25</v>
      </c>
      <c r="L2825">
        <v>8</v>
      </c>
      <c r="M2825">
        <v>86027</v>
      </c>
      <c r="N2825">
        <v>1</v>
      </c>
    </row>
    <row r="2826" spans="1:14" x14ac:dyDescent="0.2">
      <c r="A2826" s="3">
        <f t="shared" si="46"/>
        <v>5605646</v>
      </c>
      <c r="B2826" t="str">
        <f>"56056460012"</f>
        <v>56056460012</v>
      </c>
      <c r="C2826" t="s">
        <v>3247</v>
      </c>
      <c r="D2826" t="s">
        <v>289</v>
      </c>
      <c r="E2826">
        <v>74</v>
      </c>
      <c r="F2826">
        <v>8086</v>
      </c>
      <c r="G2826" t="s">
        <v>290</v>
      </c>
      <c r="H2826">
        <v>8</v>
      </c>
      <c r="I2826" t="s">
        <v>25</v>
      </c>
      <c r="J2826">
        <v>6</v>
      </c>
      <c r="K2826" t="s">
        <v>25</v>
      </c>
      <c r="L2826">
        <v>8</v>
      </c>
      <c r="M2826">
        <v>86021</v>
      </c>
      <c r="N2826">
        <v>1</v>
      </c>
    </row>
    <row r="2827" spans="1:14" x14ac:dyDescent="0.2">
      <c r="A2827" s="3">
        <f t="shared" si="46"/>
        <v>5605646</v>
      </c>
      <c r="B2827" t="str">
        <f>"56056460012"</f>
        <v>56056460012</v>
      </c>
      <c r="C2827" t="s">
        <v>3247</v>
      </c>
      <c r="D2827" t="s">
        <v>289</v>
      </c>
      <c r="E2827">
        <v>74</v>
      </c>
      <c r="F2827">
        <v>2037</v>
      </c>
      <c r="G2827" t="s">
        <v>3218</v>
      </c>
      <c r="H2827">
        <v>8</v>
      </c>
      <c r="I2827" t="s">
        <v>25</v>
      </c>
      <c r="J2827">
        <v>6</v>
      </c>
      <c r="K2827" t="s">
        <v>25</v>
      </c>
      <c r="L2827">
        <v>8</v>
      </c>
      <c r="M2827">
        <v>86021</v>
      </c>
      <c r="N2827">
        <v>1</v>
      </c>
    </row>
    <row r="2828" spans="1:14" x14ac:dyDescent="0.2">
      <c r="A2828" s="3">
        <f t="shared" si="46"/>
        <v>5605666</v>
      </c>
      <c r="B2828" t="str">
        <f>"56056660008"</f>
        <v>56056660008</v>
      </c>
      <c r="C2828" t="s">
        <v>3248</v>
      </c>
      <c r="D2828" t="s">
        <v>23</v>
      </c>
      <c r="E2828">
        <v>41</v>
      </c>
      <c r="F2828">
        <v>4229</v>
      </c>
      <c r="G2828" t="s">
        <v>3213</v>
      </c>
      <c r="H2828">
        <v>50</v>
      </c>
      <c r="I2828" t="s">
        <v>34</v>
      </c>
      <c r="J2828">
        <v>37</v>
      </c>
      <c r="K2828" t="s">
        <v>34</v>
      </c>
      <c r="L2828">
        <v>8</v>
      </c>
      <c r="M2828">
        <v>72195</v>
      </c>
      <c r="N2828">
        <v>13</v>
      </c>
    </row>
    <row r="2829" spans="1:14" x14ac:dyDescent="0.2">
      <c r="A2829" s="3">
        <f t="shared" si="46"/>
        <v>5605676</v>
      </c>
      <c r="B2829" t="str">
        <f>"56056760096"</f>
        <v>56056760096</v>
      </c>
      <c r="C2829" t="s">
        <v>3249</v>
      </c>
      <c r="D2829" t="s">
        <v>289</v>
      </c>
      <c r="E2829">
        <v>74</v>
      </c>
      <c r="F2829">
        <v>8086</v>
      </c>
      <c r="G2829" t="s">
        <v>290</v>
      </c>
      <c r="H2829">
        <v>16</v>
      </c>
      <c r="I2829" t="s">
        <v>25</v>
      </c>
      <c r="J2829">
        <v>13</v>
      </c>
      <c r="K2829" t="s">
        <v>25</v>
      </c>
      <c r="L2829">
        <v>8</v>
      </c>
      <c r="M2829">
        <v>86028</v>
      </c>
      <c r="N2829">
        <v>1</v>
      </c>
    </row>
    <row r="2830" spans="1:14" x14ac:dyDescent="0.2">
      <c r="A2830" s="3">
        <f t="shared" si="46"/>
        <v>5605676</v>
      </c>
      <c r="B2830" t="str">
        <f>"56056760096"</f>
        <v>56056760096</v>
      </c>
      <c r="C2830" t="s">
        <v>3249</v>
      </c>
      <c r="D2830" t="s">
        <v>289</v>
      </c>
      <c r="E2830">
        <v>74</v>
      </c>
      <c r="F2830">
        <v>472</v>
      </c>
      <c r="G2830" t="s">
        <v>1125</v>
      </c>
      <c r="H2830">
        <v>16</v>
      </c>
      <c r="I2830" t="s">
        <v>25</v>
      </c>
      <c r="J2830">
        <v>13</v>
      </c>
      <c r="K2830" t="s">
        <v>25</v>
      </c>
      <c r="L2830">
        <v>8</v>
      </c>
      <c r="M2830">
        <v>86028</v>
      </c>
      <c r="N2830">
        <v>1</v>
      </c>
    </row>
    <row r="2831" spans="1:14" x14ac:dyDescent="0.2">
      <c r="A2831" s="3">
        <f t="shared" si="46"/>
        <v>5605678</v>
      </c>
      <c r="B2831" t="str">
        <f>"56056780008"</f>
        <v>56056780008</v>
      </c>
      <c r="C2831" t="s">
        <v>3250</v>
      </c>
      <c r="D2831" t="s">
        <v>115</v>
      </c>
      <c r="E2831">
        <v>62</v>
      </c>
      <c r="F2831">
        <v>1803</v>
      </c>
      <c r="G2831" t="s">
        <v>3251</v>
      </c>
      <c r="H2831">
        <v>8</v>
      </c>
      <c r="I2831" t="s">
        <v>25</v>
      </c>
      <c r="J2831">
        <v>6</v>
      </c>
      <c r="K2831" t="s">
        <v>25</v>
      </c>
      <c r="L2831">
        <v>8</v>
      </c>
      <c r="M2831">
        <v>72164</v>
      </c>
      <c r="N2831">
        <v>2</v>
      </c>
    </row>
    <row r="2832" spans="1:14" x14ac:dyDescent="0.2">
      <c r="A2832" s="3">
        <f t="shared" si="46"/>
        <v>5605684</v>
      </c>
      <c r="B2832" t="str">
        <f>"56056840006"</f>
        <v>56056840006</v>
      </c>
      <c r="C2832" t="s">
        <v>3252</v>
      </c>
      <c r="D2832" t="s">
        <v>52</v>
      </c>
      <c r="E2832">
        <v>33</v>
      </c>
      <c r="F2832">
        <v>6968</v>
      </c>
      <c r="G2832" t="s">
        <v>410</v>
      </c>
      <c r="H2832">
        <v>10</v>
      </c>
      <c r="I2832" t="s">
        <v>34</v>
      </c>
      <c r="J2832">
        <v>7</v>
      </c>
      <c r="K2832" t="s">
        <v>34</v>
      </c>
      <c r="L2832">
        <v>6</v>
      </c>
      <c r="M2832">
        <v>1521</v>
      </c>
      <c r="N2832">
        <v>3</v>
      </c>
    </row>
    <row r="2833" spans="1:14" x14ac:dyDescent="0.2">
      <c r="A2833" s="3">
        <f t="shared" si="46"/>
        <v>5605685</v>
      </c>
      <c r="B2833" t="str">
        <f>"56056850006"</f>
        <v>56056850006</v>
      </c>
      <c r="C2833" t="s">
        <v>3253</v>
      </c>
      <c r="D2833" t="s">
        <v>52</v>
      </c>
      <c r="E2833">
        <v>33</v>
      </c>
      <c r="F2833">
        <v>6968</v>
      </c>
      <c r="G2833" t="s">
        <v>410</v>
      </c>
      <c r="H2833">
        <v>10</v>
      </c>
      <c r="I2833" t="s">
        <v>34</v>
      </c>
      <c r="J2833">
        <v>7</v>
      </c>
      <c r="K2833" t="s">
        <v>34</v>
      </c>
      <c r="L2833">
        <v>6</v>
      </c>
      <c r="M2833">
        <v>1522</v>
      </c>
      <c r="N2833">
        <v>3</v>
      </c>
    </row>
    <row r="2834" spans="1:14" x14ac:dyDescent="0.2">
      <c r="A2834" s="3">
        <f t="shared" si="46"/>
        <v>5605691</v>
      </c>
      <c r="B2834" t="str">
        <f>"56056910020"</f>
        <v>56056910020</v>
      </c>
      <c r="C2834" t="s">
        <v>3254</v>
      </c>
      <c r="D2834" t="s">
        <v>115</v>
      </c>
      <c r="E2834">
        <v>70</v>
      </c>
      <c r="F2834">
        <v>1631</v>
      </c>
      <c r="G2834" t="s">
        <v>598</v>
      </c>
      <c r="H2834">
        <v>120</v>
      </c>
      <c r="I2834" t="s">
        <v>34</v>
      </c>
      <c r="J2834">
        <v>88</v>
      </c>
      <c r="K2834" t="s">
        <v>34</v>
      </c>
      <c r="L2834">
        <v>8</v>
      </c>
      <c r="M2834">
        <v>66212</v>
      </c>
      <c r="N2834">
        <v>32</v>
      </c>
    </row>
    <row r="2835" spans="1:14" x14ac:dyDescent="0.2">
      <c r="A2835" s="3">
        <f t="shared" si="46"/>
        <v>5605696</v>
      </c>
      <c r="B2835" t="str">
        <f>"56056960006"</f>
        <v>56056960006</v>
      </c>
      <c r="C2835" t="s">
        <v>3255</v>
      </c>
      <c r="D2835" t="s">
        <v>48</v>
      </c>
      <c r="E2835">
        <v>33</v>
      </c>
      <c r="F2835">
        <v>3730</v>
      </c>
      <c r="G2835" t="s">
        <v>1209</v>
      </c>
      <c r="H2835">
        <v>21</v>
      </c>
      <c r="I2835" t="s">
        <v>34</v>
      </c>
      <c r="J2835">
        <v>15</v>
      </c>
      <c r="K2835" t="s">
        <v>34</v>
      </c>
      <c r="L2835">
        <v>8</v>
      </c>
      <c r="M2835">
        <v>84061</v>
      </c>
      <c r="N2835">
        <v>6</v>
      </c>
    </row>
    <row r="2836" spans="1:14" x14ac:dyDescent="0.2">
      <c r="A2836" s="3">
        <f t="shared" si="46"/>
        <v>5605699</v>
      </c>
      <c r="B2836" t="str">
        <f>"56056990006"</f>
        <v>56056990006</v>
      </c>
      <c r="C2836" t="s">
        <v>3256</v>
      </c>
      <c r="D2836" t="s">
        <v>52</v>
      </c>
      <c r="E2836">
        <v>63</v>
      </c>
      <c r="F2836">
        <v>1829</v>
      </c>
      <c r="G2836" t="s">
        <v>3127</v>
      </c>
      <c r="H2836">
        <v>12</v>
      </c>
      <c r="I2836" t="s">
        <v>25</v>
      </c>
      <c r="J2836">
        <v>9</v>
      </c>
      <c r="K2836" t="s">
        <v>25</v>
      </c>
      <c r="L2836">
        <v>6</v>
      </c>
      <c r="M2836">
        <v>52612</v>
      </c>
      <c r="N2836">
        <v>3</v>
      </c>
    </row>
    <row r="2837" spans="1:14" x14ac:dyDescent="0.2">
      <c r="A2837" s="3">
        <f t="shared" si="46"/>
        <v>5605704</v>
      </c>
      <c r="B2837" t="str">
        <f>"56057040008"</f>
        <v>56057040008</v>
      </c>
      <c r="C2837" t="s">
        <v>3257</v>
      </c>
      <c r="D2837" t="s">
        <v>52</v>
      </c>
      <c r="E2837">
        <v>70</v>
      </c>
      <c r="F2837">
        <v>1631</v>
      </c>
      <c r="G2837" t="s">
        <v>598</v>
      </c>
      <c r="H2837">
        <v>120</v>
      </c>
      <c r="I2837" t="s">
        <v>34</v>
      </c>
      <c r="J2837">
        <v>88</v>
      </c>
      <c r="K2837" t="s">
        <v>34</v>
      </c>
      <c r="L2837">
        <v>6</v>
      </c>
      <c r="M2837">
        <v>52630</v>
      </c>
      <c r="N2837">
        <v>32</v>
      </c>
    </row>
    <row r="2838" spans="1:14" x14ac:dyDescent="0.2">
      <c r="A2838" s="3">
        <f t="shared" si="46"/>
        <v>5605706</v>
      </c>
      <c r="B2838" t="str">
        <f>"56057060018"</f>
        <v>56057060018</v>
      </c>
      <c r="C2838" t="s">
        <v>3258</v>
      </c>
      <c r="D2838" t="s">
        <v>115</v>
      </c>
      <c r="E2838">
        <v>70</v>
      </c>
      <c r="F2838">
        <v>1631</v>
      </c>
      <c r="G2838" t="s">
        <v>598</v>
      </c>
      <c r="H2838">
        <v>120</v>
      </c>
      <c r="I2838" t="s">
        <v>34</v>
      </c>
      <c r="J2838">
        <v>88</v>
      </c>
      <c r="K2838" t="s">
        <v>34</v>
      </c>
      <c r="L2838">
        <v>8</v>
      </c>
      <c r="M2838">
        <v>66182</v>
      </c>
      <c r="N2838">
        <v>21</v>
      </c>
    </row>
    <row r="2839" spans="1:14" x14ac:dyDescent="0.2">
      <c r="A2839" s="3">
        <f t="shared" si="46"/>
        <v>5605736</v>
      </c>
      <c r="B2839" t="str">
        <f>"56057360004"</f>
        <v>56057360004</v>
      </c>
      <c r="C2839" t="s">
        <v>3259</v>
      </c>
      <c r="D2839" t="s">
        <v>52</v>
      </c>
      <c r="E2839">
        <v>33</v>
      </c>
      <c r="F2839">
        <v>1810</v>
      </c>
      <c r="G2839" t="s">
        <v>3019</v>
      </c>
      <c r="H2839">
        <v>27</v>
      </c>
      <c r="I2839" t="s">
        <v>34</v>
      </c>
      <c r="J2839">
        <v>19</v>
      </c>
      <c r="K2839" t="s">
        <v>34</v>
      </c>
      <c r="L2839">
        <v>6</v>
      </c>
      <c r="M2839">
        <v>1518</v>
      </c>
      <c r="N2839">
        <v>8</v>
      </c>
    </row>
    <row r="2840" spans="1:14" x14ac:dyDescent="0.2">
      <c r="A2840" s="3">
        <f t="shared" si="46"/>
        <v>5605737</v>
      </c>
      <c r="B2840" t="str">
        <f>"56057370004"</f>
        <v>56057370004</v>
      </c>
      <c r="C2840" t="s">
        <v>3260</v>
      </c>
      <c r="D2840" t="s">
        <v>52</v>
      </c>
      <c r="E2840">
        <v>33</v>
      </c>
      <c r="F2840">
        <v>1810</v>
      </c>
      <c r="G2840" t="s">
        <v>3019</v>
      </c>
      <c r="H2840">
        <v>27</v>
      </c>
      <c r="I2840" t="s">
        <v>34</v>
      </c>
      <c r="J2840">
        <v>19</v>
      </c>
      <c r="K2840" t="s">
        <v>34</v>
      </c>
      <c r="L2840">
        <v>6</v>
      </c>
      <c r="M2840">
        <v>1519</v>
      </c>
      <c r="N2840">
        <v>8</v>
      </c>
    </row>
    <row r="2841" spans="1:14" x14ac:dyDescent="0.2">
      <c r="A2841" s="3">
        <f t="shared" si="46"/>
        <v>5605739</v>
      </c>
      <c r="B2841" t="str">
        <f>"56057390004"</f>
        <v>56057390004</v>
      </c>
      <c r="C2841" t="s">
        <v>3261</v>
      </c>
      <c r="D2841" t="s">
        <v>52</v>
      </c>
      <c r="E2841">
        <v>33</v>
      </c>
      <c r="F2841">
        <v>1810</v>
      </c>
      <c r="G2841" t="s">
        <v>3019</v>
      </c>
      <c r="H2841">
        <v>27</v>
      </c>
      <c r="I2841" t="s">
        <v>34</v>
      </c>
      <c r="J2841">
        <v>19</v>
      </c>
      <c r="K2841" t="s">
        <v>34</v>
      </c>
      <c r="L2841">
        <v>6</v>
      </c>
      <c r="M2841">
        <v>1520</v>
      </c>
      <c r="N2841">
        <v>8</v>
      </c>
    </row>
    <row r="2842" spans="1:14" x14ac:dyDescent="0.2">
      <c r="A2842" s="3">
        <f t="shared" si="46"/>
        <v>5605761</v>
      </c>
      <c r="B2842" t="str">
        <f>"56057610004"</f>
        <v>56057610004</v>
      </c>
      <c r="C2842" t="s">
        <v>3262</v>
      </c>
      <c r="D2842" t="s">
        <v>52</v>
      </c>
      <c r="E2842">
        <v>33</v>
      </c>
      <c r="F2842">
        <v>8249</v>
      </c>
      <c r="G2842" t="s">
        <v>3263</v>
      </c>
      <c r="H2842">
        <v>15</v>
      </c>
      <c r="I2842" t="s">
        <v>34</v>
      </c>
      <c r="J2842">
        <v>10</v>
      </c>
      <c r="K2842" t="s">
        <v>34</v>
      </c>
      <c r="L2842">
        <v>6</v>
      </c>
      <c r="M2842">
        <v>52519</v>
      </c>
      <c r="N2842">
        <v>5</v>
      </c>
    </row>
    <row r="2843" spans="1:14" x14ac:dyDescent="0.2">
      <c r="A2843" s="3">
        <f t="shared" si="46"/>
        <v>5605796</v>
      </c>
      <c r="B2843" t="str">
        <f>"56057960001"</f>
        <v>56057960001</v>
      </c>
      <c r="C2843" t="s">
        <v>3264</v>
      </c>
      <c r="D2843" t="s">
        <v>337</v>
      </c>
      <c r="E2843">
        <v>92</v>
      </c>
      <c r="F2843">
        <v>3872</v>
      </c>
      <c r="G2843" t="s">
        <v>3265</v>
      </c>
      <c r="H2843">
        <v>6</v>
      </c>
      <c r="I2843" t="s">
        <v>34</v>
      </c>
      <c r="J2843">
        <v>4</v>
      </c>
      <c r="K2843" t="s">
        <v>34</v>
      </c>
      <c r="L2843">
        <v>6</v>
      </c>
      <c r="M2843" t="s">
        <v>65</v>
      </c>
      <c r="N2843">
        <v>2</v>
      </c>
    </row>
    <row r="2844" spans="1:14" x14ac:dyDescent="0.2">
      <c r="A2844" s="3">
        <f t="shared" si="46"/>
        <v>5605797</v>
      </c>
      <c r="B2844" t="str">
        <f>"56057970001"</f>
        <v>56057970001</v>
      </c>
      <c r="C2844" t="s">
        <v>3266</v>
      </c>
      <c r="D2844" t="s">
        <v>337</v>
      </c>
      <c r="E2844">
        <v>92</v>
      </c>
      <c r="F2844">
        <v>842</v>
      </c>
      <c r="G2844" t="s">
        <v>665</v>
      </c>
      <c r="H2844">
        <v>4</v>
      </c>
      <c r="I2844" t="s">
        <v>34</v>
      </c>
      <c r="J2844">
        <v>2</v>
      </c>
      <c r="K2844" t="s">
        <v>34</v>
      </c>
      <c r="L2844">
        <v>8</v>
      </c>
      <c r="M2844">
        <v>91114</v>
      </c>
      <c r="N2844">
        <v>2</v>
      </c>
    </row>
    <row r="2845" spans="1:14" x14ac:dyDescent="0.2">
      <c r="A2845" s="3">
        <f t="shared" si="46"/>
        <v>5605807</v>
      </c>
      <c r="B2845" t="str">
        <f>"56058070016"</f>
        <v>56058070016</v>
      </c>
      <c r="C2845" t="s">
        <v>3267</v>
      </c>
      <c r="D2845" t="s">
        <v>67</v>
      </c>
      <c r="E2845">
        <v>72</v>
      </c>
      <c r="F2845">
        <v>4641</v>
      </c>
      <c r="G2845" t="s">
        <v>566</v>
      </c>
      <c r="H2845">
        <v>70</v>
      </c>
      <c r="I2845" t="s">
        <v>34</v>
      </c>
      <c r="J2845">
        <v>56</v>
      </c>
      <c r="K2845" t="s">
        <v>34</v>
      </c>
      <c r="L2845">
        <v>8</v>
      </c>
      <c r="M2845">
        <v>76114</v>
      </c>
      <c r="N2845">
        <v>14</v>
      </c>
    </row>
    <row r="2846" spans="1:14" x14ac:dyDescent="0.2">
      <c r="A2846" s="3">
        <f t="shared" si="46"/>
        <v>5605853</v>
      </c>
      <c r="B2846" t="str">
        <f>"56058530006"</f>
        <v>56058530006</v>
      </c>
      <c r="C2846" t="s">
        <v>3268</v>
      </c>
      <c r="D2846" t="s">
        <v>48</v>
      </c>
      <c r="E2846">
        <v>33</v>
      </c>
      <c r="F2846">
        <v>3730</v>
      </c>
      <c r="G2846" t="s">
        <v>1209</v>
      </c>
      <c r="H2846">
        <v>21</v>
      </c>
      <c r="I2846" t="s">
        <v>34</v>
      </c>
      <c r="J2846">
        <v>15</v>
      </c>
      <c r="K2846" t="s">
        <v>34</v>
      </c>
      <c r="L2846">
        <v>8</v>
      </c>
      <c r="M2846">
        <v>84027</v>
      </c>
      <c r="N2846">
        <v>6</v>
      </c>
    </row>
    <row r="2847" spans="1:14" x14ac:dyDescent="0.2">
      <c r="A2847" s="3">
        <f t="shared" si="46"/>
        <v>5605855</v>
      </c>
      <c r="B2847" t="str">
        <f>"56058550001"</f>
        <v>56058550001</v>
      </c>
      <c r="C2847" t="s">
        <v>3269</v>
      </c>
      <c r="D2847" t="s">
        <v>337</v>
      </c>
      <c r="E2847">
        <v>92</v>
      </c>
      <c r="F2847">
        <v>291</v>
      </c>
      <c r="G2847" t="s">
        <v>3087</v>
      </c>
      <c r="H2847">
        <v>7</v>
      </c>
      <c r="I2847" t="s">
        <v>34</v>
      </c>
      <c r="J2847">
        <v>5</v>
      </c>
      <c r="K2847" t="s">
        <v>34</v>
      </c>
      <c r="L2847">
        <v>8</v>
      </c>
      <c r="M2847">
        <v>91105</v>
      </c>
      <c r="N2847">
        <v>2</v>
      </c>
    </row>
    <row r="2848" spans="1:14" x14ac:dyDescent="0.2">
      <c r="A2848" s="3">
        <f t="shared" si="46"/>
        <v>5605907</v>
      </c>
      <c r="B2848" t="str">
        <f>"56059070012"</f>
        <v>56059070012</v>
      </c>
      <c r="C2848" t="s">
        <v>3270</v>
      </c>
      <c r="D2848" t="s">
        <v>52</v>
      </c>
      <c r="E2848">
        <v>33</v>
      </c>
      <c r="F2848">
        <v>1416</v>
      </c>
      <c r="G2848" t="s">
        <v>3271</v>
      </c>
      <c r="H2848">
        <v>28</v>
      </c>
      <c r="I2848" t="s">
        <v>34</v>
      </c>
      <c r="J2848">
        <v>20</v>
      </c>
      <c r="K2848" t="s">
        <v>34</v>
      </c>
      <c r="L2848">
        <v>6</v>
      </c>
      <c r="M2848">
        <v>52521</v>
      </c>
      <c r="N2848">
        <v>8</v>
      </c>
    </row>
    <row r="2849" spans="1:14" x14ac:dyDescent="0.2">
      <c r="A2849" s="3">
        <f t="shared" si="46"/>
        <v>5605950</v>
      </c>
      <c r="B2849" t="str">
        <f>"56059500012"</f>
        <v>56059500012</v>
      </c>
      <c r="C2849" t="s">
        <v>480</v>
      </c>
      <c r="D2849" t="s">
        <v>36</v>
      </c>
      <c r="E2849">
        <v>51</v>
      </c>
      <c r="F2849">
        <v>2236</v>
      </c>
      <c r="G2849" t="s">
        <v>479</v>
      </c>
      <c r="H2849">
        <v>24</v>
      </c>
      <c r="I2849" t="s">
        <v>25</v>
      </c>
      <c r="J2849">
        <v>20</v>
      </c>
      <c r="K2849" t="s">
        <v>25</v>
      </c>
      <c r="L2849">
        <v>8</v>
      </c>
      <c r="M2849">
        <v>65117</v>
      </c>
      <c r="N2849">
        <v>4</v>
      </c>
    </row>
    <row r="2850" spans="1:14" x14ac:dyDescent="0.2">
      <c r="A2850" s="3">
        <f t="shared" si="46"/>
        <v>5605959</v>
      </c>
      <c r="B2850" t="str">
        <f>"56059590001"</f>
        <v>56059590001</v>
      </c>
      <c r="C2850" t="s">
        <v>3272</v>
      </c>
      <c r="D2850" t="s">
        <v>52</v>
      </c>
      <c r="E2850">
        <v>91</v>
      </c>
      <c r="F2850">
        <v>7611</v>
      </c>
      <c r="G2850" t="s">
        <v>370</v>
      </c>
      <c r="H2850">
        <v>8</v>
      </c>
      <c r="I2850" t="s">
        <v>34</v>
      </c>
      <c r="J2850">
        <v>5</v>
      </c>
      <c r="K2850" t="s">
        <v>34</v>
      </c>
      <c r="L2850">
        <v>8</v>
      </c>
      <c r="M2850" t="s">
        <v>65</v>
      </c>
      <c r="N2850">
        <v>3</v>
      </c>
    </row>
    <row r="2851" spans="1:14" x14ac:dyDescent="0.2">
      <c r="A2851" s="3">
        <f t="shared" si="46"/>
        <v>5605961</v>
      </c>
      <c r="B2851" t="str">
        <f>"56059610006"</f>
        <v>56059610006</v>
      </c>
      <c r="C2851" t="s">
        <v>3273</v>
      </c>
      <c r="D2851" t="s">
        <v>386</v>
      </c>
      <c r="E2851">
        <v>60</v>
      </c>
      <c r="F2851">
        <v>2230</v>
      </c>
      <c r="G2851" t="s">
        <v>1523</v>
      </c>
      <c r="H2851" t="s">
        <v>44</v>
      </c>
      <c r="I2851" t="s">
        <v>45</v>
      </c>
      <c r="J2851" t="s">
        <v>44</v>
      </c>
      <c r="K2851" t="s">
        <v>45</v>
      </c>
      <c r="L2851">
        <v>6</v>
      </c>
      <c r="M2851" t="s">
        <v>65</v>
      </c>
      <c r="N2851" t="s">
        <v>46</v>
      </c>
    </row>
    <row r="2852" spans="1:14" x14ac:dyDescent="0.2">
      <c r="A2852" s="3">
        <f t="shared" si="46"/>
        <v>5605965</v>
      </c>
      <c r="B2852" t="str">
        <f>"56059650024"</f>
        <v>56059650024</v>
      </c>
      <c r="C2852" t="s">
        <v>3274</v>
      </c>
      <c r="D2852" t="s">
        <v>77</v>
      </c>
      <c r="E2852">
        <v>30</v>
      </c>
      <c r="F2852">
        <v>664</v>
      </c>
      <c r="G2852" t="s">
        <v>3275</v>
      </c>
      <c r="H2852">
        <v>60</v>
      </c>
      <c r="I2852" t="s">
        <v>34</v>
      </c>
      <c r="J2852">
        <v>44</v>
      </c>
      <c r="K2852" t="s">
        <v>34</v>
      </c>
      <c r="L2852">
        <v>8</v>
      </c>
      <c r="M2852">
        <v>83028</v>
      </c>
      <c r="N2852">
        <v>16</v>
      </c>
    </row>
    <row r="2853" spans="1:14" x14ac:dyDescent="0.2">
      <c r="A2853" s="3">
        <f t="shared" si="46"/>
        <v>5605967</v>
      </c>
      <c r="B2853" t="str">
        <f>"56059670004"</f>
        <v>56059670004</v>
      </c>
      <c r="C2853" t="s">
        <v>3276</v>
      </c>
      <c r="D2853" t="s">
        <v>52</v>
      </c>
      <c r="E2853">
        <v>33</v>
      </c>
      <c r="F2853">
        <v>6968</v>
      </c>
      <c r="G2853" t="s">
        <v>410</v>
      </c>
      <c r="H2853">
        <v>12</v>
      </c>
      <c r="I2853" t="s">
        <v>34</v>
      </c>
      <c r="J2853">
        <v>8</v>
      </c>
      <c r="K2853" t="s">
        <v>34</v>
      </c>
      <c r="L2853">
        <v>6</v>
      </c>
      <c r="M2853">
        <v>1523</v>
      </c>
      <c r="N2853">
        <v>4</v>
      </c>
    </row>
    <row r="2854" spans="1:14" x14ac:dyDescent="0.2">
      <c r="A2854" s="3">
        <f t="shared" si="46"/>
        <v>5605973</v>
      </c>
      <c r="B2854" t="str">
        <f>"56059730012"</f>
        <v>56059730012</v>
      </c>
      <c r="C2854" t="s">
        <v>3277</v>
      </c>
      <c r="D2854" t="s">
        <v>48</v>
      </c>
      <c r="E2854">
        <v>72</v>
      </c>
      <c r="F2854">
        <v>3734</v>
      </c>
      <c r="G2854" t="s">
        <v>580</v>
      </c>
      <c r="H2854">
        <v>28</v>
      </c>
      <c r="I2854" t="s">
        <v>34</v>
      </c>
      <c r="J2854">
        <v>20</v>
      </c>
      <c r="K2854" t="s">
        <v>34</v>
      </c>
      <c r="L2854">
        <v>8</v>
      </c>
      <c r="M2854">
        <v>76272</v>
      </c>
      <c r="N2854">
        <v>8</v>
      </c>
    </row>
    <row r="2855" spans="1:14" x14ac:dyDescent="0.2">
      <c r="A2855" s="3">
        <f t="shared" si="46"/>
        <v>5606045</v>
      </c>
      <c r="B2855" t="str">
        <f>"56060450006"</f>
        <v>56060450006</v>
      </c>
      <c r="C2855" t="s">
        <v>3278</v>
      </c>
      <c r="D2855" t="s">
        <v>386</v>
      </c>
      <c r="E2855">
        <v>60</v>
      </c>
      <c r="F2855">
        <v>1808</v>
      </c>
      <c r="G2855" t="s">
        <v>925</v>
      </c>
      <c r="H2855" t="s">
        <v>44</v>
      </c>
      <c r="I2855" t="s">
        <v>45</v>
      </c>
      <c r="J2855" t="s">
        <v>44</v>
      </c>
      <c r="K2855" t="s">
        <v>45</v>
      </c>
      <c r="L2855">
        <v>8</v>
      </c>
      <c r="M2855">
        <v>61186</v>
      </c>
      <c r="N2855" t="s">
        <v>46</v>
      </c>
    </row>
    <row r="2856" spans="1:14" x14ac:dyDescent="0.2">
      <c r="A2856" s="3">
        <f t="shared" si="46"/>
        <v>5606064</v>
      </c>
      <c r="B2856" t="str">
        <f>"56060640006"</f>
        <v>56060640006</v>
      </c>
      <c r="C2856" t="s">
        <v>3279</v>
      </c>
      <c r="D2856" t="s">
        <v>386</v>
      </c>
      <c r="E2856">
        <v>60</v>
      </c>
      <c r="F2856">
        <v>457</v>
      </c>
      <c r="G2856" t="s">
        <v>2942</v>
      </c>
      <c r="H2856" t="s">
        <v>44</v>
      </c>
      <c r="I2856" t="s">
        <v>45</v>
      </c>
      <c r="J2856" t="s">
        <v>44</v>
      </c>
      <c r="K2856" t="s">
        <v>45</v>
      </c>
      <c r="L2856">
        <v>8</v>
      </c>
      <c r="M2856">
        <v>61214</v>
      </c>
      <c r="N2856" t="s">
        <v>46</v>
      </c>
    </row>
    <row r="2857" spans="1:14" x14ac:dyDescent="0.2">
      <c r="A2857" s="3">
        <f t="shared" si="46"/>
        <v>5606098</v>
      </c>
      <c r="B2857" t="str">
        <f>"56060980012"</f>
        <v>56060980012</v>
      </c>
      <c r="C2857" t="s">
        <v>3280</v>
      </c>
      <c r="D2857" t="s">
        <v>52</v>
      </c>
      <c r="E2857">
        <v>33</v>
      </c>
      <c r="F2857">
        <v>1416</v>
      </c>
      <c r="G2857" t="s">
        <v>3271</v>
      </c>
      <c r="H2857">
        <v>28</v>
      </c>
      <c r="I2857" t="s">
        <v>34</v>
      </c>
      <c r="J2857">
        <v>20</v>
      </c>
      <c r="K2857" t="s">
        <v>34</v>
      </c>
      <c r="L2857">
        <v>6</v>
      </c>
      <c r="M2857">
        <v>52522</v>
      </c>
      <c r="N2857">
        <v>8</v>
      </c>
    </row>
    <row r="2858" spans="1:14" x14ac:dyDescent="0.2">
      <c r="A2858" s="3">
        <f t="shared" si="46"/>
        <v>5606127</v>
      </c>
      <c r="B2858" t="str">
        <f>"56061270001"</f>
        <v>56061270001</v>
      </c>
      <c r="C2858" t="s">
        <v>3281</v>
      </c>
      <c r="D2858" t="s">
        <v>337</v>
      </c>
      <c r="E2858">
        <v>91</v>
      </c>
      <c r="F2858">
        <v>1783</v>
      </c>
      <c r="G2858" t="s">
        <v>3282</v>
      </c>
      <c r="H2858">
        <v>6</v>
      </c>
      <c r="I2858" t="s">
        <v>34</v>
      </c>
      <c r="J2858">
        <v>4</v>
      </c>
      <c r="K2858" t="s">
        <v>34</v>
      </c>
      <c r="L2858">
        <v>8</v>
      </c>
      <c r="M2858">
        <v>91073</v>
      </c>
      <c r="N2858">
        <v>2</v>
      </c>
    </row>
    <row r="2859" spans="1:14" x14ac:dyDescent="0.2">
      <c r="A2859" s="3">
        <f t="shared" si="46"/>
        <v>5606130</v>
      </c>
      <c r="B2859" t="str">
        <f>"56061300004"</f>
        <v>56061300004</v>
      </c>
      <c r="C2859" t="s">
        <v>3283</v>
      </c>
      <c r="D2859" t="s">
        <v>52</v>
      </c>
      <c r="E2859">
        <v>33</v>
      </c>
      <c r="F2859">
        <v>114</v>
      </c>
      <c r="G2859" t="s">
        <v>1128</v>
      </c>
      <c r="H2859">
        <v>21</v>
      </c>
      <c r="I2859" t="s">
        <v>34</v>
      </c>
      <c r="J2859">
        <v>15</v>
      </c>
      <c r="K2859" t="s">
        <v>34</v>
      </c>
      <c r="L2859">
        <v>6</v>
      </c>
      <c r="M2859">
        <v>3503</v>
      </c>
      <c r="N2859">
        <v>6</v>
      </c>
    </row>
    <row r="2860" spans="1:14" x14ac:dyDescent="0.2">
      <c r="A2860" s="3">
        <f t="shared" si="46"/>
        <v>5606142</v>
      </c>
      <c r="B2860" t="str">
        <f>"56061420004"</f>
        <v>56061420004</v>
      </c>
      <c r="C2860" t="s">
        <v>3284</v>
      </c>
      <c r="D2860" t="s">
        <v>52</v>
      </c>
      <c r="E2860">
        <v>33</v>
      </c>
      <c r="F2860">
        <v>114</v>
      </c>
      <c r="G2860" t="s">
        <v>1128</v>
      </c>
      <c r="H2860">
        <v>21</v>
      </c>
      <c r="I2860" t="s">
        <v>34</v>
      </c>
      <c r="J2860">
        <v>15</v>
      </c>
      <c r="K2860" t="s">
        <v>34</v>
      </c>
      <c r="L2860">
        <v>6</v>
      </c>
      <c r="M2860">
        <v>1503</v>
      </c>
      <c r="N2860">
        <v>6</v>
      </c>
    </row>
    <row r="2861" spans="1:14" x14ac:dyDescent="0.2">
      <c r="A2861" s="3">
        <f t="shared" si="46"/>
        <v>5606144</v>
      </c>
      <c r="B2861" t="str">
        <f>"56061440004"</f>
        <v>56061440004</v>
      </c>
      <c r="C2861" t="s">
        <v>3285</v>
      </c>
      <c r="D2861" t="s">
        <v>52</v>
      </c>
      <c r="E2861">
        <v>33</v>
      </c>
      <c r="F2861">
        <v>114</v>
      </c>
      <c r="G2861" t="s">
        <v>1128</v>
      </c>
      <c r="H2861">
        <v>21</v>
      </c>
      <c r="I2861" t="s">
        <v>34</v>
      </c>
      <c r="J2861">
        <v>15</v>
      </c>
      <c r="K2861" t="s">
        <v>34</v>
      </c>
      <c r="L2861">
        <v>6</v>
      </c>
      <c r="M2861">
        <v>1504</v>
      </c>
      <c r="N2861">
        <v>6</v>
      </c>
    </row>
    <row r="2862" spans="1:14" x14ac:dyDescent="0.2">
      <c r="A2862" s="3">
        <f t="shared" si="46"/>
        <v>5606145</v>
      </c>
      <c r="B2862" t="str">
        <f>"56061450001"</f>
        <v>56061450001</v>
      </c>
      <c r="C2862" t="s">
        <v>3286</v>
      </c>
      <c r="D2862" t="s">
        <v>337</v>
      </c>
      <c r="E2862">
        <v>91</v>
      </c>
      <c r="F2862">
        <v>8018</v>
      </c>
      <c r="G2862" t="s">
        <v>322</v>
      </c>
      <c r="H2862">
        <v>6</v>
      </c>
      <c r="I2862" t="s">
        <v>34</v>
      </c>
      <c r="J2862">
        <v>4</v>
      </c>
      <c r="K2862" t="s">
        <v>34</v>
      </c>
      <c r="L2862">
        <v>8</v>
      </c>
      <c r="M2862">
        <v>91054</v>
      </c>
      <c r="N2862">
        <v>2</v>
      </c>
    </row>
    <row r="2863" spans="1:14" x14ac:dyDescent="0.2">
      <c r="A2863" s="3">
        <f t="shared" si="46"/>
        <v>5606147</v>
      </c>
      <c r="B2863" t="str">
        <f>"56061470010"</f>
        <v>56061470010</v>
      </c>
      <c r="C2863" t="s">
        <v>3287</v>
      </c>
      <c r="D2863" t="s">
        <v>1124</v>
      </c>
      <c r="E2863">
        <v>73</v>
      </c>
      <c r="F2863">
        <v>8086</v>
      </c>
      <c r="G2863" t="s">
        <v>290</v>
      </c>
      <c r="H2863">
        <v>16</v>
      </c>
      <c r="I2863" t="s">
        <v>25</v>
      </c>
      <c r="J2863">
        <v>13</v>
      </c>
      <c r="K2863" t="s">
        <v>25</v>
      </c>
      <c r="L2863">
        <v>8</v>
      </c>
      <c r="M2863">
        <v>99663</v>
      </c>
      <c r="N2863">
        <v>1</v>
      </c>
    </row>
    <row r="2864" spans="1:14" x14ac:dyDescent="0.2">
      <c r="A2864" s="3">
        <f t="shared" si="46"/>
        <v>5606147</v>
      </c>
      <c r="B2864" t="str">
        <f>"56061470010"</f>
        <v>56061470010</v>
      </c>
      <c r="C2864" t="s">
        <v>3287</v>
      </c>
      <c r="D2864" t="s">
        <v>1124</v>
      </c>
      <c r="E2864">
        <v>73</v>
      </c>
      <c r="F2864">
        <v>472</v>
      </c>
      <c r="G2864" t="s">
        <v>1125</v>
      </c>
      <c r="H2864">
        <v>16</v>
      </c>
      <c r="I2864" t="s">
        <v>25</v>
      </c>
      <c r="J2864">
        <v>13</v>
      </c>
      <c r="K2864" t="s">
        <v>25</v>
      </c>
      <c r="L2864">
        <v>8</v>
      </c>
      <c r="M2864">
        <v>99663</v>
      </c>
      <c r="N2864">
        <v>1</v>
      </c>
    </row>
    <row r="2865" spans="1:14" x14ac:dyDescent="0.2">
      <c r="A2865" s="3">
        <f t="shared" si="46"/>
        <v>5606148</v>
      </c>
      <c r="B2865" t="str">
        <f>"56061480006"</f>
        <v>56061480006</v>
      </c>
      <c r="C2865" t="s">
        <v>3288</v>
      </c>
      <c r="D2865" t="s">
        <v>289</v>
      </c>
      <c r="E2865">
        <v>73</v>
      </c>
      <c r="F2865">
        <v>8086</v>
      </c>
      <c r="G2865" t="s">
        <v>290</v>
      </c>
      <c r="H2865">
        <v>16</v>
      </c>
      <c r="I2865" t="s">
        <v>25</v>
      </c>
      <c r="J2865">
        <v>13</v>
      </c>
      <c r="K2865" t="s">
        <v>25</v>
      </c>
      <c r="L2865">
        <v>8</v>
      </c>
      <c r="M2865">
        <v>86080</v>
      </c>
      <c r="N2865">
        <v>1</v>
      </c>
    </row>
    <row r="2866" spans="1:14" x14ac:dyDescent="0.2">
      <c r="A2866" s="3">
        <f t="shared" si="46"/>
        <v>5606148</v>
      </c>
      <c r="B2866" t="str">
        <f>"56061480006"</f>
        <v>56061480006</v>
      </c>
      <c r="C2866" t="s">
        <v>3288</v>
      </c>
      <c r="D2866" t="s">
        <v>289</v>
      </c>
      <c r="E2866">
        <v>73</v>
      </c>
      <c r="F2866">
        <v>472</v>
      </c>
      <c r="G2866" t="s">
        <v>1125</v>
      </c>
      <c r="H2866">
        <v>16</v>
      </c>
      <c r="I2866" t="s">
        <v>25</v>
      </c>
      <c r="J2866">
        <v>13</v>
      </c>
      <c r="K2866" t="s">
        <v>25</v>
      </c>
      <c r="L2866">
        <v>8</v>
      </c>
      <c r="M2866">
        <v>86080</v>
      </c>
      <c r="N2866">
        <v>1</v>
      </c>
    </row>
    <row r="2867" spans="1:14" x14ac:dyDescent="0.2">
      <c r="A2867" s="3">
        <f t="shared" si="46"/>
        <v>5606152</v>
      </c>
      <c r="B2867" t="str">
        <f>"56061520006"</f>
        <v>56061520006</v>
      </c>
      <c r="C2867" t="s">
        <v>3289</v>
      </c>
      <c r="D2867" t="s">
        <v>289</v>
      </c>
      <c r="E2867">
        <v>73</v>
      </c>
      <c r="F2867">
        <v>8086</v>
      </c>
      <c r="G2867" t="s">
        <v>290</v>
      </c>
      <c r="H2867">
        <v>16</v>
      </c>
      <c r="I2867" t="s">
        <v>25</v>
      </c>
      <c r="J2867">
        <v>13</v>
      </c>
      <c r="K2867" t="s">
        <v>25</v>
      </c>
      <c r="L2867">
        <v>8</v>
      </c>
      <c r="M2867">
        <v>86081</v>
      </c>
      <c r="N2867">
        <v>1</v>
      </c>
    </row>
    <row r="2868" spans="1:14" x14ac:dyDescent="0.2">
      <c r="A2868" s="3">
        <f t="shared" si="46"/>
        <v>5606152</v>
      </c>
      <c r="B2868" t="str">
        <f>"56061520006"</f>
        <v>56061520006</v>
      </c>
      <c r="C2868" t="s">
        <v>3289</v>
      </c>
      <c r="D2868" t="s">
        <v>289</v>
      </c>
      <c r="E2868">
        <v>73</v>
      </c>
      <c r="F2868">
        <v>472</v>
      </c>
      <c r="G2868" t="s">
        <v>1125</v>
      </c>
      <c r="H2868">
        <v>16</v>
      </c>
      <c r="I2868" t="s">
        <v>25</v>
      </c>
      <c r="J2868">
        <v>13</v>
      </c>
      <c r="K2868" t="s">
        <v>25</v>
      </c>
      <c r="L2868">
        <v>8</v>
      </c>
      <c r="M2868">
        <v>86081</v>
      </c>
      <c r="N2868">
        <v>1</v>
      </c>
    </row>
    <row r="2869" spans="1:14" x14ac:dyDescent="0.2">
      <c r="A2869" s="3">
        <f t="shared" si="46"/>
        <v>5606239</v>
      </c>
      <c r="B2869" t="str">
        <f>"56062390006"</f>
        <v>56062390006</v>
      </c>
      <c r="C2869" t="s">
        <v>3290</v>
      </c>
      <c r="D2869" t="s">
        <v>386</v>
      </c>
      <c r="E2869">
        <v>60</v>
      </c>
      <c r="F2869">
        <v>943</v>
      </c>
      <c r="G2869" t="s">
        <v>794</v>
      </c>
      <c r="H2869" t="s">
        <v>44</v>
      </c>
      <c r="I2869" t="s">
        <v>45</v>
      </c>
      <c r="J2869" t="s">
        <v>44</v>
      </c>
      <c r="K2869" t="s">
        <v>45</v>
      </c>
      <c r="L2869">
        <v>8</v>
      </c>
      <c r="M2869">
        <v>61225</v>
      </c>
      <c r="N2869" t="s">
        <v>46</v>
      </c>
    </row>
    <row r="2870" spans="1:14" x14ac:dyDescent="0.2">
      <c r="A2870" s="3">
        <f t="shared" si="46"/>
        <v>5606346</v>
      </c>
      <c r="B2870" t="str">
        <f>"56063460075"</f>
        <v>56063460075</v>
      </c>
      <c r="C2870" t="s">
        <v>3291</v>
      </c>
      <c r="D2870" t="s">
        <v>52</v>
      </c>
      <c r="E2870">
        <v>40</v>
      </c>
      <c r="F2870">
        <v>8003</v>
      </c>
      <c r="G2870" t="s">
        <v>164</v>
      </c>
      <c r="H2870">
        <v>50</v>
      </c>
      <c r="I2870" t="s">
        <v>34</v>
      </c>
      <c r="J2870">
        <v>37</v>
      </c>
      <c r="K2870" t="s">
        <v>34</v>
      </c>
      <c r="L2870">
        <v>6</v>
      </c>
      <c r="M2870">
        <v>52610</v>
      </c>
      <c r="N2870">
        <v>13</v>
      </c>
    </row>
    <row r="2871" spans="1:14" x14ac:dyDescent="0.2">
      <c r="A2871" s="3">
        <f t="shared" si="46"/>
        <v>5606350</v>
      </c>
      <c r="B2871" t="str">
        <f>"56063500001"</f>
        <v>56063500001</v>
      </c>
      <c r="C2871" t="s">
        <v>3292</v>
      </c>
      <c r="D2871" t="s">
        <v>337</v>
      </c>
      <c r="E2871">
        <v>91</v>
      </c>
      <c r="F2871">
        <v>8018</v>
      </c>
      <c r="G2871" t="s">
        <v>322</v>
      </c>
      <c r="H2871">
        <v>6</v>
      </c>
      <c r="I2871" t="s">
        <v>34</v>
      </c>
      <c r="J2871">
        <v>4</v>
      </c>
      <c r="K2871" t="s">
        <v>34</v>
      </c>
      <c r="L2871">
        <v>8</v>
      </c>
      <c r="M2871">
        <v>91058</v>
      </c>
      <c r="N2871">
        <v>2</v>
      </c>
    </row>
    <row r="2872" spans="1:14" x14ac:dyDescent="0.2">
      <c r="A2872" s="3">
        <f t="shared" si="46"/>
        <v>5606360</v>
      </c>
      <c r="B2872" t="str">
        <f>"56063600010"</f>
        <v>56063600010</v>
      </c>
      <c r="C2872" t="s">
        <v>3293</v>
      </c>
      <c r="D2872" t="s">
        <v>289</v>
      </c>
      <c r="E2872">
        <v>20</v>
      </c>
      <c r="F2872">
        <v>8086</v>
      </c>
      <c r="G2872" t="s">
        <v>290</v>
      </c>
      <c r="H2872">
        <v>15</v>
      </c>
      <c r="I2872" t="s">
        <v>25</v>
      </c>
      <c r="J2872">
        <v>11</v>
      </c>
      <c r="K2872" t="s">
        <v>25</v>
      </c>
      <c r="L2872">
        <v>8</v>
      </c>
      <c r="M2872">
        <v>87028</v>
      </c>
      <c r="N2872">
        <v>4</v>
      </c>
    </row>
    <row r="2873" spans="1:14" x14ac:dyDescent="0.2">
      <c r="A2873" s="3">
        <f t="shared" si="46"/>
        <v>5606360</v>
      </c>
      <c r="B2873" t="str">
        <f>"56063600010"</f>
        <v>56063600010</v>
      </c>
      <c r="C2873" t="s">
        <v>3293</v>
      </c>
      <c r="D2873" t="s">
        <v>289</v>
      </c>
      <c r="E2873">
        <v>20</v>
      </c>
      <c r="F2873">
        <v>1769</v>
      </c>
      <c r="G2873" t="s">
        <v>3096</v>
      </c>
      <c r="H2873">
        <v>15</v>
      </c>
      <c r="I2873" t="s">
        <v>25</v>
      </c>
      <c r="J2873">
        <v>11</v>
      </c>
      <c r="K2873" t="s">
        <v>25</v>
      </c>
      <c r="L2873">
        <v>8</v>
      </c>
      <c r="M2873">
        <v>87028</v>
      </c>
      <c r="N2873">
        <v>4</v>
      </c>
    </row>
    <row r="2874" spans="1:14" x14ac:dyDescent="0.2">
      <c r="A2874" s="3">
        <f t="shared" si="46"/>
        <v>5606361</v>
      </c>
      <c r="B2874" t="str">
        <f>"56063610001"</f>
        <v>56063610001</v>
      </c>
      <c r="C2874" t="s">
        <v>3294</v>
      </c>
      <c r="D2874" t="s">
        <v>337</v>
      </c>
      <c r="E2874">
        <v>91</v>
      </c>
      <c r="F2874">
        <v>8018</v>
      </c>
      <c r="G2874" t="s">
        <v>322</v>
      </c>
      <c r="H2874">
        <v>6</v>
      </c>
      <c r="I2874" t="s">
        <v>34</v>
      </c>
      <c r="J2874">
        <v>4</v>
      </c>
      <c r="K2874" t="s">
        <v>34</v>
      </c>
      <c r="L2874">
        <v>8</v>
      </c>
      <c r="M2874">
        <v>91082</v>
      </c>
      <c r="N2874">
        <v>2</v>
      </c>
    </row>
    <row r="2875" spans="1:14" x14ac:dyDescent="0.2">
      <c r="A2875" s="3">
        <f t="shared" si="46"/>
        <v>5606364</v>
      </c>
      <c r="B2875" t="str">
        <f>"56063640001"</f>
        <v>56063640001</v>
      </c>
      <c r="C2875" t="s">
        <v>3295</v>
      </c>
      <c r="D2875" t="s">
        <v>337</v>
      </c>
      <c r="E2875">
        <v>91</v>
      </c>
      <c r="F2875">
        <v>326</v>
      </c>
      <c r="G2875" t="s">
        <v>1234</v>
      </c>
      <c r="H2875">
        <v>10</v>
      </c>
      <c r="I2875" t="s">
        <v>34</v>
      </c>
      <c r="J2875">
        <v>7</v>
      </c>
      <c r="K2875" t="s">
        <v>34</v>
      </c>
      <c r="L2875">
        <v>8</v>
      </c>
      <c r="M2875">
        <v>91039</v>
      </c>
      <c r="N2875">
        <v>2</v>
      </c>
    </row>
    <row r="2876" spans="1:14" x14ac:dyDescent="0.2">
      <c r="A2876" s="3">
        <f t="shared" si="46"/>
        <v>5606371</v>
      </c>
      <c r="B2876" t="str">
        <f>"56063710012"</f>
        <v>56063710012</v>
      </c>
      <c r="C2876" t="s">
        <v>3296</v>
      </c>
      <c r="D2876" t="s">
        <v>52</v>
      </c>
      <c r="E2876">
        <v>20</v>
      </c>
      <c r="F2876">
        <v>8086</v>
      </c>
      <c r="G2876" t="s">
        <v>290</v>
      </c>
      <c r="H2876">
        <v>12</v>
      </c>
      <c r="I2876" t="s">
        <v>25</v>
      </c>
      <c r="J2876">
        <v>9</v>
      </c>
      <c r="K2876" t="s">
        <v>25</v>
      </c>
      <c r="L2876">
        <v>6</v>
      </c>
      <c r="M2876">
        <v>99713</v>
      </c>
      <c r="N2876">
        <v>3</v>
      </c>
    </row>
    <row r="2877" spans="1:14" x14ac:dyDescent="0.2">
      <c r="A2877" s="3">
        <f t="shared" si="46"/>
        <v>5606371</v>
      </c>
      <c r="B2877" t="str">
        <f>"56063710012"</f>
        <v>56063710012</v>
      </c>
      <c r="C2877" t="s">
        <v>3296</v>
      </c>
      <c r="D2877" t="s">
        <v>52</v>
      </c>
      <c r="E2877">
        <v>20</v>
      </c>
      <c r="F2877">
        <v>571</v>
      </c>
      <c r="G2877" t="s">
        <v>3039</v>
      </c>
      <c r="H2877">
        <v>12</v>
      </c>
      <c r="I2877" t="s">
        <v>25</v>
      </c>
      <c r="J2877">
        <v>9</v>
      </c>
      <c r="K2877" t="s">
        <v>25</v>
      </c>
      <c r="L2877">
        <v>6</v>
      </c>
      <c r="M2877">
        <v>99713</v>
      </c>
      <c r="N2877">
        <v>3</v>
      </c>
    </row>
    <row r="2878" spans="1:14" x14ac:dyDescent="0.2">
      <c r="A2878" s="3">
        <f t="shared" si="46"/>
        <v>5606429</v>
      </c>
      <c r="B2878" t="str">
        <f>"56064290012"</f>
        <v>56064290012</v>
      </c>
      <c r="C2878" t="s">
        <v>3297</v>
      </c>
      <c r="D2878" t="s">
        <v>36</v>
      </c>
      <c r="E2878">
        <v>70</v>
      </c>
      <c r="F2878">
        <v>3222</v>
      </c>
      <c r="G2878" t="s">
        <v>555</v>
      </c>
      <c r="H2878">
        <v>8</v>
      </c>
      <c r="I2878" t="s">
        <v>25</v>
      </c>
      <c r="J2878">
        <v>6</v>
      </c>
      <c r="K2878" t="s">
        <v>25</v>
      </c>
      <c r="L2878">
        <v>8</v>
      </c>
      <c r="M2878">
        <v>72175</v>
      </c>
      <c r="N2878">
        <v>2</v>
      </c>
    </row>
    <row r="2879" spans="1:14" x14ac:dyDescent="0.2">
      <c r="A2879" s="3">
        <f t="shared" si="46"/>
        <v>5606430</v>
      </c>
      <c r="B2879" t="str">
        <f>"56064300015"</f>
        <v>56064300015</v>
      </c>
      <c r="C2879" t="s">
        <v>3060</v>
      </c>
      <c r="D2879" t="s">
        <v>52</v>
      </c>
      <c r="E2879">
        <v>32</v>
      </c>
      <c r="F2879">
        <v>1605</v>
      </c>
      <c r="G2879" t="s">
        <v>128</v>
      </c>
      <c r="H2879">
        <v>50</v>
      </c>
      <c r="I2879" t="s">
        <v>34</v>
      </c>
      <c r="J2879">
        <v>37</v>
      </c>
      <c r="K2879" t="s">
        <v>34</v>
      </c>
      <c r="L2879">
        <v>5</v>
      </c>
      <c r="M2879" t="s">
        <v>65</v>
      </c>
      <c r="N2879">
        <v>13</v>
      </c>
    </row>
    <row r="2880" spans="1:14" x14ac:dyDescent="0.2">
      <c r="A2880" s="3">
        <f t="shared" si="46"/>
        <v>5606432</v>
      </c>
      <c r="B2880" t="str">
        <f>"56064320008"</f>
        <v>56064320008</v>
      </c>
      <c r="C2880" t="s">
        <v>3298</v>
      </c>
      <c r="D2880" t="s">
        <v>52</v>
      </c>
      <c r="E2880">
        <v>20</v>
      </c>
      <c r="F2880">
        <v>8086</v>
      </c>
      <c r="G2880" t="s">
        <v>290</v>
      </c>
      <c r="H2880">
        <v>9</v>
      </c>
      <c r="I2880" t="s">
        <v>25</v>
      </c>
      <c r="J2880">
        <v>7</v>
      </c>
      <c r="K2880" t="s">
        <v>25</v>
      </c>
      <c r="L2880">
        <v>6</v>
      </c>
      <c r="M2880">
        <v>99717</v>
      </c>
      <c r="N2880">
        <v>2</v>
      </c>
    </row>
    <row r="2881" spans="1:14" x14ac:dyDescent="0.2">
      <c r="A2881" s="3">
        <f t="shared" si="46"/>
        <v>5606432</v>
      </c>
      <c r="B2881" t="str">
        <f>"56064320008"</f>
        <v>56064320008</v>
      </c>
      <c r="C2881" t="s">
        <v>3298</v>
      </c>
      <c r="D2881" t="s">
        <v>52</v>
      </c>
      <c r="E2881">
        <v>20</v>
      </c>
      <c r="F2881">
        <v>2242</v>
      </c>
      <c r="G2881" t="s">
        <v>3299</v>
      </c>
      <c r="H2881">
        <v>9</v>
      </c>
      <c r="I2881" t="s">
        <v>25</v>
      </c>
      <c r="J2881">
        <v>7</v>
      </c>
      <c r="K2881" t="s">
        <v>25</v>
      </c>
      <c r="L2881">
        <v>6</v>
      </c>
      <c r="M2881">
        <v>99717</v>
      </c>
      <c r="N2881">
        <v>2</v>
      </c>
    </row>
    <row r="2882" spans="1:14" x14ac:dyDescent="0.2">
      <c r="A2882" s="3">
        <f t="shared" si="46"/>
        <v>5606433</v>
      </c>
      <c r="B2882" t="str">
        <f>"56064330010"</f>
        <v>56064330010</v>
      </c>
      <c r="C2882" t="s">
        <v>3300</v>
      </c>
      <c r="D2882" t="s">
        <v>52</v>
      </c>
      <c r="E2882">
        <v>20</v>
      </c>
      <c r="F2882">
        <v>8086</v>
      </c>
      <c r="G2882" t="s">
        <v>290</v>
      </c>
      <c r="H2882">
        <v>9</v>
      </c>
      <c r="I2882" t="s">
        <v>25</v>
      </c>
      <c r="J2882">
        <v>7</v>
      </c>
      <c r="K2882" t="s">
        <v>25</v>
      </c>
      <c r="L2882">
        <v>6</v>
      </c>
      <c r="M2882">
        <v>99718</v>
      </c>
      <c r="N2882">
        <v>2</v>
      </c>
    </row>
    <row r="2883" spans="1:14" x14ac:dyDescent="0.2">
      <c r="A2883" s="3">
        <f t="shared" si="46"/>
        <v>5606433</v>
      </c>
      <c r="B2883" t="str">
        <f>"56064330010"</f>
        <v>56064330010</v>
      </c>
      <c r="C2883" t="s">
        <v>3300</v>
      </c>
      <c r="D2883" t="s">
        <v>52</v>
      </c>
      <c r="E2883">
        <v>20</v>
      </c>
      <c r="F2883">
        <v>2242</v>
      </c>
      <c r="G2883" t="s">
        <v>3299</v>
      </c>
      <c r="H2883">
        <v>9</v>
      </c>
      <c r="I2883" t="s">
        <v>25</v>
      </c>
      <c r="J2883">
        <v>7</v>
      </c>
      <c r="K2883" t="s">
        <v>25</v>
      </c>
      <c r="L2883">
        <v>6</v>
      </c>
      <c r="M2883">
        <v>99718</v>
      </c>
      <c r="N2883">
        <v>2</v>
      </c>
    </row>
    <row r="2884" spans="1:14" x14ac:dyDescent="0.2">
      <c r="A2884" s="3">
        <f t="shared" ref="A2884:A2947" si="47">(B2884-RIGHT(B2884,4))/10000</f>
        <v>5606434</v>
      </c>
      <c r="B2884" t="str">
        <f>"56064340008"</f>
        <v>56064340008</v>
      </c>
      <c r="C2884" t="s">
        <v>3301</v>
      </c>
      <c r="D2884" t="s">
        <v>52</v>
      </c>
      <c r="E2884">
        <v>20</v>
      </c>
      <c r="F2884">
        <v>8086</v>
      </c>
      <c r="G2884" t="s">
        <v>290</v>
      </c>
      <c r="H2884">
        <v>9</v>
      </c>
      <c r="I2884" t="s">
        <v>25</v>
      </c>
      <c r="J2884">
        <v>7</v>
      </c>
      <c r="K2884" t="s">
        <v>25</v>
      </c>
      <c r="L2884">
        <v>6</v>
      </c>
      <c r="M2884">
        <v>99719</v>
      </c>
      <c r="N2884">
        <v>2</v>
      </c>
    </row>
    <row r="2885" spans="1:14" x14ac:dyDescent="0.2">
      <c r="A2885" s="3">
        <f t="shared" si="47"/>
        <v>5606434</v>
      </c>
      <c r="B2885" t="str">
        <f>"56064340008"</f>
        <v>56064340008</v>
      </c>
      <c r="C2885" t="s">
        <v>3301</v>
      </c>
      <c r="D2885" t="s">
        <v>52</v>
      </c>
      <c r="E2885">
        <v>20</v>
      </c>
      <c r="F2885">
        <v>2242</v>
      </c>
      <c r="G2885" t="s">
        <v>3299</v>
      </c>
      <c r="H2885">
        <v>9</v>
      </c>
      <c r="I2885" t="s">
        <v>25</v>
      </c>
      <c r="J2885">
        <v>7</v>
      </c>
      <c r="K2885" t="s">
        <v>25</v>
      </c>
      <c r="L2885">
        <v>6</v>
      </c>
      <c r="M2885">
        <v>99719</v>
      </c>
      <c r="N2885">
        <v>2</v>
      </c>
    </row>
    <row r="2886" spans="1:14" x14ac:dyDescent="0.2">
      <c r="A2886" s="3">
        <f t="shared" si="47"/>
        <v>5606435</v>
      </c>
      <c r="B2886" t="str">
        <f>"56064350010"</f>
        <v>56064350010</v>
      </c>
      <c r="C2886" t="s">
        <v>3302</v>
      </c>
      <c r="D2886" t="s">
        <v>52</v>
      </c>
      <c r="E2886">
        <v>20</v>
      </c>
      <c r="F2886">
        <v>8086</v>
      </c>
      <c r="G2886" t="s">
        <v>290</v>
      </c>
      <c r="H2886">
        <v>9</v>
      </c>
      <c r="I2886" t="s">
        <v>25</v>
      </c>
      <c r="J2886">
        <v>7</v>
      </c>
      <c r="K2886" t="s">
        <v>25</v>
      </c>
      <c r="L2886">
        <v>6</v>
      </c>
      <c r="M2886">
        <v>99720</v>
      </c>
      <c r="N2886">
        <v>2</v>
      </c>
    </row>
    <row r="2887" spans="1:14" x14ac:dyDescent="0.2">
      <c r="A2887" s="3">
        <f t="shared" si="47"/>
        <v>5606435</v>
      </c>
      <c r="B2887" t="str">
        <f>"56064350010"</f>
        <v>56064350010</v>
      </c>
      <c r="C2887" t="s">
        <v>3302</v>
      </c>
      <c r="D2887" t="s">
        <v>52</v>
      </c>
      <c r="E2887">
        <v>20</v>
      </c>
      <c r="F2887">
        <v>2242</v>
      </c>
      <c r="G2887" t="s">
        <v>3299</v>
      </c>
      <c r="H2887">
        <v>9</v>
      </c>
      <c r="I2887" t="s">
        <v>25</v>
      </c>
      <c r="J2887">
        <v>7</v>
      </c>
      <c r="K2887" t="s">
        <v>25</v>
      </c>
      <c r="L2887">
        <v>6</v>
      </c>
      <c r="M2887">
        <v>99720</v>
      </c>
      <c r="N2887">
        <v>2</v>
      </c>
    </row>
    <row r="2888" spans="1:14" x14ac:dyDescent="0.2">
      <c r="A2888" s="3">
        <f t="shared" si="47"/>
        <v>5606446</v>
      </c>
      <c r="B2888" t="str">
        <f>"56064460016"</f>
        <v>56064460016</v>
      </c>
      <c r="C2888" t="s">
        <v>3303</v>
      </c>
      <c r="D2888" t="s">
        <v>77</v>
      </c>
      <c r="E2888">
        <v>32</v>
      </c>
      <c r="F2888">
        <v>3633</v>
      </c>
      <c r="G2888" t="s">
        <v>3304</v>
      </c>
      <c r="H2888">
        <v>55</v>
      </c>
      <c r="I2888" t="s">
        <v>34</v>
      </c>
      <c r="J2888">
        <v>40</v>
      </c>
      <c r="K2888" t="s">
        <v>34</v>
      </c>
      <c r="L2888">
        <v>8</v>
      </c>
      <c r="M2888">
        <v>81177</v>
      </c>
      <c r="N2888">
        <v>15</v>
      </c>
    </row>
    <row r="2889" spans="1:14" x14ac:dyDescent="0.2">
      <c r="A2889" s="3">
        <f t="shared" si="47"/>
        <v>5606451</v>
      </c>
      <c r="B2889" t="str">
        <f>"56064510012"</f>
        <v>56064510012</v>
      </c>
      <c r="C2889" t="s">
        <v>3305</v>
      </c>
      <c r="D2889" t="s">
        <v>52</v>
      </c>
      <c r="E2889">
        <v>30</v>
      </c>
      <c r="F2889">
        <v>460</v>
      </c>
      <c r="G2889" t="s">
        <v>3124</v>
      </c>
      <c r="H2889">
        <v>40</v>
      </c>
      <c r="I2889" t="s">
        <v>34</v>
      </c>
      <c r="J2889">
        <v>30</v>
      </c>
      <c r="K2889" t="s">
        <v>34</v>
      </c>
      <c r="L2889">
        <v>6</v>
      </c>
      <c r="M2889">
        <v>1510</v>
      </c>
      <c r="N2889">
        <v>10</v>
      </c>
    </row>
    <row r="2890" spans="1:14" x14ac:dyDescent="0.2">
      <c r="A2890" s="3">
        <f t="shared" si="47"/>
        <v>5606464</v>
      </c>
      <c r="B2890" t="str">
        <f>"56064640005"</f>
        <v>56064640005</v>
      </c>
      <c r="C2890" t="s">
        <v>3306</v>
      </c>
      <c r="D2890" t="s">
        <v>52</v>
      </c>
      <c r="E2890">
        <v>33</v>
      </c>
      <c r="F2890">
        <v>2308</v>
      </c>
      <c r="G2890" t="s">
        <v>3307</v>
      </c>
      <c r="H2890">
        <v>28</v>
      </c>
      <c r="I2890" t="s">
        <v>34</v>
      </c>
      <c r="J2890">
        <v>20</v>
      </c>
      <c r="K2890" t="s">
        <v>34</v>
      </c>
      <c r="L2890">
        <v>6</v>
      </c>
      <c r="M2890">
        <v>52520</v>
      </c>
      <c r="N2890">
        <v>8</v>
      </c>
    </row>
    <row r="2891" spans="1:14" x14ac:dyDescent="0.2">
      <c r="A2891" s="3">
        <f t="shared" si="47"/>
        <v>5606472</v>
      </c>
      <c r="B2891" t="str">
        <f>"56064720006"</f>
        <v>56064720006</v>
      </c>
      <c r="C2891" t="s">
        <v>3308</v>
      </c>
      <c r="D2891" t="s">
        <v>52</v>
      </c>
      <c r="E2891">
        <v>33</v>
      </c>
      <c r="F2891">
        <v>3275</v>
      </c>
      <c r="G2891" t="s">
        <v>188</v>
      </c>
      <c r="H2891">
        <v>17</v>
      </c>
      <c r="I2891" t="s">
        <v>34</v>
      </c>
      <c r="J2891">
        <v>11</v>
      </c>
      <c r="K2891" t="s">
        <v>34</v>
      </c>
      <c r="L2891">
        <v>6</v>
      </c>
      <c r="M2891">
        <v>52506</v>
      </c>
      <c r="N2891">
        <v>6</v>
      </c>
    </row>
    <row r="2892" spans="1:14" x14ac:dyDescent="0.2">
      <c r="A2892" s="3">
        <f t="shared" si="47"/>
        <v>5606481</v>
      </c>
      <c r="B2892" t="str">
        <f>"56064810008"</f>
        <v>56064810008</v>
      </c>
      <c r="C2892" t="s">
        <v>3309</v>
      </c>
      <c r="D2892" t="s">
        <v>52</v>
      </c>
      <c r="E2892">
        <v>33</v>
      </c>
      <c r="F2892">
        <v>705</v>
      </c>
      <c r="G2892" t="s">
        <v>1213</v>
      </c>
      <c r="H2892">
        <v>17</v>
      </c>
      <c r="I2892" t="s">
        <v>34</v>
      </c>
      <c r="J2892">
        <v>11</v>
      </c>
      <c r="K2892" t="s">
        <v>34</v>
      </c>
      <c r="L2892">
        <v>6</v>
      </c>
      <c r="M2892">
        <v>52511</v>
      </c>
      <c r="N2892">
        <v>6</v>
      </c>
    </row>
    <row r="2893" spans="1:14" x14ac:dyDescent="0.2">
      <c r="A2893" s="3">
        <f t="shared" si="47"/>
        <v>5606483</v>
      </c>
      <c r="B2893" t="str">
        <f>"56064830006"</f>
        <v>56064830006</v>
      </c>
      <c r="C2893" t="s">
        <v>3310</v>
      </c>
      <c r="D2893" t="s">
        <v>52</v>
      </c>
      <c r="E2893">
        <v>33</v>
      </c>
      <c r="F2893">
        <v>1985</v>
      </c>
      <c r="G2893" t="s">
        <v>287</v>
      </c>
      <c r="H2893">
        <v>11</v>
      </c>
      <c r="I2893" t="s">
        <v>34</v>
      </c>
      <c r="J2893">
        <v>7</v>
      </c>
      <c r="K2893" t="s">
        <v>34</v>
      </c>
      <c r="L2893">
        <v>6</v>
      </c>
      <c r="M2893">
        <v>1528</v>
      </c>
      <c r="N2893">
        <v>4</v>
      </c>
    </row>
    <row r="2894" spans="1:14" x14ac:dyDescent="0.2">
      <c r="A2894" s="3">
        <f t="shared" si="47"/>
        <v>5606484</v>
      </c>
      <c r="B2894" t="str">
        <f>"56064840012"</f>
        <v>56064840012</v>
      </c>
      <c r="C2894" t="s">
        <v>3311</v>
      </c>
      <c r="D2894" t="s">
        <v>52</v>
      </c>
      <c r="E2894">
        <v>41</v>
      </c>
      <c r="F2894">
        <v>4266</v>
      </c>
      <c r="G2894" t="s">
        <v>394</v>
      </c>
      <c r="H2894">
        <v>70</v>
      </c>
      <c r="I2894" t="s">
        <v>34</v>
      </c>
      <c r="J2894">
        <v>56</v>
      </c>
      <c r="K2894" t="s">
        <v>34</v>
      </c>
      <c r="L2894">
        <v>6</v>
      </c>
      <c r="M2894">
        <v>3609</v>
      </c>
      <c r="N2894">
        <v>14</v>
      </c>
    </row>
    <row r="2895" spans="1:14" x14ac:dyDescent="0.2">
      <c r="A2895" s="3">
        <f t="shared" si="47"/>
        <v>5606492</v>
      </c>
      <c r="B2895" t="str">
        <f>"56064920006"</f>
        <v>56064920006</v>
      </c>
      <c r="C2895" t="s">
        <v>3312</v>
      </c>
      <c r="D2895" t="s">
        <v>52</v>
      </c>
      <c r="E2895">
        <v>33</v>
      </c>
      <c r="F2895">
        <v>8249</v>
      </c>
      <c r="G2895" t="s">
        <v>3263</v>
      </c>
      <c r="H2895">
        <v>15</v>
      </c>
      <c r="I2895" t="s">
        <v>34</v>
      </c>
      <c r="J2895">
        <v>10</v>
      </c>
      <c r="K2895" t="s">
        <v>34</v>
      </c>
      <c r="L2895">
        <v>6</v>
      </c>
      <c r="M2895">
        <v>3532</v>
      </c>
      <c r="N2895">
        <v>5</v>
      </c>
    </row>
    <row r="2896" spans="1:14" x14ac:dyDescent="0.2">
      <c r="A2896" s="3">
        <f t="shared" si="47"/>
        <v>5606507</v>
      </c>
      <c r="B2896" t="str">
        <f>"56065070008"</f>
        <v>56065070008</v>
      </c>
      <c r="C2896" t="s">
        <v>3313</v>
      </c>
      <c r="D2896" t="s">
        <v>52</v>
      </c>
      <c r="E2896">
        <v>51</v>
      </c>
      <c r="F2896">
        <v>136</v>
      </c>
      <c r="G2896" t="s">
        <v>538</v>
      </c>
      <c r="H2896">
        <v>12</v>
      </c>
      <c r="I2896" t="s">
        <v>25</v>
      </c>
      <c r="J2896">
        <v>9</v>
      </c>
      <c r="K2896" t="s">
        <v>25</v>
      </c>
      <c r="L2896">
        <v>6</v>
      </c>
      <c r="M2896">
        <v>1615</v>
      </c>
      <c r="N2896">
        <v>3</v>
      </c>
    </row>
    <row r="2897" spans="1:14" x14ac:dyDescent="0.2">
      <c r="A2897" s="3">
        <f t="shared" si="47"/>
        <v>5606525</v>
      </c>
      <c r="B2897" t="str">
        <f>"56065250012"</f>
        <v>56065250012</v>
      </c>
      <c r="C2897" t="s">
        <v>3314</v>
      </c>
      <c r="D2897" t="s">
        <v>36</v>
      </c>
      <c r="E2897">
        <v>50</v>
      </c>
      <c r="F2897">
        <v>1629</v>
      </c>
      <c r="G2897" t="s">
        <v>3315</v>
      </c>
      <c r="H2897">
        <v>24</v>
      </c>
      <c r="I2897" t="s">
        <v>25</v>
      </c>
      <c r="J2897">
        <v>20</v>
      </c>
      <c r="K2897" t="s">
        <v>25</v>
      </c>
      <c r="L2897">
        <v>8</v>
      </c>
      <c r="M2897">
        <v>65166</v>
      </c>
      <c r="N2897">
        <v>4</v>
      </c>
    </row>
    <row r="2898" spans="1:14" x14ac:dyDescent="0.2">
      <c r="A2898" s="3">
        <f t="shared" si="47"/>
        <v>5606531</v>
      </c>
      <c r="B2898" t="str">
        <f>"56065310001"</f>
        <v>56065310001</v>
      </c>
      <c r="C2898" t="s">
        <v>3316</v>
      </c>
      <c r="D2898" t="s">
        <v>337</v>
      </c>
      <c r="E2898">
        <v>90</v>
      </c>
      <c r="F2898">
        <v>8253</v>
      </c>
      <c r="G2898" t="s">
        <v>343</v>
      </c>
      <c r="H2898">
        <v>10</v>
      </c>
      <c r="I2898" t="s">
        <v>34</v>
      </c>
      <c r="J2898">
        <v>7</v>
      </c>
      <c r="K2898" t="s">
        <v>34</v>
      </c>
      <c r="L2898">
        <v>8</v>
      </c>
      <c r="M2898">
        <v>91008</v>
      </c>
      <c r="N2898">
        <v>3</v>
      </c>
    </row>
    <row r="2899" spans="1:14" x14ac:dyDescent="0.2">
      <c r="A2899" s="3">
        <f t="shared" si="47"/>
        <v>5606532</v>
      </c>
      <c r="B2899" t="str">
        <f>"56065320001"</f>
        <v>56065320001</v>
      </c>
      <c r="C2899" t="s">
        <v>3317</v>
      </c>
      <c r="D2899" t="s">
        <v>337</v>
      </c>
      <c r="E2899">
        <v>90</v>
      </c>
      <c r="F2899">
        <v>8253</v>
      </c>
      <c r="G2899" t="s">
        <v>343</v>
      </c>
      <c r="H2899">
        <v>10</v>
      </c>
      <c r="I2899" t="s">
        <v>34</v>
      </c>
      <c r="J2899">
        <v>7</v>
      </c>
      <c r="K2899" t="s">
        <v>34</v>
      </c>
      <c r="L2899">
        <v>8</v>
      </c>
      <c r="M2899">
        <v>91010</v>
      </c>
      <c r="N2899">
        <v>3</v>
      </c>
    </row>
    <row r="2900" spans="1:14" x14ac:dyDescent="0.2">
      <c r="A2900" s="3">
        <f t="shared" si="47"/>
        <v>5606540</v>
      </c>
      <c r="B2900" t="str">
        <f>"56065400009"</f>
        <v>56065400009</v>
      </c>
      <c r="C2900" t="s">
        <v>3318</v>
      </c>
      <c r="D2900" t="s">
        <v>289</v>
      </c>
      <c r="E2900">
        <v>20</v>
      </c>
      <c r="F2900">
        <v>8086</v>
      </c>
      <c r="G2900" t="s">
        <v>290</v>
      </c>
      <c r="H2900">
        <v>16</v>
      </c>
      <c r="I2900" t="s">
        <v>25</v>
      </c>
      <c r="J2900">
        <v>13</v>
      </c>
      <c r="K2900" t="s">
        <v>25</v>
      </c>
      <c r="L2900">
        <v>8</v>
      </c>
      <c r="M2900">
        <v>87047</v>
      </c>
      <c r="N2900">
        <v>3</v>
      </c>
    </row>
    <row r="2901" spans="1:14" x14ac:dyDescent="0.2">
      <c r="A2901" s="3">
        <f t="shared" si="47"/>
        <v>5606540</v>
      </c>
      <c r="B2901" t="str">
        <f>"56065400009"</f>
        <v>56065400009</v>
      </c>
      <c r="C2901" t="s">
        <v>3318</v>
      </c>
      <c r="D2901" t="s">
        <v>289</v>
      </c>
      <c r="E2901">
        <v>20</v>
      </c>
      <c r="F2901">
        <v>394</v>
      </c>
      <c r="G2901" t="s">
        <v>3319</v>
      </c>
      <c r="H2901">
        <v>16</v>
      </c>
      <c r="I2901" t="s">
        <v>25</v>
      </c>
      <c r="J2901">
        <v>13</v>
      </c>
      <c r="K2901" t="s">
        <v>25</v>
      </c>
      <c r="L2901">
        <v>8</v>
      </c>
      <c r="M2901">
        <v>87047</v>
      </c>
      <c r="N2901">
        <v>3</v>
      </c>
    </row>
    <row r="2902" spans="1:14" x14ac:dyDescent="0.2">
      <c r="A2902" s="3">
        <f t="shared" si="47"/>
        <v>5606558</v>
      </c>
      <c r="B2902" t="str">
        <f>"56065580008"</f>
        <v>56065580008</v>
      </c>
      <c r="C2902" t="s">
        <v>3320</v>
      </c>
      <c r="D2902" t="s">
        <v>42</v>
      </c>
      <c r="E2902">
        <v>51</v>
      </c>
      <c r="F2902">
        <v>227</v>
      </c>
      <c r="G2902" t="s">
        <v>482</v>
      </c>
      <c r="H2902">
        <v>24</v>
      </c>
      <c r="I2902" t="s">
        <v>25</v>
      </c>
      <c r="J2902">
        <v>20</v>
      </c>
      <c r="K2902" t="s">
        <v>25</v>
      </c>
      <c r="L2902">
        <v>8</v>
      </c>
      <c r="M2902">
        <v>72241</v>
      </c>
      <c r="N2902">
        <v>4</v>
      </c>
    </row>
    <row r="2903" spans="1:14" x14ac:dyDescent="0.2">
      <c r="A2903" s="3">
        <f t="shared" si="47"/>
        <v>5606573</v>
      </c>
      <c r="B2903" t="str">
        <f>"56065730006"</f>
        <v>56065730006</v>
      </c>
      <c r="C2903" t="s">
        <v>3321</v>
      </c>
      <c r="D2903" t="s">
        <v>52</v>
      </c>
      <c r="E2903">
        <v>30</v>
      </c>
      <c r="F2903">
        <v>8159</v>
      </c>
      <c r="G2903" t="s">
        <v>3322</v>
      </c>
      <c r="H2903">
        <v>14</v>
      </c>
      <c r="I2903" t="s">
        <v>34</v>
      </c>
      <c r="J2903">
        <v>9</v>
      </c>
      <c r="K2903" t="s">
        <v>34</v>
      </c>
      <c r="L2903">
        <v>6</v>
      </c>
      <c r="M2903">
        <v>1508</v>
      </c>
      <c r="N2903">
        <v>5</v>
      </c>
    </row>
    <row r="2904" spans="1:14" x14ac:dyDescent="0.2">
      <c r="A2904" s="3">
        <f t="shared" si="47"/>
        <v>5606575</v>
      </c>
      <c r="B2904" t="str">
        <f>"56065750020"</f>
        <v>56065750020</v>
      </c>
      <c r="C2904" t="s">
        <v>3323</v>
      </c>
      <c r="D2904" t="s">
        <v>52</v>
      </c>
      <c r="E2904">
        <v>30</v>
      </c>
      <c r="F2904">
        <v>8159</v>
      </c>
      <c r="G2904" t="s">
        <v>3322</v>
      </c>
      <c r="H2904">
        <v>18</v>
      </c>
      <c r="I2904" t="s">
        <v>34</v>
      </c>
      <c r="J2904">
        <v>13</v>
      </c>
      <c r="K2904" t="s">
        <v>34</v>
      </c>
      <c r="L2904">
        <v>6</v>
      </c>
      <c r="M2904">
        <v>1509</v>
      </c>
      <c r="N2904">
        <v>5</v>
      </c>
    </row>
    <row r="2905" spans="1:14" x14ac:dyDescent="0.2">
      <c r="A2905" s="3">
        <f t="shared" si="47"/>
        <v>5606582</v>
      </c>
      <c r="B2905" t="str">
        <f>"56065820008"</f>
        <v>56065820008</v>
      </c>
      <c r="C2905" t="s">
        <v>3324</v>
      </c>
      <c r="D2905" t="s">
        <v>52</v>
      </c>
      <c r="E2905">
        <v>51</v>
      </c>
      <c r="F2905">
        <v>136</v>
      </c>
      <c r="G2905" t="s">
        <v>538</v>
      </c>
      <c r="H2905">
        <v>12</v>
      </c>
      <c r="I2905" t="s">
        <v>25</v>
      </c>
      <c r="J2905">
        <v>9</v>
      </c>
      <c r="K2905" t="s">
        <v>25</v>
      </c>
      <c r="L2905">
        <v>6</v>
      </c>
      <c r="M2905">
        <v>3626</v>
      </c>
      <c r="N2905">
        <v>3</v>
      </c>
    </row>
    <row r="2906" spans="1:14" x14ac:dyDescent="0.2">
      <c r="A2906" s="3">
        <f t="shared" si="47"/>
        <v>5606587</v>
      </c>
      <c r="B2906" t="str">
        <f>"56065870009"</f>
        <v>56065870009</v>
      </c>
      <c r="C2906" t="s">
        <v>3325</v>
      </c>
      <c r="D2906" t="s">
        <v>52</v>
      </c>
      <c r="E2906">
        <v>48</v>
      </c>
      <c r="F2906">
        <v>1975</v>
      </c>
      <c r="G2906" t="s">
        <v>3326</v>
      </c>
      <c r="H2906">
        <v>18</v>
      </c>
      <c r="I2906" t="s">
        <v>25</v>
      </c>
      <c r="J2906">
        <v>14</v>
      </c>
      <c r="K2906" t="s">
        <v>25</v>
      </c>
      <c r="L2906">
        <v>9</v>
      </c>
      <c r="M2906">
        <v>75200</v>
      </c>
      <c r="N2906">
        <v>4</v>
      </c>
    </row>
    <row r="2907" spans="1:14" x14ac:dyDescent="0.2">
      <c r="A2907" s="3">
        <f t="shared" si="47"/>
        <v>5606616</v>
      </c>
      <c r="B2907" t="str">
        <f>"56066160012"</f>
        <v>56066160012</v>
      </c>
      <c r="C2907" t="s">
        <v>3327</v>
      </c>
      <c r="D2907" t="s">
        <v>52</v>
      </c>
      <c r="E2907">
        <v>20</v>
      </c>
      <c r="F2907">
        <v>8086</v>
      </c>
      <c r="G2907" t="s">
        <v>290</v>
      </c>
      <c r="H2907">
        <v>8</v>
      </c>
      <c r="I2907" t="s">
        <v>25</v>
      </c>
      <c r="J2907">
        <v>6</v>
      </c>
      <c r="K2907" t="s">
        <v>25</v>
      </c>
      <c r="L2907">
        <v>6</v>
      </c>
      <c r="M2907">
        <v>99748</v>
      </c>
      <c r="N2907">
        <v>2</v>
      </c>
    </row>
    <row r="2908" spans="1:14" x14ac:dyDescent="0.2">
      <c r="A2908" s="3">
        <f t="shared" si="47"/>
        <v>5606616</v>
      </c>
      <c r="B2908" t="str">
        <f>"56066160012"</f>
        <v>56066160012</v>
      </c>
      <c r="C2908" t="s">
        <v>3327</v>
      </c>
      <c r="D2908" t="s">
        <v>52</v>
      </c>
      <c r="E2908">
        <v>20</v>
      </c>
      <c r="F2908">
        <v>2032</v>
      </c>
      <c r="G2908" t="s">
        <v>3328</v>
      </c>
      <c r="H2908">
        <v>8</v>
      </c>
      <c r="I2908" t="s">
        <v>25</v>
      </c>
      <c r="J2908">
        <v>6</v>
      </c>
      <c r="K2908" t="s">
        <v>25</v>
      </c>
      <c r="L2908">
        <v>6</v>
      </c>
      <c r="M2908">
        <v>99748</v>
      </c>
      <c r="N2908">
        <v>2</v>
      </c>
    </row>
    <row r="2909" spans="1:14" x14ac:dyDescent="0.2">
      <c r="A2909" s="3">
        <f t="shared" si="47"/>
        <v>5606618</v>
      </c>
      <c r="B2909" t="str">
        <f>"56066180008"</f>
        <v>56066180008</v>
      </c>
      <c r="C2909" t="s">
        <v>3329</v>
      </c>
      <c r="D2909" t="s">
        <v>172</v>
      </c>
      <c r="E2909">
        <v>33</v>
      </c>
      <c r="F2909">
        <v>668</v>
      </c>
      <c r="G2909" t="s">
        <v>705</v>
      </c>
      <c r="H2909">
        <v>7</v>
      </c>
      <c r="I2909" t="s">
        <v>34</v>
      </c>
      <c r="J2909">
        <v>5</v>
      </c>
      <c r="K2909" t="s">
        <v>34</v>
      </c>
      <c r="L2909">
        <v>8</v>
      </c>
      <c r="M2909">
        <v>85083</v>
      </c>
      <c r="N2909">
        <v>2</v>
      </c>
    </row>
    <row r="2910" spans="1:14" x14ac:dyDescent="0.2">
      <c r="A2910" s="3">
        <f t="shared" si="47"/>
        <v>5606620</v>
      </c>
      <c r="B2910" t="str">
        <f>"56066200006"</f>
        <v>56066200006</v>
      </c>
      <c r="C2910" t="s">
        <v>3330</v>
      </c>
      <c r="D2910" t="s">
        <v>52</v>
      </c>
      <c r="E2910">
        <v>31</v>
      </c>
      <c r="F2910">
        <v>1384</v>
      </c>
      <c r="G2910" t="s">
        <v>3331</v>
      </c>
      <c r="H2910">
        <v>18</v>
      </c>
      <c r="I2910" t="s">
        <v>34</v>
      </c>
      <c r="J2910">
        <v>13</v>
      </c>
      <c r="K2910" t="s">
        <v>34</v>
      </c>
      <c r="L2910">
        <v>6</v>
      </c>
      <c r="M2910">
        <v>1515</v>
      </c>
      <c r="N2910">
        <v>5</v>
      </c>
    </row>
    <row r="2911" spans="1:14" x14ac:dyDescent="0.2">
      <c r="A2911" s="3">
        <f t="shared" si="47"/>
        <v>5606623</v>
      </c>
      <c r="B2911" t="str">
        <f>"56066230006"</f>
        <v>56066230006</v>
      </c>
      <c r="C2911" t="s">
        <v>3332</v>
      </c>
      <c r="D2911" t="s">
        <v>115</v>
      </c>
      <c r="E2911">
        <v>47</v>
      </c>
      <c r="F2911">
        <v>8153</v>
      </c>
      <c r="G2911" t="s">
        <v>3085</v>
      </c>
      <c r="H2911" t="s">
        <v>44</v>
      </c>
      <c r="I2911" t="s">
        <v>45</v>
      </c>
      <c r="J2911" t="s">
        <v>44</v>
      </c>
      <c r="K2911" t="s">
        <v>45</v>
      </c>
      <c r="L2911">
        <v>6</v>
      </c>
      <c r="M2911">
        <v>66087</v>
      </c>
      <c r="N2911" t="s">
        <v>46</v>
      </c>
    </row>
    <row r="2912" spans="1:14" x14ac:dyDescent="0.2">
      <c r="A2912" s="3">
        <f t="shared" si="47"/>
        <v>5606626</v>
      </c>
      <c r="B2912" t="str">
        <f>"56066260006"</f>
        <v>56066260006</v>
      </c>
      <c r="C2912" t="s">
        <v>3333</v>
      </c>
      <c r="D2912" t="s">
        <v>52</v>
      </c>
      <c r="E2912">
        <v>30</v>
      </c>
      <c r="F2912">
        <v>4806</v>
      </c>
      <c r="G2912" t="s">
        <v>160</v>
      </c>
      <c r="H2912">
        <v>18</v>
      </c>
      <c r="I2912" t="s">
        <v>34</v>
      </c>
      <c r="J2912">
        <v>13</v>
      </c>
      <c r="K2912" t="s">
        <v>34</v>
      </c>
      <c r="L2912">
        <v>6</v>
      </c>
      <c r="M2912">
        <v>1505</v>
      </c>
      <c r="N2912">
        <v>5</v>
      </c>
    </row>
    <row r="2913" spans="1:14" x14ac:dyDescent="0.2">
      <c r="A2913" s="3">
        <f t="shared" si="47"/>
        <v>5606635</v>
      </c>
      <c r="B2913" t="str">
        <f>"56066350018"</f>
        <v>56066350018</v>
      </c>
      <c r="C2913" t="s">
        <v>3334</v>
      </c>
      <c r="D2913" t="s">
        <v>77</v>
      </c>
      <c r="E2913">
        <v>30</v>
      </c>
      <c r="F2913">
        <v>3428</v>
      </c>
      <c r="G2913" t="s">
        <v>206</v>
      </c>
      <c r="H2913">
        <v>50</v>
      </c>
      <c r="I2913" t="s">
        <v>34</v>
      </c>
      <c r="J2913">
        <v>37</v>
      </c>
      <c r="K2913" t="s">
        <v>34</v>
      </c>
      <c r="L2913">
        <v>8</v>
      </c>
      <c r="M2913">
        <v>82124</v>
      </c>
      <c r="N2913">
        <v>16</v>
      </c>
    </row>
    <row r="2914" spans="1:14" x14ac:dyDescent="0.2">
      <c r="A2914" s="3">
        <f t="shared" si="47"/>
        <v>5606684</v>
      </c>
      <c r="B2914" t="str">
        <f>"56066840004"</f>
        <v>56066840004</v>
      </c>
      <c r="C2914" t="s">
        <v>3335</v>
      </c>
      <c r="D2914" t="s">
        <v>52</v>
      </c>
      <c r="E2914">
        <v>73</v>
      </c>
      <c r="F2914">
        <v>8086</v>
      </c>
      <c r="G2914" t="s">
        <v>290</v>
      </c>
      <c r="H2914">
        <v>16</v>
      </c>
      <c r="I2914" t="s">
        <v>25</v>
      </c>
      <c r="J2914">
        <v>13</v>
      </c>
      <c r="K2914" t="s">
        <v>25</v>
      </c>
      <c r="L2914">
        <v>6</v>
      </c>
      <c r="M2914">
        <v>99785</v>
      </c>
      <c r="N2914">
        <v>1</v>
      </c>
    </row>
    <row r="2915" spans="1:14" x14ac:dyDescent="0.2">
      <c r="A2915" s="3">
        <f t="shared" si="47"/>
        <v>5606684</v>
      </c>
      <c r="B2915" t="str">
        <f>"56066840004"</f>
        <v>56066840004</v>
      </c>
      <c r="C2915" t="s">
        <v>3335</v>
      </c>
      <c r="D2915" t="s">
        <v>52</v>
      </c>
      <c r="E2915">
        <v>73</v>
      </c>
      <c r="F2915">
        <v>472</v>
      </c>
      <c r="G2915" t="s">
        <v>1125</v>
      </c>
      <c r="H2915">
        <v>16</v>
      </c>
      <c r="I2915" t="s">
        <v>25</v>
      </c>
      <c r="J2915">
        <v>13</v>
      </c>
      <c r="K2915" t="s">
        <v>25</v>
      </c>
      <c r="L2915">
        <v>6</v>
      </c>
      <c r="M2915">
        <v>99785</v>
      </c>
      <c r="N2915">
        <v>1</v>
      </c>
    </row>
    <row r="2916" spans="1:14" x14ac:dyDescent="0.2">
      <c r="A2916" s="3">
        <f t="shared" si="47"/>
        <v>5606685</v>
      </c>
      <c r="B2916" t="str">
        <f>"56066850004"</f>
        <v>56066850004</v>
      </c>
      <c r="C2916" t="s">
        <v>3336</v>
      </c>
      <c r="D2916" t="s">
        <v>52</v>
      </c>
      <c r="E2916">
        <v>73</v>
      </c>
      <c r="F2916">
        <v>8086</v>
      </c>
      <c r="G2916" t="s">
        <v>290</v>
      </c>
      <c r="H2916">
        <v>16</v>
      </c>
      <c r="I2916" t="s">
        <v>25</v>
      </c>
      <c r="J2916">
        <v>13</v>
      </c>
      <c r="K2916" t="s">
        <v>25</v>
      </c>
      <c r="L2916">
        <v>6</v>
      </c>
      <c r="M2916">
        <v>99895</v>
      </c>
      <c r="N2916">
        <v>1</v>
      </c>
    </row>
    <row r="2917" spans="1:14" x14ac:dyDescent="0.2">
      <c r="A2917" s="3">
        <f t="shared" si="47"/>
        <v>5606685</v>
      </c>
      <c r="B2917" t="str">
        <f>"56066850004"</f>
        <v>56066850004</v>
      </c>
      <c r="C2917" t="s">
        <v>3336</v>
      </c>
      <c r="D2917" t="s">
        <v>52</v>
      </c>
      <c r="E2917">
        <v>73</v>
      </c>
      <c r="F2917">
        <v>472</v>
      </c>
      <c r="G2917" t="s">
        <v>1125</v>
      </c>
      <c r="H2917">
        <v>16</v>
      </c>
      <c r="I2917" t="s">
        <v>25</v>
      </c>
      <c r="J2917">
        <v>13</v>
      </c>
      <c r="K2917" t="s">
        <v>25</v>
      </c>
      <c r="L2917">
        <v>6</v>
      </c>
      <c r="M2917">
        <v>99895</v>
      </c>
      <c r="N2917">
        <v>1</v>
      </c>
    </row>
    <row r="2918" spans="1:14" x14ac:dyDescent="0.2">
      <c r="A2918" s="3">
        <f t="shared" si="47"/>
        <v>5606688</v>
      </c>
      <c r="B2918" t="str">
        <f>"56066880006"</f>
        <v>56066880006</v>
      </c>
      <c r="C2918" t="s">
        <v>3337</v>
      </c>
      <c r="D2918" t="s">
        <v>32</v>
      </c>
      <c r="E2918">
        <v>30</v>
      </c>
      <c r="F2918">
        <v>4806</v>
      </c>
      <c r="G2918" t="s">
        <v>160</v>
      </c>
      <c r="H2918">
        <v>19</v>
      </c>
      <c r="I2918" t="s">
        <v>34</v>
      </c>
      <c r="J2918">
        <v>14</v>
      </c>
      <c r="K2918" t="s">
        <v>34</v>
      </c>
      <c r="L2918">
        <v>8</v>
      </c>
      <c r="M2918">
        <v>84160</v>
      </c>
      <c r="N2918">
        <v>5</v>
      </c>
    </row>
    <row r="2919" spans="1:14" x14ac:dyDescent="0.2">
      <c r="A2919" s="3">
        <f t="shared" si="47"/>
        <v>5606725</v>
      </c>
      <c r="B2919" t="str">
        <f>"56067250008"</f>
        <v>56067250008</v>
      </c>
      <c r="C2919" t="s">
        <v>3338</v>
      </c>
      <c r="D2919" t="s">
        <v>52</v>
      </c>
      <c r="E2919">
        <v>30</v>
      </c>
      <c r="F2919">
        <v>1342</v>
      </c>
      <c r="G2919" t="s">
        <v>341</v>
      </c>
      <c r="H2919">
        <v>18</v>
      </c>
      <c r="I2919" t="s">
        <v>34</v>
      </c>
      <c r="J2919">
        <v>13</v>
      </c>
      <c r="K2919" t="s">
        <v>34</v>
      </c>
      <c r="L2919">
        <v>6</v>
      </c>
      <c r="M2919">
        <v>3515</v>
      </c>
      <c r="N2919">
        <v>5</v>
      </c>
    </row>
    <row r="2920" spans="1:14" x14ac:dyDescent="0.2">
      <c r="A2920" s="3">
        <f t="shared" si="47"/>
        <v>5606731</v>
      </c>
      <c r="B2920" t="str">
        <f>"56067310008"</f>
        <v>56067310008</v>
      </c>
      <c r="C2920" t="s">
        <v>3339</v>
      </c>
      <c r="D2920" t="s">
        <v>289</v>
      </c>
      <c r="E2920">
        <v>20</v>
      </c>
      <c r="F2920">
        <v>8086</v>
      </c>
      <c r="G2920" t="s">
        <v>290</v>
      </c>
      <c r="H2920">
        <v>12</v>
      </c>
      <c r="I2920" t="s">
        <v>25</v>
      </c>
      <c r="J2920">
        <v>9</v>
      </c>
      <c r="K2920" t="s">
        <v>25</v>
      </c>
      <c r="L2920">
        <v>8</v>
      </c>
      <c r="M2920">
        <v>87056</v>
      </c>
      <c r="N2920">
        <v>3</v>
      </c>
    </row>
    <row r="2921" spans="1:14" x14ac:dyDescent="0.2">
      <c r="A2921" s="3">
        <f t="shared" si="47"/>
        <v>5606731</v>
      </c>
      <c r="B2921" t="str">
        <f>"56067310008"</f>
        <v>56067310008</v>
      </c>
      <c r="C2921" t="s">
        <v>3339</v>
      </c>
      <c r="D2921" t="s">
        <v>289</v>
      </c>
      <c r="E2921">
        <v>20</v>
      </c>
      <c r="F2921">
        <v>6959</v>
      </c>
      <c r="G2921" t="s">
        <v>2981</v>
      </c>
      <c r="H2921">
        <v>12</v>
      </c>
      <c r="I2921" t="s">
        <v>25</v>
      </c>
      <c r="J2921">
        <v>9</v>
      </c>
      <c r="K2921" t="s">
        <v>25</v>
      </c>
      <c r="L2921">
        <v>8</v>
      </c>
      <c r="M2921">
        <v>87056</v>
      </c>
      <c r="N2921">
        <v>3</v>
      </c>
    </row>
    <row r="2922" spans="1:14" x14ac:dyDescent="0.2">
      <c r="A2922" s="3">
        <f t="shared" si="47"/>
        <v>5606733</v>
      </c>
      <c r="B2922" t="str">
        <f>"56067330001"</f>
        <v>56067330001</v>
      </c>
      <c r="C2922" t="s">
        <v>3340</v>
      </c>
      <c r="D2922" t="s">
        <v>337</v>
      </c>
      <c r="E2922">
        <v>91</v>
      </c>
      <c r="F2922">
        <v>8018</v>
      </c>
      <c r="G2922" t="s">
        <v>322</v>
      </c>
      <c r="H2922">
        <v>7</v>
      </c>
      <c r="I2922" t="s">
        <v>34</v>
      </c>
      <c r="J2922">
        <v>5</v>
      </c>
      <c r="K2922" t="s">
        <v>34</v>
      </c>
      <c r="L2922">
        <v>8</v>
      </c>
      <c r="M2922">
        <v>91064</v>
      </c>
      <c r="N2922">
        <v>2</v>
      </c>
    </row>
    <row r="2923" spans="1:14" x14ac:dyDescent="0.2">
      <c r="A2923" s="3">
        <f t="shared" si="47"/>
        <v>5606734</v>
      </c>
      <c r="B2923" t="str">
        <f>"56067340001"</f>
        <v>56067340001</v>
      </c>
      <c r="C2923" t="s">
        <v>3341</v>
      </c>
      <c r="D2923" t="s">
        <v>337</v>
      </c>
      <c r="E2923">
        <v>91</v>
      </c>
      <c r="F2923">
        <v>8018</v>
      </c>
      <c r="G2923" t="s">
        <v>322</v>
      </c>
      <c r="H2923">
        <v>7</v>
      </c>
      <c r="I2923" t="s">
        <v>34</v>
      </c>
      <c r="J2923">
        <v>5</v>
      </c>
      <c r="K2923" t="s">
        <v>34</v>
      </c>
      <c r="L2923">
        <v>8</v>
      </c>
      <c r="M2923">
        <v>91065</v>
      </c>
      <c r="N2923">
        <v>2</v>
      </c>
    </row>
    <row r="2924" spans="1:14" x14ac:dyDescent="0.2">
      <c r="A2924" s="3">
        <f t="shared" si="47"/>
        <v>5606736</v>
      </c>
      <c r="B2924" t="str">
        <f>"56067360001"</f>
        <v>56067360001</v>
      </c>
      <c r="C2924" t="s">
        <v>3342</v>
      </c>
      <c r="D2924" t="s">
        <v>337</v>
      </c>
      <c r="E2924">
        <v>91</v>
      </c>
      <c r="F2924">
        <v>8018</v>
      </c>
      <c r="G2924" t="s">
        <v>322</v>
      </c>
      <c r="H2924">
        <v>7</v>
      </c>
      <c r="I2924" t="s">
        <v>34</v>
      </c>
      <c r="J2924">
        <v>5</v>
      </c>
      <c r="K2924" t="s">
        <v>34</v>
      </c>
      <c r="L2924">
        <v>8</v>
      </c>
      <c r="M2924">
        <v>91066</v>
      </c>
      <c r="N2924">
        <v>2</v>
      </c>
    </row>
    <row r="2925" spans="1:14" x14ac:dyDescent="0.2">
      <c r="A2925" s="3">
        <f t="shared" si="47"/>
        <v>5606737</v>
      </c>
      <c r="B2925" t="str">
        <f>"56067370001"</f>
        <v>56067370001</v>
      </c>
      <c r="C2925" t="s">
        <v>3343</v>
      </c>
      <c r="D2925" t="s">
        <v>337</v>
      </c>
      <c r="E2925">
        <v>91</v>
      </c>
      <c r="F2925">
        <v>8018</v>
      </c>
      <c r="G2925" t="s">
        <v>322</v>
      </c>
      <c r="H2925">
        <v>6</v>
      </c>
      <c r="I2925" t="s">
        <v>34</v>
      </c>
      <c r="J2925">
        <v>4</v>
      </c>
      <c r="K2925" t="s">
        <v>34</v>
      </c>
      <c r="L2925">
        <v>8</v>
      </c>
      <c r="M2925">
        <v>91067</v>
      </c>
      <c r="N2925">
        <v>2</v>
      </c>
    </row>
    <row r="2926" spans="1:14" x14ac:dyDescent="0.2">
      <c r="A2926" s="3">
        <f t="shared" si="47"/>
        <v>5606738</v>
      </c>
      <c r="B2926" t="str">
        <f>"56067380001"</f>
        <v>56067380001</v>
      </c>
      <c r="C2926" t="s">
        <v>3344</v>
      </c>
      <c r="D2926" t="s">
        <v>337</v>
      </c>
      <c r="E2926">
        <v>91</v>
      </c>
      <c r="F2926">
        <v>8018</v>
      </c>
      <c r="G2926" t="s">
        <v>322</v>
      </c>
      <c r="H2926">
        <v>6</v>
      </c>
      <c r="I2926" t="s">
        <v>34</v>
      </c>
      <c r="J2926">
        <v>4</v>
      </c>
      <c r="K2926" t="s">
        <v>34</v>
      </c>
      <c r="L2926">
        <v>8</v>
      </c>
      <c r="M2926">
        <v>91083</v>
      </c>
      <c r="N2926">
        <v>2</v>
      </c>
    </row>
    <row r="2927" spans="1:14" x14ac:dyDescent="0.2">
      <c r="A2927" s="3">
        <f t="shared" si="47"/>
        <v>5606743</v>
      </c>
      <c r="B2927" t="str">
        <f>"56067430001"</f>
        <v>56067430001</v>
      </c>
      <c r="C2927" t="s">
        <v>3345</v>
      </c>
      <c r="D2927" t="s">
        <v>52</v>
      </c>
      <c r="E2927">
        <v>92</v>
      </c>
      <c r="F2927">
        <v>1053</v>
      </c>
      <c r="G2927" t="s">
        <v>3346</v>
      </c>
      <c r="H2927">
        <v>7</v>
      </c>
      <c r="I2927" t="s">
        <v>34</v>
      </c>
      <c r="J2927">
        <v>5</v>
      </c>
      <c r="K2927" t="s">
        <v>34</v>
      </c>
      <c r="L2927">
        <v>8</v>
      </c>
      <c r="M2927" t="s">
        <v>65</v>
      </c>
      <c r="N2927">
        <v>2</v>
      </c>
    </row>
    <row r="2928" spans="1:14" x14ac:dyDescent="0.2">
      <c r="A2928" s="3">
        <f t="shared" si="47"/>
        <v>5606744</v>
      </c>
      <c r="B2928" t="str">
        <f>"56067440001"</f>
        <v>56067440001</v>
      </c>
      <c r="C2928" t="s">
        <v>3347</v>
      </c>
      <c r="D2928" t="s">
        <v>52</v>
      </c>
      <c r="E2928">
        <v>92</v>
      </c>
      <c r="F2928">
        <v>1053</v>
      </c>
      <c r="G2928" t="s">
        <v>3346</v>
      </c>
      <c r="H2928">
        <v>7</v>
      </c>
      <c r="I2928" t="s">
        <v>34</v>
      </c>
      <c r="J2928">
        <v>5</v>
      </c>
      <c r="K2928" t="s">
        <v>34</v>
      </c>
      <c r="L2928">
        <v>8</v>
      </c>
      <c r="M2928" t="s">
        <v>65</v>
      </c>
      <c r="N2928">
        <v>2</v>
      </c>
    </row>
    <row r="2929" spans="1:14" x14ac:dyDescent="0.2">
      <c r="A2929" s="3">
        <f t="shared" si="47"/>
        <v>5606748</v>
      </c>
      <c r="B2929" t="str">
        <f>"56067480010"</f>
        <v>56067480010</v>
      </c>
      <c r="C2929" t="s">
        <v>3348</v>
      </c>
      <c r="D2929" t="s">
        <v>52</v>
      </c>
      <c r="E2929">
        <v>72</v>
      </c>
      <c r="F2929">
        <v>7218</v>
      </c>
      <c r="G2929" t="s">
        <v>591</v>
      </c>
      <c r="H2929">
        <v>20</v>
      </c>
      <c r="I2929" t="s">
        <v>34</v>
      </c>
      <c r="J2929">
        <v>14</v>
      </c>
      <c r="K2929" t="s">
        <v>34</v>
      </c>
      <c r="L2929">
        <v>6</v>
      </c>
      <c r="M2929">
        <v>51603</v>
      </c>
      <c r="N2929">
        <v>6</v>
      </c>
    </row>
    <row r="2930" spans="1:14" x14ac:dyDescent="0.2">
      <c r="A2930" s="3">
        <f t="shared" si="47"/>
        <v>5606749</v>
      </c>
      <c r="B2930" t="str">
        <f>"56067490012"</f>
        <v>56067490012</v>
      </c>
      <c r="C2930" t="s">
        <v>3349</v>
      </c>
      <c r="D2930" t="s">
        <v>52</v>
      </c>
      <c r="E2930">
        <v>72</v>
      </c>
      <c r="F2930">
        <v>7218</v>
      </c>
      <c r="G2930" t="s">
        <v>591</v>
      </c>
      <c r="H2930">
        <v>20</v>
      </c>
      <c r="I2930" t="s">
        <v>34</v>
      </c>
      <c r="J2930">
        <v>14</v>
      </c>
      <c r="K2930" t="s">
        <v>34</v>
      </c>
      <c r="L2930">
        <v>6</v>
      </c>
      <c r="M2930">
        <v>52622</v>
      </c>
      <c r="N2930">
        <v>6</v>
      </c>
    </row>
    <row r="2931" spans="1:14" x14ac:dyDescent="0.2">
      <c r="A2931" s="3">
        <f t="shared" si="47"/>
        <v>5606779</v>
      </c>
      <c r="B2931" t="str">
        <f>"56067790016"</f>
        <v>56067790016</v>
      </c>
      <c r="C2931" t="s">
        <v>3350</v>
      </c>
      <c r="D2931" t="s">
        <v>101</v>
      </c>
      <c r="E2931">
        <v>32</v>
      </c>
      <c r="F2931">
        <v>109</v>
      </c>
      <c r="G2931" t="s">
        <v>113</v>
      </c>
      <c r="H2931">
        <v>22</v>
      </c>
      <c r="I2931" t="s">
        <v>34</v>
      </c>
      <c r="J2931">
        <v>16</v>
      </c>
      <c r="K2931" t="s">
        <v>34</v>
      </c>
      <c r="L2931">
        <v>8</v>
      </c>
      <c r="M2931">
        <v>82094</v>
      </c>
      <c r="N2931">
        <v>6</v>
      </c>
    </row>
    <row r="2932" spans="1:14" x14ac:dyDescent="0.2">
      <c r="A2932" s="3">
        <f t="shared" si="47"/>
        <v>5606785</v>
      </c>
      <c r="B2932" t="str">
        <f>"56067850004"</f>
        <v>56067850004</v>
      </c>
      <c r="C2932" t="s">
        <v>3351</v>
      </c>
      <c r="D2932" t="s">
        <v>172</v>
      </c>
      <c r="E2932">
        <v>33</v>
      </c>
      <c r="F2932">
        <v>6968</v>
      </c>
      <c r="G2932" t="s">
        <v>410</v>
      </c>
      <c r="H2932">
        <v>7</v>
      </c>
      <c r="I2932" t="s">
        <v>34</v>
      </c>
      <c r="J2932">
        <v>5</v>
      </c>
      <c r="K2932" t="s">
        <v>34</v>
      </c>
      <c r="L2932">
        <v>8</v>
      </c>
      <c r="M2932">
        <v>85017</v>
      </c>
      <c r="N2932">
        <v>2</v>
      </c>
    </row>
    <row r="2933" spans="1:14" x14ac:dyDescent="0.2">
      <c r="A2933" s="3">
        <f t="shared" si="47"/>
        <v>5606794</v>
      </c>
      <c r="B2933" t="str">
        <f>"56067940001"</f>
        <v>56067940001</v>
      </c>
      <c r="C2933" t="s">
        <v>3352</v>
      </c>
      <c r="D2933" t="s">
        <v>337</v>
      </c>
      <c r="E2933">
        <v>91</v>
      </c>
      <c r="F2933">
        <v>8018</v>
      </c>
      <c r="G2933" t="s">
        <v>322</v>
      </c>
      <c r="H2933">
        <v>7</v>
      </c>
      <c r="I2933" t="s">
        <v>34</v>
      </c>
      <c r="J2933">
        <v>5</v>
      </c>
      <c r="K2933" t="s">
        <v>34</v>
      </c>
      <c r="L2933">
        <v>8</v>
      </c>
      <c r="M2933">
        <v>91068</v>
      </c>
      <c r="N2933">
        <v>2</v>
      </c>
    </row>
    <row r="2934" spans="1:14" x14ac:dyDescent="0.2">
      <c r="A2934" s="3">
        <f t="shared" si="47"/>
        <v>5606795</v>
      </c>
      <c r="B2934" t="str">
        <f>"56067950001"</f>
        <v>56067950001</v>
      </c>
      <c r="C2934" t="s">
        <v>3353</v>
      </c>
      <c r="D2934" t="s">
        <v>337</v>
      </c>
      <c r="E2934">
        <v>91</v>
      </c>
      <c r="F2934">
        <v>8018</v>
      </c>
      <c r="G2934" t="s">
        <v>322</v>
      </c>
      <c r="H2934">
        <v>6</v>
      </c>
      <c r="I2934" t="s">
        <v>34</v>
      </c>
      <c r="J2934">
        <v>4</v>
      </c>
      <c r="K2934" t="s">
        <v>34</v>
      </c>
      <c r="L2934">
        <v>8</v>
      </c>
      <c r="M2934">
        <v>91069</v>
      </c>
      <c r="N2934">
        <v>2</v>
      </c>
    </row>
    <row r="2935" spans="1:14" x14ac:dyDescent="0.2">
      <c r="A2935" s="3">
        <f t="shared" si="47"/>
        <v>5606808</v>
      </c>
      <c r="B2935" t="str">
        <f>"56068080012"</f>
        <v>56068080012</v>
      </c>
      <c r="C2935" t="s">
        <v>3354</v>
      </c>
      <c r="D2935" t="s">
        <v>52</v>
      </c>
      <c r="E2935">
        <v>48</v>
      </c>
      <c r="F2935">
        <v>8143</v>
      </c>
      <c r="G2935" t="s">
        <v>3355</v>
      </c>
      <c r="H2935">
        <v>8</v>
      </c>
      <c r="I2935" t="s">
        <v>25</v>
      </c>
      <c r="J2935">
        <v>6</v>
      </c>
      <c r="K2935" t="s">
        <v>25</v>
      </c>
      <c r="L2935">
        <v>5</v>
      </c>
      <c r="M2935" t="s">
        <v>65</v>
      </c>
      <c r="N2935">
        <v>2</v>
      </c>
    </row>
    <row r="2936" spans="1:14" x14ac:dyDescent="0.2">
      <c r="A2936" s="3">
        <f t="shared" si="47"/>
        <v>5606842</v>
      </c>
      <c r="B2936" t="str">
        <f>"56068420024"</f>
        <v>56068420024</v>
      </c>
      <c r="C2936" t="s">
        <v>3356</v>
      </c>
      <c r="D2936" t="s">
        <v>289</v>
      </c>
      <c r="E2936">
        <v>74</v>
      </c>
      <c r="F2936">
        <v>8086</v>
      </c>
      <c r="G2936" t="s">
        <v>290</v>
      </c>
      <c r="H2936">
        <v>8</v>
      </c>
      <c r="I2936" t="s">
        <v>25</v>
      </c>
      <c r="J2936">
        <v>6</v>
      </c>
      <c r="K2936" t="s">
        <v>25</v>
      </c>
      <c r="L2936">
        <v>8</v>
      </c>
      <c r="M2936">
        <v>86012</v>
      </c>
      <c r="N2936">
        <v>1</v>
      </c>
    </row>
    <row r="2937" spans="1:14" x14ac:dyDescent="0.2">
      <c r="A2937" s="3">
        <f t="shared" si="47"/>
        <v>5606842</v>
      </c>
      <c r="B2937" t="str">
        <f>"56068420024"</f>
        <v>56068420024</v>
      </c>
      <c r="C2937" t="s">
        <v>3356</v>
      </c>
      <c r="D2937" t="s">
        <v>289</v>
      </c>
      <c r="E2937">
        <v>74</v>
      </c>
      <c r="F2937">
        <v>2447</v>
      </c>
      <c r="G2937" t="s">
        <v>3357</v>
      </c>
      <c r="H2937">
        <v>8</v>
      </c>
      <c r="I2937" t="s">
        <v>25</v>
      </c>
      <c r="J2937">
        <v>6</v>
      </c>
      <c r="K2937" t="s">
        <v>25</v>
      </c>
      <c r="L2937">
        <v>8</v>
      </c>
      <c r="M2937">
        <v>86012</v>
      </c>
      <c r="N2937">
        <v>1</v>
      </c>
    </row>
    <row r="2938" spans="1:14" x14ac:dyDescent="0.2">
      <c r="A2938" s="3">
        <f t="shared" si="47"/>
        <v>5606850</v>
      </c>
      <c r="B2938" t="str">
        <f>"56068500008"</f>
        <v>56068500008</v>
      </c>
      <c r="C2938" t="s">
        <v>3358</v>
      </c>
      <c r="D2938" t="s">
        <v>172</v>
      </c>
      <c r="E2938">
        <v>33</v>
      </c>
      <c r="F2938">
        <v>668</v>
      </c>
      <c r="G2938" t="s">
        <v>705</v>
      </c>
      <c r="H2938">
        <v>7</v>
      </c>
      <c r="I2938" t="s">
        <v>34</v>
      </c>
      <c r="J2938">
        <v>5</v>
      </c>
      <c r="K2938" t="s">
        <v>34</v>
      </c>
      <c r="L2938">
        <v>8</v>
      </c>
      <c r="M2938">
        <v>85087</v>
      </c>
      <c r="N2938">
        <v>2</v>
      </c>
    </row>
    <row r="2939" spans="1:14" x14ac:dyDescent="0.2">
      <c r="A2939" s="3">
        <f t="shared" si="47"/>
        <v>5606855</v>
      </c>
      <c r="B2939" t="str">
        <f>"56068550010"</f>
        <v>56068550010</v>
      </c>
      <c r="C2939" t="s">
        <v>3359</v>
      </c>
      <c r="D2939" t="s">
        <v>289</v>
      </c>
      <c r="E2939">
        <v>74</v>
      </c>
      <c r="F2939">
        <v>8086</v>
      </c>
      <c r="G2939" t="s">
        <v>290</v>
      </c>
      <c r="H2939">
        <v>8</v>
      </c>
      <c r="I2939" t="s">
        <v>25</v>
      </c>
      <c r="J2939">
        <v>6</v>
      </c>
      <c r="K2939" t="s">
        <v>25</v>
      </c>
      <c r="L2939">
        <v>8</v>
      </c>
      <c r="M2939">
        <v>86011</v>
      </c>
      <c r="N2939">
        <v>1</v>
      </c>
    </row>
    <row r="2940" spans="1:14" x14ac:dyDescent="0.2">
      <c r="A2940" s="3">
        <f t="shared" si="47"/>
        <v>5606855</v>
      </c>
      <c r="B2940" t="str">
        <f>"56068550010"</f>
        <v>56068550010</v>
      </c>
      <c r="C2940" t="s">
        <v>3359</v>
      </c>
      <c r="D2940" t="s">
        <v>289</v>
      </c>
      <c r="E2940">
        <v>74</v>
      </c>
      <c r="F2940">
        <v>2448</v>
      </c>
      <c r="G2940" t="s">
        <v>3360</v>
      </c>
      <c r="H2940">
        <v>8</v>
      </c>
      <c r="I2940" t="s">
        <v>25</v>
      </c>
      <c r="J2940">
        <v>6</v>
      </c>
      <c r="K2940" t="s">
        <v>25</v>
      </c>
      <c r="L2940">
        <v>8</v>
      </c>
      <c r="M2940">
        <v>86011</v>
      </c>
      <c r="N2940">
        <v>1</v>
      </c>
    </row>
    <row r="2941" spans="1:14" x14ac:dyDescent="0.2">
      <c r="A2941" s="3">
        <f t="shared" si="47"/>
        <v>5606856</v>
      </c>
      <c r="B2941" t="str">
        <f>"56068560001"</f>
        <v>56068560001</v>
      </c>
      <c r="C2941" t="s">
        <v>3361</v>
      </c>
      <c r="D2941" t="s">
        <v>52</v>
      </c>
      <c r="E2941">
        <v>91</v>
      </c>
      <c r="F2941">
        <v>7611</v>
      </c>
      <c r="G2941" t="s">
        <v>370</v>
      </c>
      <c r="H2941">
        <v>8</v>
      </c>
      <c r="I2941" t="s">
        <v>34</v>
      </c>
      <c r="J2941">
        <v>5</v>
      </c>
      <c r="K2941" t="s">
        <v>34</v>
      </c>
      <c r="L2941">
        <v>6</v>
      </c>
      <c r="M2941" t="s">
        <v>65</v>
      </c>
      <c r="N2941">
        <v>3</v>
      </c>
    </row>
    <row r="2942" spans="1:14" x14ac:dyDescent="0.2">
      <c r="A2942" s="3">
        <f t="shared" si="47"/>
        <v>5606862</v>
      </c>
      <c r="B2942" t="str">
        <f>"56068620006"</f>
        <v>56068620006</v>
      </c>
      <c r="C2942" t="s">
        <v>3362</v>
      </c>
      <c r="D2942" t="s">
        <v>172</v>
      </c>
      <c r="E2942">
        <v>33</v>
      </c>
      <c r="F2942">
        <v>6968</v>
      </c>
      <c r="G2942" t="s">
        <v>410</v>
      </c>
      <c r="H2942">
        <v>10</v>
      </c>
      <c r="I2942" t="s">
        <v>34</v>
      </c>
      <c r="J2942">
        <v>7</v>
      </c>
      <c r="K2942" t="s">
        <v>34</v>
      </c>
      <c r="L2942">
        <v>8</v>
      </c>
      <c r="M2942">
        <v>84212</v>
      </c>
      <c r="N2942">
        <v>3</v>
      </c>
    </row>
    <row r="2943" spans="1:14" x14ac:dyDescent="0.2">
      <c r="A2943" s="3">
        <f t="shared" si="47"/>
        <v>5606865</v>
      </c>
      <c r="B2943" t="str">
        <f>"56068650024"</f>
        <v>56068650024</v>
      </c>
      <c r="C2943" t="s">
        <v>3363</v>
      </c>
      <c r="D2943" t="s">
        <v>289</v>
      </c>
      <c r="E2943">
        <v>74</v>
      </c>
      <c r="F2943">
        <v>8086</v>
      </c>
      <c r="G2943" t="s">
        <v>290</v>
      </c>
      <c r="H2943">
        <v>12</v>
      </c>
      <c r="I2943" t="s">
        <v>25</v>
      </c>
      <c r="J2943">
        <v>9</v>
      </c>
      <c r="K2943" t="s">
        <v>25</v>
      </c>
      <c r="L2943">
        <v>8</v>
      </c>
      <c r="M2943">
        <v>86008</v>
      </c>
      <c r="N2943">
        <v>1</v>
      </c>
    </row>
    <row r="2944" spans="1:14" x14ac:dyDescent="0.2">
      <c r="A2944" s="3">
        <f t="shared" si="47"/>
        <v>5606865</v>
      </c>
      <c r="B2944" t="str">
        <f>"56068650024"</f>
        <v>56068650024</v>
      </c>
      <c r="C2944" t="s">
        <v>3363</v>
      </c>
      <c r="D2944" t="s">
        <v>289</v>
      </c>
      <c r="E2944">
        <v>74</v>
      </c>
      <c r="F2944">
        <v>2446</v>
      </c>
      <c r="G2944" t="s">
        <v>3364</v>
      </c>
      <c r="H2944">
        <v>12</v>
      </c>
      <c r="I2944" t="s">
        <v>25</v>
      </c>
      <c r="J2944">
        <v>9</v>
      </c>
      <c r="K2944" t="s">
        <v>25</v>
      </c>
      <c r="L2944">
        <v>8</v>
      </c>
      <c r="M2944">
        <v>86008</v>
      </c>
      <c r="N2944">
        <v>1</v>
      </c>
    </row>
    <row r="2945" spans="1:14" x14ac:dyDescent="0.2">
      <c r="A2945" s="3">
        <f t="shared" si="47"/>
        <v>5606872</v>
      </c>
      <c r="B2945" t="str">
        <f>"56068720006"</f>
        <v>56068720006</v>
      </c>
      <c r="C2945" t="s">
        <v>3365</v>
      </c>
      <c r="D2945" t="s">
        <v>115</v>
      </c>
      <c r="E2945">
        <v>62</v>
      </c>
      <c r="F2945">
        <v>1803</v>
      </c>
      <c r="G2945" t="s">
        <v>3251</v>
      </c>
      <c r="H2945">
        <v>8</v>
      </c>
      <c r="I2945" t="s">
        <v>25</v>
      </c>
      <c r="J2945">
        <v>6</v>
      </c>
      <c r="K2945" t="s">
        <v>25</v>
      </c>
      <c r="L2945">
        <v>8</v>
      </c>
      <c r="M2945">
        <v>71156</v>
      </c>
      <c r="N2945">
        <v>2</v>
      </c>
    </row>
    <row r="2946" spans="1:14" x14ac:dyDescent="0.2">
      <c r="A2946" s="3">
        <f t="shared" si="47"/>
        <v>5606873</v>
      </c>
      <c r="B2946" t="str">
        <f>"56068730008"</f>
        <v>56068730008</v>
      </c>
      <c r="C2946" t="s">
        <v>3366</v>
      </c>
      <c r="D2946" t="s">
        <v>115</v>
      </c>
      <c r="E2946">
        <v>62</v>
      </c>
      <c r="F2946">
        <v>1803</v>
      </c>
      <c r="G2946" t="s">
        <v>3251</v>
      </c>
      <c r="H2946">
        <v>8</v>
      </c>
      <c r="I2946" t="s">
        <v>25</v>
      </c>
      <c r="J2946">
        <v>6</v>
      </c>
      <c r="K2946" t="s">
        <v>25</v>
      </c>
      <c r="L2946">
        <v>8</v>
      </c>
      <c r="M2946">
        <v>71256</v>
      </c>
      <c r="N2946">
        <v>2</v>
      </c>
    </row>
    <row r="2947" spans="1:14" x14ac:dyDescent="0.2">
      <c r="A2947" s="3">
        <f t="shared" si="47"/>
        <v>5606883</v>
      </c>
      <c r="B2947" t="str">
        <f>"56068830001"</f>
        <v>56068830001</v>
      </c>
      <c r="C2947" t="s">
        <v>3367</v>
      </c>
      <c r="D2947" t="s">
        <v>337</v>
      </c>
      <c r="E2947">
        <v>92</v>
      </c>
      <c r="F2947">
        <v>842</v>
      </c>
      <c r="G2947" t="s">
        <v>665</v>
      </c>
      <c r="H2947">
        <v>5</v>
      </c>
      <c r="I2947" t="s">
        <v>34</v>
      </c>
      <c r="J2947">
        <v>3</v>
      </c>
      <c r="K2947" t="s">
        <v>34</v>
      </c>
      <c r="L2947">
        <v>8</v>
      </c>
      <c r="M2947">
        <v>91112</v>
      </c>
      <c r="N2947">
        <v>2</v>
      </c>
    </row>
    <row r="2948" spans="1:14" x14ac:dyDescent="0.2">
      <c r="A2948" s="3">
        <f t="shared" ref="A2948:A3011" si="48">(B2948-RIGHT(B2948,4))/10000</f>
        <v>5606884</v>
      </c>
      <c r="B2948" t="str">
        <f>"56068840001"</f>
        <v>56068840001</v>
      </c>
      <c r="C2948" t="s">
        <v>3368</v>
      </c>
      <c r="D2948" t="s">
        <v>337</v>
      </c>
      <c r="E2948">
        <v>92</v>
      </c>
      <c r="F2948">
        <v>842</v>
      </c>
      <c r="G2948" t="s">
        <v>665</v>
      </c>
      <c r="H2948">
        <v>5</v>
      </c>
      <c r="I2948" t="s">
        <v>34</v>
      </c>
      <c r="J2948">
        <v>3</v>
      </c>
      <c r="K2948" t="s">
        <v>34</v>
      </c>
      <c r="L2948">
        <v>8</v>
      </c>
      <c r="M2948">
        <v>91111</v>
      </c>
      <c r="N2948">
        <v>2</v>
      </c>
    </row>
    <row r="2949" spans="1:14" x14ac:dyDescent="0.2">
      <c r="A2949" s="3">
        <f t="shared" si="48"/>
        <v>5606885</v>
      </c>
      <c r="B2949" t="str">
        <f>"56068850001"</f>
        <v>56068850001</v>
      </c>
      <c r="C2949" t="s">
        <v>3369</v>
      </c>
      <c r="D2949" t="s">
        <v>337</v>
      </c>
      <c r="E2949">
        <v>92</v>
      </c>
      <c r="F2949">
        <v>969</v>
      </c>
      <c r="G2949" t="s">
        <v>2457</v>
      </c>
      <c r="H2949">
        <v>6</v>
      </c>
      <c r="I2949" t="s">
        <v>34</v>
      </c>
      <c r="J2949">
        <v>4</v>
      </c>
      <c r="K2949" t="s">
        <v>34</v>
      </c>
      <c r="L2949">
        <v>8</v>
      </c>
      <c r="M2949">
        <v>91098</v>
      </c>
      <c r="N2949">
        <v>2</v>
      </c>
    </row>
    <row r="2950" spans="1:14" x14ac:dyDescent="0.2">
      <c r="A2950" s="3">
        <f t="shared" si="48"/>
        <v>5606910</v>
      </c>
      <c r="B2950" t="str">
        <f>"56069100060"</f>
        <v>56069100060</v>
      </c>
      <c r="C2950" t="s">
        <v>3370</v>
      </c>
      <c r="D2950" t="s">
        <v>289</v>
      </c>
      <c r="E2950">
        <v>74</v>
      </c>
      <c r="F2950">
        <v>8086</v>
      </c>
      <c r="G2950" t="s">
        <v>290</v>
      </c>
      <c r="H2950">
        <v>6</v>
      </c>
      <c r="I2950" t="s">
        <v>25</v>
      </c>
      <c r="J2950">
        <v>4</v>
      </c>
      <c r="K2950" t="s">
        <v>25</v>
      </c>
      <c r="L2950">
        <v>8</v>
      </c>
      <c r="M2950">
        <v>86007</v>
      </c>
      <c r="N2950">
        <v>1</v>
      </c>
    </row>
    <row r="2951" spans="1:14" x14ac:dyDescent="0.2">
      <c r="A2951" s="3">
        <f t="shared" si="48"/>
        <v>5606910</v>
      </c>
      <c r="B2951" t="str">
        <f>"56069100060"</f>
        <v>56069100060</v>
      </c>
      <c r="C2951" t="s">
        <v>3370</v>
      </c>
      <c r="D2951" t="s">
        <v>289</v>
      </c>
      <c r="E2951">
        <v>74</v>
      </c>
      <c r="F2951">
        <v>2037</v>
      </c>
      <c r="G2951" t="s">
        <v>3218</v>
      </c>
      <c r="H2951">
        <v>6</v>
      </c>
      <c r="I2951" t="s">
        <v>25</v>
      </c>
      <c r="J2951">
        <v>4</v>
      </c>
      <c r="K2951" t="s">
        <v>25</v>
      </c>
      <c r="L2951">
        <v>8</v>
      </c>
      <c r="M2951">
        <v>86007</v>
      </c>
      <c r="N2951">
        <v>1</v>
      </c>
    </row>
    <row r="2952" spans="1:14" x14ac:dyDescent="0.2">
      <c r="A2952" s="3">
        <f t="shared" si="48"/>
        <v>5606919</v>
      </c>
      <c r="B2952" t="str">
        <f>"56069190026"</f>
        <v>56069190026</v>
      </c>
      <c r="C2952" t="s">
        <v>3371</v>
      </c>
      <c r="D2952" t="s">
        <v>289</v>
      </c>
      <c r="E2952">
        <v>74</v>
      </c>
      <c r="F2952">
        <v>8086</v>
      </c>
      <c r="G2952" t="s">
        <v>290</v>
      </c>
      <c r="H2952">
        <v>8</v>
      </c>
      <c r="I2952" t="s">
        <v>25</v>
      </c>
      <c r="J2952">
        <v>6</v>
      </c>
      <c r="K2952" t="s">
        <v>25</v>
      </c>
      <c r="L2952">
        <v>8</v>
      </c>
      <c r="M2952">
        <v>86049</v>
      </c>
      <c r="N2952">
        <v>1</v>
      </c>
    </row>
    <row r="2953" spans="1:14" x14ac:dyDescent="0.2">
      <c r="A2953" s="3">
        <f t="shared" si="48"/>
        <v>5606919</v>
      </c>
      <c r="B2953" t="str">
        <f>"56069190026"</f>
        <v>56069190026</v>
      </c>
      <c r="C2953" t="s">
        <v>3371</v>
      </c>
      <c r="D2953" t="s">
        <v>289</v>
      </c>
      <c r="E2953">
        <v>74</v>
      </c>
      <c r="F2953">
        <v>2037</v>
      </c>
      <c r="G2953" t="s">
        <v>3218</v>
      </c>
      <c r="H2953">
        <v>8</v>
      </c>
      <c r="I2953" t="s">
        <v>25</v>
      </c>
      <c r="J2953">
        <v>6</v>
      </c>
      <c r="K2953" t="s">
        <v>25</v>
      </c>
      <c r="L2953">
        <v>8</v>
      </c>
      <c r="M2953">
        <v>86049</v>
      </c>
      <c r="N2953">
        <v>1</v>
      </c>
    </row>
    <row r="2954" spans="1:14" x14ac:dyDescent="0.2">
      <c r="A2954" s="3">
        <f t="shared" si="48"/>
        <v>5606923</v>
      </c>
      <c r="B2954" t="str">
        <f>"56069230022"</f>
        <v>56069230022</v>
      </c>
      <c r="C2954" t="s">
        <v>3372</v>
      </c>
      <c r="D2954" t="s">
        <v>289</v>
      </c>
      <c r="E2954">
        <v>74</v>
      </c>
      <c r="F2954">
        <v>8086</v>
      </c>
      <c r="G2954" t="s">
        <v>290</v>
      </c>
      <c r="H2954">
        <v>12</v>
      </c>
      <c r="I2954" t="s">
        <v>25</v>
      </c>
      <c r="J2954">
        <v>9</v>
      </c>
      <c r="K2954" t="s">
        <v>25</v>
      </c>
      <c r="L2954">
        <v>8</v>
      </c>
      <c r="M2954">
        <v>86047</v>
      </c>
      <c r="N2954">
        <v>3</v>
      </c>
    </row>
    <row r="2955" spans="1:14" x14ac:dyDescent="0.2">
      <c r="A2955" s="3">
        <f t="shared" si="48"/>
        <v>5606923</v>
      </c>
      <c r="B2955" t="str">
        <f>"56069230022"</f>
        <v>56069230022</v>
      </c>
      <c r="C2955" t="s">
        <v>3372</v>
      </c>
      <c r="D2955" t="s">
        <v>289</v>
      </c>
      <c r="E2955">
        <v>74</v>
      </c>
      <c r="F2955">
        <v>1769</v>
      </c>
      <c r="G2955" t="s">
        <v>3096</v>
      </c>
      <c r="H2955">
        <v>12</v>
      </c>
      <c r="I2955" t="s">
        <v>25</v>
      </c>
      <c r="J2955">
        <v>9</v>
      </c>
      <c r="K2955" t="s">
        <v>25</v>
      </c>
      <c r="L2955">
        <v>8</v>
      </c>
      <c r="M2955">
        <v>86047</v>
      </c>
      <c r="N2955">
        <v>3</v>
      </c>
    </row>
    <row r="2956" spans="1:14" x14ac:dyDescent="0.2">
      <c r="A2956" s="3">
        <f t="shared" si="48"/>
        <v>5606926</v>
      </c>
      <c r="B2956" t="str">
        <f>"56069260006"</f>
        <v>56069260006</v>
      </c>
      <c r="C2956" t="s">
        <v>3373</v>
      </c>
      <c r="D2956" t="s">
        <v>52</v>
      </c>
      <c r="E2956">
        <v>48</v>
      </c>
      <c r="F2956">
        <v>2607</v>
      </c>
      <c r="G2956" t="s">
        <v>3374</v>
      </c>
      <c r="H2956">
        <v>16</v>
      </c>
      <c r="I2956" t="s">
        <v>25</v>
      </c>
      <c r="J2956">
        <v>13</v>
      </c>
      <c r="K2956" t="s">
        <v>25</v>
      </c>
      <c r="L2956">
        <v>6</v>
      </c>
      <c r="M2956">
        <v>3619</v>
      </c>
      <c r="N2956">
        <v>3</v>
      </c>
    </row>
    <row r="2957" spans="1:14" x14ac:dyDescent="0.2">
      <c r="A2957" s="3">
        <f t="shared" si="48"/>
        <v>5606935</v>
      </c>
      <c r="B2957" t="str">
        <f>"56069350008"</f>
        <v>56069350008</v>
      </c>
      <c r="C2957" t="s">
        <v>3375</v>
      </c>
      <c r="D2957" t="s">
        <v>52</v>
      </c>
      <c r="E2957">
        <v>20</v>
      </c>
      <c r="F2957">
        <v>8086</v>
      </c>
      <c r="G2957" t="s">
        <v>290</v>
      </c>
      <c r="H2957">
        <v>12</v>
      </c>
      <c r="I2957" t="s">
        <v>25</v>
      </c>
      <c r="J2957">
        <v>9</v>
      </c>
      <c r="K2957" t="s">
        <v>25</v>
      </c>
      <c r="L2957">
        <v>6</v>
      </c>
      <c r="M2957">
        <v>99542</v>
      </c>
      <c r="N2957">
        <v>3</v>
      </c>
    </row>
    <row r="2958" spans="1:14" x14ac:dyDescent="0.2">
      <c r="A2958" s="3">
        <f t="shared" si="48"/>
        <v>5606960</v>
      </c>
      <c r="B2958" t="str">
        <f>"56069600020"</f>
        <v>56069600020</v>
      </c>
      <c r="C2958" t="s">
        <v>3376</v>
      </c>
      <c r="D2958" t="s">
        <v>52</v>
      </c>
      <c r="E2958">
        <v>71</v>
      </c>
      <c r="F2958">
        <v>1477</v>
      </c>
      <c r="G2958" t="s">
        <v>1227</v>
      </c>
      <c r="H2958">
        <v>6</v>
      </c>
      <c r="I2958" t="s">
        <v>25</v>
      </c>
      <c r="J2958">
        <v>4</v>
      </c>
      <c r="K2958" t="s">
        <v>25</v>
      </c>
      <c r="L2958">
        <v>6</v>
      </c>
      <c r="M2958">
        <v>51606</v>
      </c>
      <c r="N2958">
        <v>2</v>
      </c>
    </row>
    <row r="2959" spans="1:14" x14ac:dyDescent="0.2">
      <c r="A2959" s="3">
        <f t="shared" si="48"/>
        <v>5607012</v>
      </c>
      <c r="B2959" t="str">
        <f>"56070120006"</f>
        <v>56070120006</v>
      </c>
      <c r="C2959" t="s">
        <v>3377</v>
      </c>
      <c r="D2959" t="s">
        <v>36</v>
      </c>
      <c r="E2959">
        <v>52</v>
      </c>
      <c r="F2959">
        <v>1211</v>
      </c>
      <c r="G2959" t="s">
        <v>1206</v>
      </c>
      <c r="H2959">
        <v>24</v>
      </c>
      <c r="I2959" t="s">
        <v>25</v>
      </c>
      <c r="J2959">
        <v>20</v>
      </c>
      <c r="K2959" t="s">
        <v>25</v>
      </c>
      <c r="L2959">
        <v>8</v>
      </c>
      <c r="M2959">
        <v>73019</v>
      </c>
      <c r="N2959">
        <v>4</v>
      </c>
    </row>
    <row r="2960" spans="1:14" x14ac:dyDescent="0.2">
      <c r="A2960" s="3">
        <f t="shared" si="48"/>
        <v>5607015</v>
      </c>
      <c r="B2960" t="str">
        <f>"56070150009"</f>
        <v>56070150009</v>
      </c>
      <c r="C2960" t="s">
        <v>3378</v>
      </c>
      <c r="D2960" t="s">
        <v>289</v>
      </c>
      <c r="E2960">
        <v>73</v>
      </c>
      <c r="F2960">
        <v>8086</v>
      </c>
      <c r="G2960" t="s">
        <v>290</v>
      </c>
      <c r="H2960">
        <v>6</v>
      </c>
      <c r="I2960" t="s">
        <v>25</v>
      </c>
      <c r="J2960">
        <v>4</v>
      </c>
      <c r="K2960" t="s">
        <v>25</v>
      </c>
      <c r="L2960">
        <v>8</v>
      </c>
      <c r="M2960">
        <v>86078</v>
      </c>
      <c r="N2960">
        <v>1</v>
      </c>
    </row>
    <row r="2961" spans="1:14" x14ac:dyDescent="0.2">
      <c r="A2961" s="3">
        <f t="shared" si="48"/>
        <v>5607015</v>
      </c>
      <c r="B2961" t="str">
        <f>"56070150009"</f>
        <v>56070150009</v>
      </c>
      <c r="C2961" t="s">
        <v>3378</v>
      </c>
      <c r="D2961" t="s">
        <v>289</v>
      </c>
      <c r="E2961">
        <v>73</v>
      </c>
      <c r="F2961">
        <v>1968</v>
      </c>
      <c r="G2961" t="s">
        <v>3195</v>
      </c>
      <c r="H2961">
        <v>6</v>
      </c>
      <c r="I2961" t="s">
        <v>25</v>
      </c>
      <c r="J2961">
        <v>4</v>
      </c>
      <c r="K2961" t="s">
        <v>25</v>
      </c>
      <c r="L2961">
        <v>8</v>
      </c>
      <c r="M2961">
        <v>86078</v>
      </c>
      <c r="N2961">
        <v>1</v>
      </c>
    </row>
    <row r="2962" spans="1:14" x14ac:dyDescent="0.2">
      <c r="A2962" s="3">
        <f t="shared" si="48"/>
        <v>5607050</v>
      </c>
      <c r="B2962" t="str">
        <f>"56070500006"</f>
        <v>56070500006</v>
      </c>
      <c r="C2962" t="s">
        <v>3379</v>
      </c>
      <c r="D2962" t="s">
        <v>386</v>
      </c>
      <c r="E2962">
        <v>60</v>
      </c>
      <c r="F2962">
        <v>7597</v>
      </c>
      <c r="G2962" t="s">
        <v>803</v>
      </c>
      <c r="H2962" t="s">
        <v>44</v>
      </c>
      <c r="I2962" t="s">
        <v>45</v>
      </c>
      <c r="J2962" t="s">
        <v>44</v>
      </c>
      <c r="K2962" t="s">
        <v>45</v>
      </c>
      <c r="L2962">
        <v>8</v>
      </c>
      <c r="M2962">
        <v>61050</v>
      </c>
      <c r="N2962" t="s">
        <v>46</v>
      </c>
    </row>
    <row r="2963" spans="1:14" x14ac:dyDescent="0.2">
      <c r="A2963" s="3">
        <f t="shared" si="48"/>
        <v>5607061</v>
      </c>
      <c r="B2963" t="str">
        <f>"56070610006"</f>
        <v>56070610006</v>
      </c>
      <c r="C2963" t="s">
        <v>3380</v>
      </c>
      <c r="D2963" t="s">
        <v>386</v>
      </c>
      <c r="E2963">
        <v>60</v>
      </c>
      <c r="F2963">
        <v>3214</v>
      </c>
      <c r="G2963" t="s">
        <v>3381</v>
      </c>
      <c r="H2963" t="s">
        <v>44</v>
      </c>
      <c r="I2963" t="s">
        <v>45</v>
      </c>
      <c r="J2963" t="s">
        <v>44</v>
      </c>
      <c r="K2963" t="s">
        <v>45</v>
      </c>
      <c r="L2963">
        <v>8</v>
      </c>
      <c r="M2963">
        <v>61210</v>
      </c>
      <c r="N2963" t="s">
        <v>46</v>
      </c>
    </row>
    <row r="2964" spans="1:14" x14ac:dyDescent="0.2">
      <c r="A2964" s="3">
        <f t="shared" si="48"/>
        <v>5607062</v>
      </c>
      <c r="B2964" t="str">
        <f>"56070620006"</f>
        <v>56070620006</v>
      </c>
      <c r="C2964" t="s">
        <v>3382</v>
      </c>
      <c r="D2964" t="s">
        <v>386</v>
      </c>
      <c r="E2964">
        <v>60</v>
      </c>
      <c r="F2964">
        <v>1865</v>
      </c>
      <c r="G2964" t="s">
        <v>3383</v>
      </c>
      <c r="H2964" t="s">
        <v>44</v>
      </c>
      <c r="I2964" t="s">
        <v>45</v>
      </c>
      <c r="J2964" t="s">
        <v>44</v>
      </c>
      <c r="K2964" t="s">
        <v>45</v>
      </c>
      <c r="L2964">
        <v>8</v>
      </c>
      <c r="M2964">
        <v>61102</v>
      </c>
      <c r="N2964" t="s">
        <v>46</v>
      </c>
    </row>
    <row r="2965" spans="1:14" x14ac:dyDescent="0.2">
      <c r="A2965" s="3">
        <f t="shared" si="48"/>
        <v>5607082</v>
      </c>
      <c r="B2965" t="str">
        <f>"56070820036"</f>
        <v>56070820036</v>
      </c>
      <c r="C2965" t="s">
        <v>3384</v>
      </c>
      <c r="D2965" t="s">
        <v>289</v>
      </c>
      <c r="E2965">
        <v>74</v>
      </c>
      <c r="F2965">
        <v>8086</v>
      </c>
      <c r="G2965" t="s">
        <v>290</v>
      </c>
      <c r="H2965">
        <v>6</v>
      </c>
      <c r="I2965" t="s">
        <v>25</v>
      </c>
      <c r="J2965">
        <v>4</v>
      </c>
      <c r="K2965" t="s">
        <v>25</v>
      </c>
      <c r="L2965">
        <v>8</v>
      </c>
      <c r="M2965">
        <v>86055</v>
      </c>
      <c r="N2965">
        <v>1</v>
      </c>
    </row>
    <row r="2966" spans="1:14" x14ac:dyDescent="0.2">
      <c r="A2966" s="3">
        <f t="shared" si="48"/>
        <v>5607082</v>
      </c>
      <c r="B2966" t="str">
        <f>"56070820036"</f>
        <v>56070820036</v>
      </c>
      <c r="C2966" t="s">
        <v>3384</v>
      </c>
      <c r="D2966" t="s">
        <v>289</v>
      </c>
      <c r="E2966">
        <v>74</v>
      </c>
      <c r="F2966">
        <v>2445</v>
      </c>
      <c r="G2966" t="s">
        <v>3385</v>
      </c>
      <c r="H2966">
        <v>6</v>
      </c>
      <c r="I2966" t="s">
        <v>25</v>
      </c>
      <c r="J2966">
        <v>4</v>
      </c>
      <c r="K2966" t="s">
        <v>25</v>
      </c>
      <c r="L2966">
        <v>8</v>
      </c>
      <c r="M2966">
        <v>86055</v>
      </c>
      <c r="N2966">
        <v>1</v>
      </c>
    </row>
    <row r="2967" spans="1:14" x14ac:dyDescent="0.2">
      <c r="A2967" s="3">
        <f t="shared" si="48"/>
        <v>5607156</v>
      </c>
      <c r="B2967" t="str">
        <f>"56071560006"</f>
        <v>56071560006</v>
      </c>
      <c r="C2967" t="s">
        <v>3386</v>
      </c>
      <c r="D2967" t="s">
        <v>386</v>
      </c>
      <c r="E2967">
        <v>60</v>
      </c>
      <c r="F2967">
        <v>1635</v>
      </c>
      <c r="G2967" t="s">
        <v>3387</v>
      </c>
      <c r="H2967" t="s">
        <v>44</v>
      </c>
      <c r="I2967" t="s">
        <v>45</v>
      </c>
      <c r="J2967" t="s">
        <v>44</v>
      </c>
      <c r="K2967" t="s">
        <v>45</v>
      </c>
      <c r="L2967">
        <v>8</v>
      </c>
      <c r="M2967">
        <v>62129</v>
      </c>
      <c r="N2967" t="s">
        <v>46</v>
      </c>
    </row>
    <row r="2968" spans="1:14" x14ac:dyDescent="0.2">
      <c r="A2968" s="3">
        <f t="shared" si="48"/>
        <v>5607158</v>
      </c>
      <c r="B2968" t="str">
        <f>"56071580006"</f>
        <v>56071580006</v>
      </c>
      <c r="C2968" t="s">
        <v>3388</v>
      </c>
      <c r="D2968" t="s">
        <v>386</v>
      </c>
      <c r="E2968">
        <v>60</v>
      </c>
      <c r="F2968">
        <v>785</v>
      </c>
      <c r="G2968" t="s">
        <v>3389</v>
      </c>
      <c r="H2968" t="s">
        <v>44</v>
      </c>
      <c r="I2968" t="s">
        <v>45</v>
      </c>
      <c r="J2968" t="s">
        <v>44</v>
      </c>
      <c r="K2968" t="s">
        <v>45</v>
      </c>
      <c r="L2968">
        <v>8</v>
      </c>
      <c r="M2968">
        <v>61159</v>
      </c>
      <c r="N2968" t="s">
        <v>46</v>
      </c>
    </row>
    <row r="2969" spans="1:14" x14ac:dyDescent="0.2">
      <c r="A2969" s="3">
        <f t="shared" si="48"/>
        <v>5607161</v>
      </c>
      <c r="B2969" t="str">
        <f>"56071610006"</f>
        <v>56071610006</v>
      </c>
      <c r="C2969" t="s">
        <v>3390</v>
      </c>
      <c r="D2969" t="s">
        <v>386</v>
      </c>
      <c r="E2969">
        <v>60</v>
      </c>
      <c r="F2969">
        <v>2230</v>
      </c>
      <c r="G2969" t="s">
        <v>1523</v>
      </c>
      <c r="H2969" t="s">
        <v>44</v>
      </c>
      <c r="I2969" t="s">
        <v>45</v>
      </c>
      <c r="J2969" t="s">
        <v>44</v>
      </c>
      <c r="K2969" t="s">
        <v>45</v>
      </c>
      <c r="L2969">
        <v>8</v>
      </c>
      <c r="M2969">
        <v>61089</v>
      </c>
      <c r="N2969" t="s">
        <v>46</v>
      </c>
    </row>
    <row r="2970" spans="1:14" x14ac:dyDescent="0.2">
      <c r="A2970" s="3">
        <f t="shared" si="48"/>
        <v>5607177</v>
      </c>
      <c r="B2970" t="str">
        <f>"56071770006"</f>
        <v>56071770006</v>
      </c>
      <c r="C2970" t="s">
        <v>3391</v>
      </c>
      <c r="D2970" t="s">
        <v>386</v>
      </c>
      <c r="E2970">
        <v>60</v>
      </c>
      <c r="F2970">
        <v>4849</v>
      </c>
      <c r="G2970" t="s">
        <v>3392</v>
      </c>
      <c r="H2970" t="s">
        <v>44</v>
      </c>
      <c r="I2970" t="s">
        <v>45</v>
      </c>
      <c r="J2970" t="s">
        <v>44</v>
      </c>
      <c r="K2970" t="s">
        <v>45</v>
      </c>
      <c r="L2970">
        <v>8</v>
      </c>
      <c r="M2970">
        <v>61072</v>
      </c>
      <c r="N2970" t="s">
        <v>46</v>
      </c>
    </row>
    <row r="2971" spans="1:14" x14ac:dyDescent="0.2">
      <c r="A2971" s="3">
        <f t="shared" si="48"/>
        <v>5607244</v>
      </c>
      <c r="B2971" t="str">
        <f>"56072440006"</f>
        <v>56072440006</v>
      </c>
      <c r="C2971" t="s">
        <v>3393</v>
      </c>
      <c r="D2971" t="s">
        <v>386</v>
      </c>
      <c r="E2971">
        <v>60</v>
      </c>
      <c r="F2971">
        <v>1218</v>
      </c>
      <c r="G2971" t="s">
        <v>3394</v>
      </c>
      <c r="H2971" t="s">
        <v>44</v>
      </c>
      <c r="I2971" t="s">
        <v>45</v>
      </c>
      <c r="J2971" t="s">
        <v>44</v>
      </c>
      <c r="K2971" t="s">
        <v>45</v>
      </c>
      <c r="L2971">
        <v>8</v>
      </c>
      <c r="M2971">
        <v>61160</v>
      </c>
      <c r="N2971" t="s">
        <v>46</v>
      </c>
    </row>
    <row r="2972" spans="1:14" x14ac:dyDescent="0.2">
      <c r="A2972" s="3">
        <f t="shared" si="48"/>
        <v>5607328</v>
      </c>
      <c r="B2972" t="str">
        <f>"56073280006"</f>
        <v>56073280006</v>
      </c>
      <c r="C2972" t="s">
        <v>3395</v>
      </c>
      <c r="D2972" t="s">
        <v>36</v>
      </c>
      <c r="E2972">
        <v>52</v>
      </c>
      <c r="F2972">
        <v>2539</v>
      </c>
      <c r="G2972" t="s">
        <v>3396</v>
      </c>
      <c r="H2972">
        <v>24</v>
      </c>
      <c r="I2972" t="s">
        <v>25</v>
      </c>
      <c r="J2972">
        <v>20</v>
      </c>
      <c r="K2972" t="s">
        <v>25</v>
      </c>
      <c r="L2972">
        <v>8</v>
      </c>
      <c r="M2972">
        <v>72237</v>
      </c>
      <c r="N2972">
        <v>4</v>
      </c>
    </row>
    <row r="2973" spans="1:14" x14ac:dyDescent="0.2">
      <c r="A2973" s="3">
        <f t="shared" si="48"/>
        <v>5607373</v>
      </c>
      <c r="B2973" t="str">
        <f>"56073730010"</f>
        <v>56073730010</v>
      </c>
      <c r="C2973" t="s">
        <v>3397</v>
      </c>
      <c r="D2973" t="s">
        <v>36</v>
      </c>
      <c r="E2973">
        <v>46</v>
      </c>
      <c r="F2973">
        <v>4281</v>
      </c>
      <c r="G2973" t="s">
        <v>491</v>
      </c>
      <c r="H2973">
        <v>8</v>
      </c>
      <c r="I2973" t="s">
        <v>25</v>
      </c>
      <c r="J2973">
        <v>6</v>
      </c>
      <c r="K2973" t="s">
        <v>25</v>
      </c>
      <c r="L2973">
        <v>8</v>
      </c>
      <c r="M2973">
        <v>73192</v>
      </c>
      <c r="N2973">
        <v>2</v>
      </c>
    </row>
    <row r="2974" spans="1:14" x14ac:dyDescent="0.2">
      <c r="A2974" s="3">
        <f t="shared" si="48"/>
        <v>5607374</v>
      </c>
      <c r="B2974" t="str">
        <f>"56073740010"</f>
        <v>56073740010</v>
      </c>
      <c r="C2974" t="s">
        <v>3398</v>
      </c>
      <c r="D2974" t="s">
        <v>36</v>
      </c>
      <c r="E2974">
        <v>46</v>
      </c>
      <c r="F2974">
        <v>4281</v>
      </c>
      <c r="G2974" t="s">
        <v>491</v>
      </c>
      <c r="H2974">
        <v>8</v>
      </c>
      <c r="I2974" t="s">
        <v>25</v>
      </c>
      <c r="J2974">
        <v>6</v>
      </c>
      <c r="K2974" t="s">
        <v>25</v>
      </c>
      <c r="L2974">
        <v>8</v>
      </c>
      <c r="M2974">
        <v>73193</v>
      </c>
      <c r="N2974">
        <v>2</v>
      </c>
    </row>
    <row r="2975" spans="1:14" x14ac:dyDescent="0.2">
      <c r="A2975" s="3">
        <f t="shared" si="48"/>
        <v>5607379</v>
      </c>
      <c r="B2975" t="str">
        <f>"56073790006"</f>
        <v>56073790006</v>
      </c>
      <c r="C2975" t="s">
        <v>3399</v>
      </c>
      <c r="D2975" t="s">
        <v>52</v>
      </c>
      <c r="E2975">
        <v>30</v>
      </c>
      <c r="F2975">
        <v>4806</v>
      </c>
      <c r="G2975" t="s">
        <v>160</v>
      </c>
      <c r="H2975">
        <v>18</v>
      </c>
      <c r="I2975" t="s">
        <v>34</v>
      </c>
      <c r="J2975">
        <v>13</v>
      </c>
      <c r="K2975" t="s">
        <v>34</v>
      </c>
      <c r="L2975">
        <v>6</v>
      </c>
      <c r="M2975">
        <v>3506</v>
      </c>
      <c r="N2975">
        <v>5</v>
      </c>
    </row>
    <row r="2976" spans="1:14" x14ac:dyDescent="0.2">
      <c r="A2976" s="3">
        <f t="shared" si="48"/>
        <v>5607398</v>
      </c>
      <c r="B2976" t="str">
        <f>"56073980020"</f>
        <v>56073980020</v>
      </c>
      <c r="C2976" t="s">
        <v>3400</v>
      </c>
      <c r="D2976" t="s">
        <v>289</v>
      </c>
      <c r="E2976">
        <v>73</v>
      </c>
      <c r="F2976">
        <v>8086</v>
      </c>
      <c r="G2976" t="s">
        <v>290</v>
      </c>
      <c r="H2976">
        <v>8</v>
      </c>
      <c r="I2976" t="s">
        <v>25</v>
      </c>
      <c r="J2976">
        <v>6</v>
      </c>
      <c r="K2976" t="s">
        <v>25</v>
      </c>
      <c r="L2976">
        <v>8</v>
      </c>
      <c r="M2976">
        <v>86079</v>
      </c>
      <c r="N2976">
        <v>1</v>
      </c>
    </row>
    <row r="2977" spans="1:14" x14ac:dyDescent="0.2">
      <c r="A2977" s="3">
        <f t="shared" si="48"/>
        <v>5607398</v>
      </c>
      <c r="B2977" t="str">
        <f>"56073980020"</f>
        <v>56073980020</v>
      </c>
      <c r="C2977" t="s">
        <v>3400</v>
      </c>
      <c r="D2977" t="s">
        <v>289</v>
      </c>
      <c r="E2977">
        <v>73</v>
      </c>
      <c r="F2977">
        <v>1930</v>
      </c>
      <c r="G2977" t="s">
        <v>673</v>
      </c>
      <c r="H2977">
        <v>8</v>
      </c>
      <c r="I2977" t="s">
        <v>25</v>
      </c>
      <c r="J2977">
        <v>6</v>
      </c>
      <c r="K2977" t="s">
        <v>25</v>
      </c>
      <c r="L2977">
        <v>8</v>
      </c>
      <c r="M2977">
        <v>86079</v>
      </c>
      <c r="N2977">
        <v>1</v>
      </c>
    </row>
    <row r="2978" spans="1:14" x14ac:dyDescent="0.2">
      <c r="A2978" s="3">
        <f t="shared" si="48"/>
        <v>5607399</v>
      </c>
      <c r="B2978" t="str">
        <f>"56073990008"</f>
        <v>56073990008</v>
      </c>
      <c r="C2978" t="s">
        <v>3401</v>
      </c>
      <c r="D2978" t="s">
        <v>32</v>
      </c>
      <c r="E2978">
        <v>30</v>
      </c>
      <c r="F2978">
        <v>4806</v>
      </c>
      <c r="G2978" t="s">
        <v>160</v>
      </c>
      <c r="H2978">
        <v>14</v>
      </c>
      <c r="I2978" t="s">
        <v>34</v>
      </c>
      <c r="J2978">
        <v>9</v>
      </c>
      <c r="K2978" t="s">
        <v>34</v>
      </c>
      <c r="L2978">
        <v>8</v>
      </c>
      <c r="M2978">
        <v>82181</v>
      </c>
      <c r="N2978">
        <v>5</v>
      </c>
    </row>
    <row r="2979" spans="1:14" x14ac:dyDescent="0.2">
      <c r="A2979" s="3">
        <f t="shared" si="48"/>
        <v>5607420</v>
      </c>
      <c r="B2979" t="str">
        <f>"56074200040"</f>
        <v>56074200040</v>
      </c>
      <c r="C2979" t="s">
        <v>3402</v>
      </c>
      <c r="D2979" t="s">
        <v>52</v>
      </c>
      <c r="E2979">
        <v>71</v>
      </c>
      <c r="F2979">
        <v>330</v>
      </c>
      <c r="G2979" t="s">
        <v>629</v>
      </c>
      <c r="H2979">
        <v>16</v>
      </c>
      <c r="I2979" t="s">
        <v>25</v>
      </c>
      <c r="J2979">
        <v>13</v>
      </c>
      <c r="K2979" t="s">
        <v>25</v>
      </c>
      <c r="L2979">
        <v>5</v>
      </c>
      <c r="M2979" t="s">
        <v>65</v>
      </c>
      <c r="N2979">
        <v>3</v>
      </c>
    </row>
    <row r="2980" spans="1:14" x14ac:dyDescent="0.2">
      <c r="A2980" s="3">
        <f t="shared" si="48"/>
        <v>5607426</v>
      </c>
      <c r="B2980" t="str">
        <f>"56074260045"</f>
        <v>56074260045</v>
      </c>
      <c r="C2980" t="s">
        <v>3403</v>
      </c>
      <c r="D2980" t="s">
        <v>42</v>
      </c>
      <c r="E2980">
        <v>71</v>
      </c>
      <c r="F2980">
        <v>330</v>
      </c>
      <c r="G2980" t="s">
        <v>629</v>
      </c>
      <c r="H2980">
        <v>12</v>
      </c>
      <c r="I2980" t="s">
        <v>25</v>
      </c>
      <c r="J2980">
        <v>9</v>
      </c>
      <c r="K2980" t="s">
        <v>25</v>
      </c>
      <c r="L2980">
        <v>8</v>
      </c>
      <c r="M2980">
        <v>74177</v>
      </c>
      <c r="N2980">
        <v>3</v>
      </c>
    </row>
    <row r="2981" spans="1:14" x14ac:dyDescent="0.2">
      <c r="A2981" s="3">
        <f t="shared" si="48"/>
        <v>5607443</v>
      </c>
      <c r="B2981" t="str">
        <f>"56074430006"</f>
        <v>56074430006</v>
      </c>
      <c r="C2981" t="s">
        <v>3404</v>
      </c>
      <c r="D2981" t="s">
        <v>52</v>
      </c>
      <c r="E2981">
        <v>61</v>
      </c>
      <c r="F2981">
        <v>8250</v>
      </c>
      <c r="G2981" t="s">
        <v>867</v>
      </c>
      <c r="H2981" t="s">
        <v>44</v>
      </c>
      <c r="I2981" t="s">
        <v>45</v>
      </c>
      <c r="J2981" t="s">
        <v>44</v>
      </c>
      <c r="K2981" t="s">
        <v>45</v>
      </c>
      <c r="L2981">
        <v>6</v>
      </c>
      <c r="M2981">
        <v>52631</v>
      </c>
      <c r="N2981" t="s">
        <v>46</v>
      </c>
    </row>
    <row r="2982" spans="1:14" x14ac:dyDescent="0.2">
      <c r="A2982" s="3">
        <f t="shared" si="48"/>
        <v>5607444</v>
      </c>
      <c r="B2982" t="str">
        <f>"56074440006"</f>
        <v>56074440006</v>
      </c>
      <c r="C2982" t="s">
        <v>3405</v>
      </c>
      <c r="D2982" t="s">
        <v>52</v>
      </c>
      <c r="E2982">
        <v>61</v>
      </c>
      <c r="F2982">
        <v>8250</v>
      </c>
      <c r="G2982" t="s">
        <v>867</v>
      </c>
      <c r="H2982" t="s">
        <v>44</v>
      </c>
      <c r="I2982" t="s">
        <v>45</v>
      </c>
      <c r="J2982" t="s">
        <v>44</v>
      </c>
      <c r="K2982" t="s">
        <v>45</v>
      </c>
      <c r="L2982">
        <v>6</v>
      </c>
      <c r="M2982">
        <v>52632</v>
      </c>
      <c r="N2982" t="s">
        <v>46</v>
      </c>
    </row>
    <row r="2983" spans="1:14" x14ac:dyDescent="0.2">
      <c r="A2983" s="3">
        <f t="shared" si="48"/>
        <v>5607445</v>
      </c>
      <c r="B2983" t="str">
        <f>"56074450006"</f>
        <v>56074450006</v>
      </c>
      <c r="C2983" t="s">
        <v>3406</v>
      </c>
      <c r="D2983" t="s">
        <v>52</v>
      </c>
      <c r="E2983">
        <v>61</v>
      </c>
      <c r="F2983">
        <v>8250</v>
      </c>
      <c r="G2983" t="s">
        <v>867</v>
      </c>
      <c r="H2983" t="s">
        <v>44</v>
      </c>
      <c r="I2983" t="s">
        <v>45</v>
      </c>
      <c r="J2983" t="s">
        <v>44</v>
      </c>
      <c r="K2983" t="s">
        <v>45</v>
      </c>
      <c r="L2983">
        <v>6</v>
      </c>
      <c r="M2983">
        <v>52633</v>
      </c>
      <c r="N2983" t="s">
        <v>46</v>
      </c>
    </row>
    <row r="2984" spans="1:14" x14ac:dyDescent="0.2">
      <c r="A2984" s="3">
        <f t="shared" si="48"/>
        <v>5607446</v>
      </c>
      <c r="B2984" t="str">
        <f>"56074460040"</f>
        <v>56074460040</v>
      </c>
      <c r="C2984" t="s">
        <v>3407</v>
      </c>
      <c r="D2984" t="s">
        <v>42</v>
      </c>
      <c r="E2984">
        <v>71</v>
      </c>
      <c r="F2984">
        <v>330</v>
      </c>
      <c r="G2984" t="s">
        <v>629</v>
      </c>
      <c r="H2984">
        <v>16</v>
      </c>
      <c r="I2984" t="s">
        <v>25</v>
      </c>
      <c r="J2984">
        <v>13</v>
      </c>
      <c r="K2984" t="s">
        <v>25</v>
      </c>
      <c r="L2984">
        <v>8</v>
      </c>
      <c r="M2984">
        <v>74249</v>
      </c>
      <c r="N2984">
        <v>3</v>
      </c>
    </row>
    <row r="2985" spans="1:14" x14ac:dyDescent="0.2">
      <c r="A2985" s="3">
        <f t="shared" si="48"/>
        <v>5607453</v>
      </c>
      <c r="B2985" t="str">
        <f>"56074530054"</f>
        <v>56074530054</v>
      </c>
      <c r="C2985" t="s">
        <v>3408</v>
      </c>
      <c r="D2985" t="s">
        <v>42</v>
      </c>
      <c r="E2985">
        <v>71</v>
      </c>
      <c r="F2985">
        <v>330</v>
      </c>
      <c r="G2985" t="s">
        <v>629</v>
      </c>
      <c r="H2985">
        <v>8</v>
      </c>
      <c r="I2985" t="s">
        <v>25</v>
      </c>
      <c r="J2985">
        <v>6</v>
      </c>
      <c r="K2985" t="s">
        <v>25</v>
      </c>
      <c r="L2985">
        <v>8</v>
      </c>
      <c r="M2985">
        <v>76019</v>
      </c>
      <c r="N2985">
        <v>2</v>
      </c>
    </row>
    <row r="2986" spans="1:14" x14ac:dyDescent="0.2">
      <c r="A2986" s="3">
        <f t="shared" si="48"/>
        <v>5607454</v>
      </c>
      <c r="B2986" t="str">
        <f>"56074540012"</f>
        <v>56074540012</v>
      </c>
      <c r="C2986" t="s">
        <v>3409</v>
      </c>
      <c r="D2986" t="s">
        <v>52</v>
      </c>
      <c r="E2986">
        <v>52</v>
      </c>
      <c r="F2986">
        <v>2545</v>
      </c>
      <c r="G2986" t="s">
        <v>3410</v>
      </c>
      <c r="H2986">
        <v>30</v>
      </c>
      <c r="I2986" t="s">
        <v>25</v>
      </c>
      <c r="J2986">
        <v>24</v>
      </c>
      <c r="K2986" t="s">
        <v>25</v>
      </c>
      <c r="L2986">
        <v>5</v>
      </c>
      <c r="M2986" t="s">
        <v>65</v>
      </c>
      <c r="N2986">
        <v>6</v>
      </c>
    </row>
    <row r="2987" spans="1:14" x14ac:dyDescent="0.2">
      <c r="A2987" s="3">
        <f t="shared" si="48"/>
        <v>5607456</v>
      </c>
      <c r="B2987" t="str">
        <f>"56074560012"</f>
        <v>56074560012</v>
      </c>
      <c r="C2987" t="s">
        <v>3411</v>
      </c>
      <c r="D2987" t="s">
        <v>52</v>
      </c>
      <c r="E2987">
        <v>52</v>
      </c>
      <c r="F2987">
        <v>2545</v>
      </c>
      <c r="G2987" t="s">
        <v>3410</v>
      </c>
      <c r="H2987">
        <v>30</v>
      </c>
      <c r="I2987" t="s">
        <v>25</v>
      </c>
      <c r="J2987">
        <v>24</v>
      </c>
      <c r="K2987" t="s">
        <v>25</v>
      </c>
      <c r="L2987">
        <v>6</v>
      </c>
      <c r="M2987">
        <v>1603</v>
      </c>
      <c r="N2987">
        <v>6</v>
      </c>
    </row>
    <row r="2988" spans="1:14" x14ac:dyDescent="0.2">
      <c r="A2988" s="3">
        <f t="shared" si="48"/>
        <v>5607472</v>
      </c>
      <c r="B2988" t="str">
        <f>"56074720012"</f>
        <v>56074720012</v>
      </c>
      <c r="C2988" t="s">
        <v>3412</v>
      </c>
      <c r="D2988" t="s">
        <v>52</v>
      </c>
      <c r="E2988">
        <v>52</v>
      </c>
      <c r="F2988">
        <v>2545</v>
      </c>
      <c r="G2988" t="s">
        <v>3410</v>
      </c>
      <c r="H2988">
        <v>30</v>
      </c>
      <c r="I2988" t="s">
        <v>25</v>
      </c>
      <c r="J2988">
        <v>24</v>
      </c>
      <c r="K2988" t="s">
        <v>25</v>
      </c>
      <c r="L2988">
        <v>6</v>
      </c>
      <c r="M2988">
        <v>1604</v>
      </c>
      <c r="N2988">
        <v>6</v>
      </c>
    </row>
    <row r="2989" spans="1:14" x14ac:dyDescent="0.2">
      <c r="A2989" s="3">
        <f t="shared" si="48"/>
        <v>5607473</v>
      </c>
      <c r="B2989" t="str">
        <f>"56074730012"</f>
        <v>56074730012</v>
      </c>
      <c r="C2989" t="s">
        <v>3413</v>
      </c>
      <c r="D2989" t="s">
        <v>52</v>
      </c>
      <c r="E2989">
        <v>52</v>
      </c>
      <c r="F2989">
        <v>2545</v>
      </c>
      <c r="G2989" t="s">
        <v>3410</v>
      </c>
      <c r="H2989">
        <v>24</v>
      </c>
      <c r="I2989" t="s">
        <v>25</v>
      </c>
      <c r="J2989">
        <v>20</v>
      </c>
      <c r="K2989" t="s">
        <v>25</v>
      </c>
      <c r="L2989">
        <v>6</v>
      </c>
      <c r="M2989">
        <v>1605</v>
      </c>
      <c r="N2989">
        <v>4</v>
      </c>
    </row>
    <row r="2990" spans="1:14" x14ac:dyDescent="0.2">
      <c r="A2990" s="3">
        <f t="shared" si="48"/>
        <v>5607486</v>
      </c>
      <c r="B2990" t="str">
        <f>"56074860012"</f>
        <v>56074860012</v>
      </c>
      <c r="C2990" t="s">
        <v>3414</v>
      </c>
      <c r="D2990" t="s">
        <v>52</v>
      </c>
      <c r="E2990">
        <v>52</v>
      </c>
      <c r="F2990">
        <v>2514</v>
      </c>
      <c r="G2990" t="s">
        <v>3415</v>
      </c>
      <c r="H2990">
        <v>24</v>
      </c>
      <c r="I2990" t="s">
        <v>25</v>
      </c>
      <c r="J2990">
        <v>20</v>
      </c>
      <c r="K2990" t="s">
        <v>25</v>
      </c>
      <c r="L2990">
        <v>6</v>
      </c>
      <c r="M2990">
        <v>3621</v>
      </c>
      <c r="N2990">
        <v>4</v>
      </c>
    </row>
    <row r="2991" spans="1:14" x14ac:dyDescent="0.2">
      <c r="A2991" s="3">
        <f t="shared" si="48"/>
        <v>5607491</v>
      </c>
      <c r="B2991" t="str">
        <f>"56074910008"</f>
        <v>56074910008</v>
      </c>
      <c r="C2991" t="s">
        <v>3416</v>
      </c>
      <c r="D2991" t="s">
        <v>52</v>
      </c>
      <c r="E2991">
        <v>33</v>
      </c>
      <c r="F2991">
        <v>1426</v>
      </c>
      <c r="G2991" t="s">
        <v>3155</v>
      </c>
      <c r="H2991">
        <v>12</v>
      </c>
      <c r="I2991" t="s">
        <v>34</v>
      </c>
      <c r="J2991">
        <v>8</v>
      </c>
      <c r="K2991" t="s">
        <v>34</v>
      </c>
      <c r="L2991">
        <v>5</v>
      </c>
      <c r="M2991" t="s">
        <v>65</v>
      </c>
      <c r="N2991">
        <v>4</v>
      </c>
    </row>
    <row r="2992" spans="1:14" x14ac:dyDescent="0.2">
      <c r="A2992" s="3">
        <f t="shared" si="48"/>
        <v>5607510</v>
      </c>
      <c r="B2992" t="str">
        <f>"56075100006"</f>
        <v>56075100006</v>
      </c>
      <c r="C2992" t="s">
        <v>3417</v>
      </c>
      <c r="D2992" t="s">
        <v>52</v>
      </c>
      <c r="E2992">
        <v>60</v>
      </c>
      <c r="F2992">
        <v>1688</v>
      </c>
      <c r="G2992" t="s">
        <v>939</v>
      </c>
      <c r="H2992" t="s">
        <v>44</v>
      </c>
      <c r="I2992" t="s">
        <v>45</v>
      </c>
      <c r="J2992" t="s">
        <v>44</v>
      </c>
      <c r="K2992" t="s">
        <v>45</v>
      </c>
      <c r="L2992">
        <v>6</v>
      </c>
      <c r="M2992">
        <v>52616</v>
      </c>
      <c r="N2992" t="s">
        <v>46</v>
      </c>
    </row>
    <row r="2993" spans="1:14" x14ac:dyDescent="0.2">
      <c r="A2993" s="3">
        <f t="shared" si="48"/>
        <v>5607517</v>
      </c>
      <c r="B2993" t="str">
        <f>"56075170006"</f>
        <v>56075170006</v>
      </c>
      <c r="C2993" t="s">
        <v>3418</v>
      </c>
      <c r="D2993" t="s">
        <v>52</v>
      </c>
      <c r="E2993">
        <v>60</v>
      </c>
      <c r="F2993">
        <v>1688</v>
      </c>
      <c r="G2993" t="s">
        <v>939</v>
      </c>
      <c r="H2993" t="s">
        <v>44</v>
      </c>
      <c r="I2993" t="s">
        <v>45</v>
      </c>
      <c r="J2993" t="s">
        <v>44</v>
      </c>
      <c r="K2993" t="s">
        <v>45</v>
      </c>
      <c r="L2993">
        <v>6</v>
      </c>
      <c r="M2993">
        <v>52617</v>
      </c>
      <c r="N2993" t="s">
        <v>46</v>
      </c>
    </row>
    <row r="2994" spans="1:14" x14ac:dyDescent="0.2">
      <c r="A2994" s="3">
        <f t="shared" si="48"/>
        <v>5607522</v>
      </c>
      <c r="B2994" t="str">
        <f>"56075220010"</f>
        <v>56075220010</v>
      </c>
      <c r="C2994" t="s">
        <v>3419</v>
      </c>
      <c r="D2994" t="s">
        <v>52</v>
      </c>
      <c r="E2994">
        <v>70</v>
      </c>
      <c r="F2994">
        <v>2083</v>
      </c>
      <c r="G2994" t="s">
        <v>3420</v>
      </c>
      <c r="H2994">
        <v>90</v>
      </c>
      <c r="I2994" t="s">
        <v>34</v>
      </c>
      <c r="J2994">
        <v>69</v>
      </c>
      <c r="K2994" t="s">
        <v>34</v>
      </c>
      <c r="L2994">
        <v>6</v>
      </c>
      <c r="M2994">
        <v>52608</v>
      </c>
      <c r="N2994">
        <v>21</v>
      </c>
    </row>
    <row r="2995" spans="1:14" x14ac:dyDescent="0.2">
      <c r="A2995" s="3">
        <f t="shared" si="48"/>
        <v>5607523</v>
      </c>
      <c r="B2995" t="str">
        <f>"56075230020"</f>
        <v>56075230020</v>
      </c>
      <c r="C2995" t="s">
        <v>3421</v>
      </c>
      <c r="D2995" t="s">
        <v>52</v>
      </c>
      <c r="E2995">
        <v>70</v>
      </c>
      <c r="F2995">
        <v>2083</v>
      </c>
      <c r="G2995" t="s">
        <v>3420</v>
      </c>
      <c r="H2995">
        <v>90</v>
      </c>
      <c r="I2995" t="s">
        <v>34</v>
      </c>
      <c r="J2995">
        <v>69</v>
      </c>
      <c r="K2995" t="s">
        <v>34</v>
      </c>
      <c r="L2995">
        <v>6</v>
      </c>
      <c r="M2995">
        <v>52609</v>
      </c>
      <c r="N2995">
        <v>21</v>
      </c>
    </row>
    <row r="2996" spans="1:14" x14ac:dyDescent="0.2">
      <c r="A2996" s="3">
        <f t="shared" si="48"/>
        <v>5607535</v>
      </c>
      <c r="B2996" t="str">
        <f>"56075350025"</f>
        <v>56075350025</v>
      </c>
      <c r="C2996" t="s">
        <v>3422</v>
      </c>
      <c r="D2996" t="s">
        <v>101</v>
      </c>
      <c r="E2996">
        <v>40</v>
      </c>
      <c r="F2996">
        <v>8003</v>
      </c>
      <c r="G2996" t="s">
        <v>164</v>
      </c>
      <c r="H2996">
        <v>50</v>
      </c>
      <c r="I2996" t="s">
        <v>34</v>
      </c>
      <c r="J2996">
        <v>37</v>
      </c>
      <c r="K2996" t="s">
        <v>34</v>
      </c>
      <c r="L2996">
        <v>8</v>
      </c>
      <c r="M2996">
        <v>76043</v>
      </c>
      <c r="N2996">
        <v>13</v>
      </c>
    </row>
    <row r="2997" spans="1:14" x14ac:dyDescent="0.2">
      <c r="A2997" s="3">
        <f t="shared" si="48"/>
        <v>5607539</v>
      </c>
      <c r="B2997" t="str">
        <f>"56075390004"</f>
        <v>56075390004</v>
      </c>
      <c r="C2997" t="s">
        <v>3423</v>
      </c>
      <c r="D2997" t="s">
        <v>67</v>
      </c>
      <c r="E2997">
        <v>31</v>
      </c>
      <c r="F2997">
        <v>3453</v>
      </c>
      <c r="G2997" t="s">
        <v>91</v>
      </c>
      <c r="H2997">
        <v>17</v>
      </c>
      <c r="I2997" t="s">
        <v>34</v>
      </c>
      <c r="J2997">
        <v>11</v>
      </c>
      <c r="K2997" t="s">
        <v>34</v>
      </c>
      <c r="L2997">
        <v>8</v>
      </c>
      <c r="M2997">
        <v>80124</v>
      </c>
      <c r="N2997">
        <v>6</v>
      </c>
    </row>
    <row r="2998" spans="1:14" x14ac:dyDescent="0.2">
      <c r="A2998" s="3">
        <f t="shared" si="48"/>
        <v>5607541</v>
      </c>
      <c r="B2998" t="str">
        <f>"56075410003"</f>
        <v>56075410003</v>
      </c>
      <c r="C2998" t="s">
        <v>3424</v>
      </c>
      <c r="D2998" t="s">
        <v>67</v>
      </c>
      <c r="E2998">
        <v>31</v>
      </c>
      <c r="F2998">
        <v>3453</v>
      </c>
      <c r="G2998" t="s">
        <v>91</v>
      </c>
      <c r="H2998">
        <v>19</v>
      </c>
      <c r="I2998" t="s">
        <v>34</v>
      </c>
      <c r="J2998">
        <v>14</v>
      </c>
      <c r="K2998" t="s">
        <v>34</v>
      </c>
      <c r="L2998">
        <v>8</v>
      </c>
      <c r="M2998">
        <v>81006</v>
      </c>
      <c r="N2998">
        <v>5</v>
      </c>
    </row>
    <row r="2999" spans="1:14" x14ac:dyDescent="0.2">
      <c r="A2999" s="3">
        <f t="shared" si="48"/>
        <v>5607542</v>
      </c>
      <c r="B2999" t="str">
        <f>"56075420018"</f>
        <v>56075420018</v>
      </c>
      <c r="C2999" t="s">
        <v>3425</v>
      </c>
      <c r="D2999" t="s">
        <v>52</v>
      </c>
      <c r="E2999">
        <v>83</v>
      </c>
      <c r="F2999">
        <v>4678</v>
      </c>
      <c r="G2999" t="s">
        <v>55</v>
      </c>
      <c r="H2999" t="s">
        <v>44</v>
      </c>
      <c r="I2999" t="s">
        <v>45</v>
      </c>
      <c r="J2999" t="s">
        <v>44</v>
      </c>
      <c r="K2999" t="s">
        <v>45</v>
      </c>
      <c r="L2999">
        <v>6</v>
      </c>
      <c r="M2999">
        <v>45688</v>
      </c>
      <c r="N2999" t="s">
        <v>46</v>
      </c>
    </row>
    <row r="3000" spans="1:14" x14ac:dyDescent="0.2">
      <c r="A3000" s="3">
        <f t="shared" si="48"/>
        <v>5607545</v>
      </c>
      <c r="B3000" t="str">
        <f>"56075450004"</f>
        <v>56075450004</v>
      </c>
      <c r="C3000" t="s">
        <v>3426</v>
      </c>
      <c r="D3000" t="s">
        <v>42</v>
      </c>
      <c r="E3000">
        <v>83</v>
      </c>
      <c r="F3000">
        <v>2131</v>
      </c>
      <c r="G3000" t="s">
        <v>241</v>
      </c>
      <c r="H3000" t="s">
        <v>44</v>
      </c>
      <c r="I3000" t="s">
        <v>45</v>
      </c>
      <c r="J3000" t="s">
        <v>44</v>
      </c>
      <c r="K3000" t="s">
        <v>45</v>
      </c>
      <c r="L3000">
        <v>8</v>
      </c>
      <c r="M3000">
        <v>67182</v>
      </c>
      <c r="N3000" t="s">
        <v>46</v>
      </c>
    </row>
    <row r="3001" spans="1:14" x14ac:dyDescent="0.2">
      <c r="A3001" s="3">
        <f t="shared" si="48"/>
        <v>5607547</v>
      </c>
      <c r="B3001" t="str">
        <f>"56075470016"</f>
        <v>56075470016</v>
      </c>
      <c r="C3001" t="s">
        <v>3427</v>
      </c>
      <c r="D3001" t="s">
        <v>115</v>
      </c>
      <c r="E3001">
        <v>71</v>
      </c>
      <c r="F3001">
        <v>1695</v>
      </c>
      <c r="G3001" t="s">
        <v>627</v>
      </c>
      <c r="H3001">
        <v>120</v>
      </c>
      <c r="I3001" t="s">
        <v>34</v>
      </c>
      <c r="J3001">
        <v>88</v>
      </c>
      <c r="K3001" t="s">
        <v>34</v>
      </c>
      <c r="L3001">
        <v>8</v>
      </c>
      <c r="M3001">
        <v>74212</v>
      </c>
      <c r="N3001">
        <v>32</v>
      </c>
    </row>
    <row r="3002" spans="1:14" x14ac:dyDescent="0.2">
      <c r="A3002" s="3">
        <f t="shared" si="48"/>
        <v>5607551</v>
      </c>
      <c r="B3002" t="str">
        <f>"56075510012"</f>
        <v>56075510012</v>
      </c>
      <c r="C3002" t="s">
        <v>3428</v>
      </c>
      <c r="D3002" t="s">
        <v>36</v>
      </c>
      <c r="E3002">
        <v>82</v>
      </c>
      <c r="F3002">
        <v>1696</v>
      </c>
      <c r="G3002" t="s">
        <v>827</v>
      </c>
      <c r="H3002" t="s">
        <v>44</v>
      </c>
      <c r="I3002" t="s">
        <v>45</v>
      </c>
      <c r="J3002" t="s">
        <v>44</v>
      </c>
      <c r="K3002" t="s">
        <v>45</v>
      </c>
      <c r="L3002">
        <v>8</v>
      </c>
      <c r="M3002">
        <v>70204</v>
      </c>
      <c r="N3002" t="s">
        <v>46</v>
      </c>
    </row>
    <row r="3003" spans="1:14" x14ac:dyDescent="0.2">
      <c r="A3003" s="3">
        <f t="shared" si="48"/>
        <v>5607553</v>
      </c>
      <c r="B3003" t="str">
        <f>"56075530010"</f>
        <v>56075530010</v>
      </c>
      <c r="C3003" t="s">
        <v>3429</v>
      </c>
      <c r="D3003" t="s">
        <v>42</v>
      </c>
      <c r="E3003">
        <v>83</v>
      </c>
      <c r="F3003">
        <v>4678</v>
      </c>
      <c r="G3003" t="s">
        <v>55</v>
      </c>
      <c r="H3003" t="s">
        <v>44</v>
      </c>
      <c r="I3003" t="s">
        <v>45</v>
      </c>
      <c r="J3003" t="s">
        <v>44</v>
      </c>
      <c r="K3003" t="s">
        <v>45</v>
      </c>
      <c r="L3003">
        <v>8</v>
      </c>
      <c r="M3003">
        <v>67215</v>
      </c>
      <c r="N3003" t="s">
        <v>46</v>
      </c>
    </row>
    <row r="3004" spans="1:14" x14ac:dyDescent="0.2">
      <c r="A3004" s="3">
        <f t="shared" si="48"/>
        <v>5607554</v>
      </c>
      <c r="B3004" t="str">
        <f>"56075540008"</f>
        <v>56075540008</v>
      </c>
      <c r="C3004" t="s">
        <v>3430</v>
      </c>
      <c r="D3004" t="s">
        <v>36</v>
      </c>
      <c r="E3004">
        <v>83</v>
      </c>
      <c r="F3004">
        <v>1696</v>
      </c>
      <c r="G3004" t="s">
        <v>827</v>
      </c>
      <c r="H3004" t="s">
        <v>44</v>
      </c>
      <c r="I3004" t="s">
        <v>45</v>
      </c>
      <c r="J3004" t="s">
        <v>44</v>
      </c>
      <c r="K3004" t="s">
        <v>45</v>
      </c>
      <c r="L3004">
        <v>8</v>
      </c>
      <c r="M3004">
        <v>69006</v>
      </c>
      <c r="N3004" t="s">
        <v>46</v>
      </c>
    </row>
    <row r="3005" spans="1:14" x14ac:dyDescent="0.2">
      <c r="A3005" s="3">
        <f t="shared" si="48"/>
        <v>5607556</v>
      </c>
      <c r="B3005" t="str">
        <f>"56075560001"</f>
        <v>56075560001</v>
      </c>
      <c r="C3005" t="s">
        <v>3431</v>
      </c>
      <c r="D3005" t="s">
        <v>337</v>
      </c>
      <c r="E3005">
        <v>91</v>
      </c>
      <c r="F3005">
        <v>8018</v>
      </c>
      <c r="G3005" t="s">
        <v>322</v>
      </c>
      <c r="H3005">
        <v>12</v>
      </c>
      <c r="I3005" t="s">
        <v>34</v>
      </c>
      <c r="J3005">
        <v>8</v>
      </c>
      <c r="K3005" t="s">
        <v>34</v>
      </c>
      <c r="L3005">
        <v>8</v>
      </c>
      <c r="M3005">
        <v>91076</v>
      </c>
      <c r="N3005">
        <v>4</v>
      </c>
    </row>
    <row r="3006" spans="1:14" x14ac:dyDescent="0.2">
      <c r="A3006" s="3">
        <f t="shared" si="48"/>
        <v>5607557</v>
      </c>
      <c r="B3006" t="str">
        <f>"56075570001"</f>
        <v>56075570001</v>
      </c>
      <c r="C3006" t="s">
        <v>3432</v>
      </c>
      <c r="D3006" t="s">
        <v>337</v>
      </c>
      <c r="E3006">
        <v>91</v>
      </c>
      <c r="F3006">
        <v>8050</v>
      </c>
      <c r="G3006" t="s">
        <v>322</v>
      </c>
      <c r="H3006">
        <v>7</v>
      </c>
      <c r="I3006" t="s">
        <v>34</v>
      </c>
      <c r="J3006">
        <v>5</v>
      </c>
      <c r="K3006" t="s">
        <v>34</v>
      </c>
      <c r="L3006">
        <v>8</v>
      </c>
      <c r="M3006">
        <v>91040</v>
      </c>
      <c r="N3006">
        <v>2</v>
      </c>
    </row>
    <row r="3007" spans="1:14" x14ac:dyDescent="0.2">
      <c r="A3007" s="3">
        <f t="shared" si="48"/>
        <v>5607559</v>
      </c>
      <c r="B3007" t="str">
        <f>"56075590005"</f>
        <v>56075590005</v>
      </c>
      <c r="C3007" t="s">
        <v>3433</v>
      </c>
      <c r="D3007" t="s">
        <v>67</v>
      </c>
      <c r="E3007">
        <v>72</v>
      </c>
      <c r="F3007">
        <v>3213</v>
      </c>
      <c r="G3007" t="s">
        <v>3434</v>
      </c>
      <c r="H3007">
        <v>16</v>
      </c>
      <c r="I3007" t="s">
        <v>34</v>
      </c>
      <c r="J3007">
        <v>10</v>
      </c>
      <c r="K3007" t="s">
        <v>34</v>
      </c>
      <c r="L3007">
        <v>8</v>
      </c>
      <c r="M3007">
        <v>76145</v>
      </c>
      <c r="N3007">
        <v>6</v>
      </c>
    </row>
    <row r="3008" spans="1:14" x14ac:dyDescent="0.2">
      <c r="A3008" s="3">
        <f t="shared" si="48"/>
        <v>5607561</v>
      </c>
      <c r="B3008" t="str">
        <f>"56075610006"</f>
        <v>56075610006</v>
      </c>
      <c r="C3008" t="s">
        <v>3435</v>
      </c>
      <c r="D3008" t="s">
        <v>67</v>
      </c>
      <c r="E3008">
        <v>72</v>
      </c>
      <c r="F3008">
        <v>3213</v>
      </c>
      <c r="G3008" t="s">
        <v>3434</v>
      </c>
      <c r="H3008">
        <v>30</v>
      </c>
      <c r="I3008" t="s">
        <v>34</v>
      </c>
      <c r="J3008">
        <v>20</v>
      </c>
      <c r="K3008" t="s">
        <v>34</v>
      </c>
      <c r="L3008">
        <v>8</v>
      </c>
      <c r="M3008">
        <v>76195</v>
      </c>
      <c r="N3008">
        <v>10</v>
      </c>
    </row>
    <row r="3009" spans="1:14" x14ac:dyDescent="0.2">
      <c r="A3009" s="3">
        <f t="shared" si="48"/>
        <v>5607564</v>
      </c>
      <c r="B3009" t="str">
        <f>"56075640006"</f>
        <v>56075640006</v>
      </c>
      <c r="C3009" t="s">
        <v>3436</v>
      </c>
      <c r="D3009" t="s">
        <v>386</v>
      </c>
      <c r="E3009">
        <v>60</v>
      </c>
      <c r="F3009">
        <v>1688</v>
      </c>
      <c r="G3009" t="s">
        <v>939</v>
      </c>
      <c r="H3009" t="s">
        <v>44</v>
      </c>
      <c r="I3009" t="s">
        <v>45</v>
      </c>
      <c r="J3009" t="s">
        <v>44</v>
      </c>
      <c r="K3009" t="s">
        <v>45</v>
      </c>
      <c r="L3009">
        <v>8</v>
      </c>
      <c r="M3009">
        <v>61190</v>
      </c>
      <c r="N3009" t="s">
        <v>46</v>
      </c>
    </row>
    <row r="3010" spans="1:14" x14ac:dyDescent="0.2">
      <c r="A3010" s="3">
        <f t="shared" si="48"/>
        <v>5607580</v>
      </c>
      <c r="B3010" t="str">
        <f>"56075800006"</f>
        <v>56075800006</v>
      </c>
      <c r="C3010" t="s">
        <v>3437</v>
      </c>
      <c r="D3010" t="s">
        <v>52</v>
      </c>
      <c r="E3010">
        <v>30</v>
      </c>
      <c r="F3010">
        <v>3428</v>
      </c>
      <c r="G3010" t="s">
        <v>206</v>
      </c>
      <c r="H3010">
        <v>40</v>
      </c>
      <c r="I3010" t="s">
        <v>34</v>
      </c>
      <c r="J3010">
        <v>30</v>
      </c>
      <c r="K3010" t="s">
        <v>34</v>
      </c>
      <c r="L3010">
        <v>6</v>
      </c>
      <c r="M3010">
        <v>52508</v>
      </c>
      <c r="N3010">
        <v>10</v>
      </c>
    </row>
    <row r="3011" spans="1:14" x14ac:dyDescent="0.2">
      <c r="A3011" s="3">
        <f t="shared" si="48"/>
        <v>5607586</v>
      </c>
      <c r="B3011" t="str">
        <f>"56075860080"</f>
        <v>56075860080</v>
      </c>
      <c r="C3011" t="s">
        <v>3438</v>
      </c>
      <c r="D3011" t="s">
        <v>42</v>
      </c>
      <c r="E3011">
        <v>71</v>
      </c>
      <c r="F3011">
        <v>8049</v>
      </c>
      <c r="G3011" t="s">
        <v>43</v>
      </c>
      <c r="H3011">
        <v>20</v>
      </c>
      <c r="I3011" t="s">
        <v>25</v>
      </c>
      <c r="J3011">
        <v>16</v>
      </c>
      <c r="K3011" t="s">
        <v>25</v>
      </c>
      <c r="L3011">
        <v>8</v>
      </c>
      <c r="M3011">
        <v>73017</v>
      </c>
      <c r="N3011">
        <v>4</v>
      </c>
    </row>
    <row r="3012" spans="1:14" x14ac:dyDescent="0.2">
      <c r="A3012" s="3">
        <f t="shared" ref="A3012:A3075" si="49">(B3012-RIGHT(B3012,4))/10000</f>
        <v>5607602</v>
      </c>
      <c r="B3012" t="str">
        <f>"56076020006"</f>
        <v>56076020006</v>
      </c>
      <c r="C3012" t="s">
        <v>3439</v>
      </c>
      <c r="D3012" t="s">
        <v>52</v>
      </c>
      <c r="E3012">
        <v>62</v>
      </c>
      <c r="F3012">
        <v>1419</v>
      </c>
      <c r="G3012" t="s">
        <v>3440</v>
      </c>
      <c r="H3012">
        <v>10</v>
      </c>
      <c r="I3012" t="s">
        <v>25</v>
      </c>
      <c r="J3012">
        <v>7</v>
      </c>
      <c r="K3012" t="s">
        <v>25</v>
      </c>
      <c r="L3012">
        <v>6</v>
      </c>
      <c r="M3012">
        <v>2613</v>
      </c>
      <c r="N3012">
        <v>3</v>
      </c>
    </row>
    <row r="3013" spans="1:14" x14ac:dyDescent="0.2">
      <c r="A3013" s="3">
        <f t="shared" si="49"/>
        <v>5607607</v>
      </c>
      <c r="B3013" t="str">
        <f>"56076070006"</f>
        <v>56076070006</v>
      </c>
      <c r="C3013" t="s">
        <v>3441</v>
      </c>
      <c r="D3013" t="s">
        <v>52</v>
      </c>
      <c r="E3013">
        <v>62</v>
      </c>
      <c r="F3013">
        <v>1419</v>
      </c>
      <c r="G3013" t="s">
        <v>3440</v>
      </c>
      <c r="H3013">
        <v>8</v>
      </c>
      <c r="I3013" t="s">
        <v>25</v>
      </c>
      <c r="J3013">
        <v>6</v>
      </c>
      <c r="K3013" t="s">
        <v>25</v>
      </c>
      <c r="L3013">
        <v>6</v>
      </c>
      <c r="M3013">
        <v>1618</v>
      </c>
      <c r="N3013">
        <v>2</v>
      </c>
    </row>
    <row r="3014" spans="1:14" x14ac:dyDescent="0.2">
      <c r="A3014" s="3">
        <f t="shared" si="49"/>
        <v>5607608</v>
      </c>
      <c r="B3014" t="str">
        <f>"56076080006"</f>
        <v>56076080006</v>
      </c>
      <c r="C3014" t="s">
        <v>3442</v>
      </c>
      <c r="D3014" t="s">
        <v>52</v>
      </c>
      <c r="E3014">
        <v>62</v>
      </c>
      <c r="F3014">
        <v>1419</v>
      </c>
      <c r="G3014" t="s">
        <v>3440</v>
      </c>
      <c r="H3014">
        <v>10</v>
      </c>
      <c r="I3014" t="s">
        <v>25</v>
      </c>
      <c r="J3014">
        <v>7</v>
      </c>
      <c r="K3014" t="s">
        <v>25</v>
      </c>
      <c r="L3014">
        <v>6</v>
      </c>
      <c r="M3014">
        <v>1619</v>
      </c>
      <c r="N3014">
        <v>3</v>
      </c>
    </row>
    <row r="3015" spans="1:14" x14ac:dyDescent="0.2">
      <c r="A3015" s="3">
        <f t="shared" si="49"/>
        <v>5607614</v>
      </c>
      <c r="B3015" t="str">
        <f>"56076140018"</f>
        <v>56076140018</v>
      </c>
      <c r="C3015" t="s">
        <v>3443</v>
      </c>
      <c r="D3015" t="s">
        <v>42</v>
      </c>
      <c r="E3015">
        <v>82</v>
      </c>
      <c r="F3015">
        <v>4287</v>
      </c>
      <c r="G3015" t="s">
        <v>445</v>
      </c>
      <c r="H3015" t="s">
        <v>44</v>
      </c>
      <c r="I3015" t="s">
        <v>45</v>
      </c>
      <c r="J3015" t="s">
        <v>44</v>
      </c>
      <c r="K3015" t="s">
        <v>45</v>
      </c>
      <c r="L3015">
        <v>8</v>
      </c>
      <c r="M3015">
        <v>70254</v>
      </c>
      <c r="N3015" t="s">
        <v>46</v>
      </c>
    </row>
    <row r="3016" spans="1:14" x14ac:dyDescent="0.2">
      <c r="A3016" s="3">
        <f t="shared" si="49"/>
        <v>5607620</v>
      </c>
      <c r="B3016" t="str">
        <f>"56076200004"</f>
        <v>56076200004</v>
      </c>
      <c r="C3016" t="s">
        <v>3444</v>
      </c>
      <c r="D3016" t="s">
        <v>115</v>
      </c>
      <c r="E3016">
        <v>62</v>
      </c>
      <c r="F3016">
        <v>1803</v>
      </c>
      <c r="G3016" t="s">
        <v>3251</v>
      </c>
      <c r="H3016">
        <v>8</v>
      </c>
      <c r="I3016" t="s">
        <v>25</v>
      </c>
      <c r="J3016">
        <v>6</v>
      </c>
      <c r="K3016" t="s">
        <v>25</v>
      </c>
      <c r="L3016">
        <v>8</v>
      </c>
      <c r="M3016">
        <v>72184</v>
      </c>
      <c r="N3016">
        <v>2</v>
      </c>
    </row>
    <row r="3017" spans="1:14" x14ac:dyDescent="0.2">
      <c r="A3017" s="3">
        <f t="shared" si="49"/>
        <v>5607622</v>
      </c>
      <c r="B3017" t="str">
        <f>"56076220006"</f>
        <v>56076220006</v>
      </c>
      <c r="C3017" t="s">
        <v>3445</v>
      </c>
      <c r="D3017" t="s">
        <v>52</v>
      </c>
      <c r="E3017">
        <v>62</v>
      </c>
      <c r="F3017">
        <v>1803</v>
      </c>
      <c r="G3017" t="s">
        <v>3251</v>
      </c>
      <c r="H3017">
        <v>8</v>
      </c>
      <c r="I3017" t="s">
        <v>25</v>
      </c>
      <c r="J3017">
        <v>6</v>
      </c>
      <c r="K3017" t="s">
        <v>25</v>
      </c>
      <c r="L3017">
        <v>6</v>
      </c>
      <c r="M3017">
        <v>2614</v>
      </c>
      <c r="N3017">
        <v>2</v>
      </c>
    </row>
    <row r="3018" spans="1:14" x14ac:dyDescent="0.2">
      <c r="A3018" s="3">
        <f t="shared" si="49"/>
        <v>5607626</v>
      </c>
      <c r="B3018" t="str">
        <f>"56076260004"</f>
        <v>56076260004</v>
      </c>
      <c r="C3018" t="s">
        <v>3446</v>
      </c>
      <c r="D3018" t="s">
        <v>172</v>
      </c>
      <c r="E3018">
        <v>33</v>
      </c>
      <c r="F3018">
        <v>3484</v>
      </c>
      <c r="G3018" t="s">
        <v>173</v>
      </c>
      <c r="H3018">
        <v>8</v>
      </c>
      <c r="I3018" t="s">
        <v>34</v>
      </c>
      <c r="J3018">
        <v>5</v>
      </c>
      <c r="K3018" t="s">
        <v>34</v>
      </c>
      <c r="L3018">
        <v>8</v>
      </c>
      <c r="M3018">
        <v>84248</v>
      </c>
      <c r="N3018">
        <v>3</v>
      </c>
    </row>
    <row r="3019" spans="1:14" x14ac:dyDescent="0.2">
      <c r="A3019" s="3">
        <f t="shared" si="49"/>
        <v>5607631</v>
      </c>
      <c r="B3019" t="str">
        <f>"56076310005"</f>
        <v>56076310005</v>
      </c>
      <c r="C3019" t="s">
        <v>3447</v>
      </c>
      <c r="D3019" t="s">
        <v>52</v>
      </c>
      <c r="E3019">
        <v>33</v>
      </c>
      <c r="F3019">
        <v>2779</v>
      </c>
      <c r="G3019" t="s">
        <v>411</v>
      </c>
      <c r="H3019">
        <v>42</v>
      </c>
      <c r="I3019" t="s">
        <v>34</v>
      </c>
      <c r="J3019">
        <v>32</v>
      </c>
      <c r="K3019" t="s">
        <v>34</v>
      </c>
      <c r="L3019">
        <v>6</v>
      </c>
      <c r="M3019">
        <v>3500</v>
      </c>
      <c r="N3019">
        <v>10</v>
      </c>
    </row>
    <row r="3020" spans="1:14" x14ac:dyDescent="0.2">
      <c r="A3020" s="3">
        <f t="shared" si="49"/>
        <v>5607653</v>
      </c>
      <c r="B3020" t="str">
        <f>"56076530042"</f>
        <v>56076530042</v>
      </c>
      <c r="C3020" t="s">
        <v>3448</v>
      </c>
      <c r="D3020" t="s">
        <v>36</v>
      </c>
      <c r="E3020">
        <v>49</v>
      </c>
      <c r="F3020">
        <v>1421</v>
      </c>
      <c r="G3020" t="s">
        <v>972</v>
      </c>
      <c r="H3020">
        <v>120</v>
      </c>
      <c r="I3020" t="s">
        <v>34</v>
      </c>
      <c r="J3020">
        <v>88</v>
      </c>
      <c r="K3020" t="s">
        <v>34</v>
      </c>
      <c r="L3020">
        <v>8</v>
      </c>
      <c r="M3020">
        <v>66028</v>
      </c>
      <c r="N3020">
        <v>32</v>
      </c>
    </row>
    <row r="3021" spans="1:14" x14ac:dyDescent="0.2">
      <c r="A3021" s="3">
        <f t="shared" si="49"/>
        <v>5607654</v>
      </c>
      <c r="B3021" t="str">
        <f>"56076540010"</f>
        <v>56076540010</v>
      </c>
      <c r="C3021" t="s">
        <v>3449</v>
      </c>
      <c r="D3021" t="s">
        <v>101</v>
      </c>
      <c r="E3021">
        <v>30</v>
      </c>
      <c r="F3021">
        <v>1730</v>
      </c>
      <c r="G3021" t="s">
        <v>975</v>
      </c>
      <c r="H3021">
        <v>17</v>
      </c>
      <c r="I3021" t="s">
        <v>34</v>
      </c>
      <c r="J3021">
        <v>11</v>
      </c>
      <c r="K3021" t="s">
        <v>34</v>
      </c>
      <c r="L3021">
        <v>8</v>
      </c>
      <c r="M3021">
        <v>82179</v>
      </c>
      <c r="N3021">
        <v>6</v>
      </c>
    </row>
    <row r="3022" spans="1:14" x14ac:dyDescent="0.2">
      <c r="A3022" s="3">
        <f t="shared" si="49"/>
        <v>5607686</v>
      </c>
      <c r="B3022" t="str">
        <f>"56076860006"</f>
        <v>56076860006</v>
      </c>
      <c r="C3022" t="s">
        <v>3450</v>
      </c>
      <c r="D3022" t="s">
        <v>77</v>
      </c>
      <c r="E3022">
        <v>51</v>
      </c>
      <c r="F3022">
        <v>3428</v>
      </c>
      <c r="G3022" t="s">
        <v>206</v>
      </c>
      <c r="H3022">
        <v>32</v>
      </c>
      <c r="I3022" t="s">
        <v>25</v>
      </c>
      <c r="J3022">
        <v>26</v>
      </c>
      <c r="K3022" t="s">
        <v>25</v>
      </c>
      <c r="L3022">
        <v>6</v>
      </c>
      <c r="M3022" t="s">
        <v>65</v>
      </c>
      <c r="N3022">
        <v>6</v>
      </c>
    </row>
    <row r="3023" spans="1:14" x14ac:dyDescent="0.2">
      <c r="A3023" s="3">
        <f t="shared" si="49"/>
        <v>5607690</v>
      </c>
      <c r="B3023" t="str">
        <f>"56076900012"</f>
        <v>56076900012</v>
      </c>
      <c r="C3023" t="s">
        <v>3451</v>
      </c>
      <c r="D3023" t="s">
        <v>52</v>
      </c>
      <c r="E3023">
        <v>71</v>
      </c>
      <c r="F3023">
        <v>2593</v>
      </c>
      <c r="G3023" t="s">
        <v>3452</v>
      </c>
      <c r="H3023">
        <v>8</v>
      </c>
      <c r="I3023" t="s">
        <v>25</v>
      </c>
      <c r="J3023">
        <v>6</v>
      </c>
      <c r="K3023" t="s">
        <v>25</v>
      </c>
      <c r="L3023">
        <v>6</v>
      </c>
      <c r="M3023">
        <v>1601</v>
      </c>
      <c r="N3023">
        <v>2</v>
      </c>
    </row>
    <row r="3024" spans="1:14" x14ac:dyDescent="0.2">
      <c r="A3024" s="3">
        <f t="shared" si="49"/>
        <v>5607691</v>
      </c>
      <c r="B3024" t="str">
        <f>"56076910012"</f>
        <v>56076910012</v>
      </c>
      <c r="C3024" t="s">
        <v>3453</v>
      </c>
      <c r="D3024" t="s">
        <v>52</v>
      </c>
      <c r="E3024">
        <v>71</v>
      </c>
      <c r="F3024">
        <v>2593</v>
      </c>
      <c r="G3024" t="s">
        <v>3452</v>
      </c>
      <c r="H3024">
        <v>8</v>
      </c>
      <c r="I3024" t="s">
        <v>25</v>
      </c>
      <c r="J3024">
        <v>6</v>
      </c>
      <c r="K3024" t="s">
        <v>25</v>
      </c>
      <c r="L3024">
        <v>6</v>
      </c>
      <c r="M3024">
        <v>1602</v>
      </c>
      <c r="N3024">
        <v>2</v>
      </c>
    </row>
    <row r="3025" spans="1:14" x14ac:dyDescent="0.2">
      <c r="A3025" s="3">
        <f t="shared" si="49"/>
        <v>5607699</v>
      </c>
      <c r="B3025" t="str">
        <f>"56076990024"</f>
        <v>56076990024</v>
      </c>
      <c r="C3025" t="s">
        <v>3454</v>
      </c>
      <c r="D3025" t="s">
        <v>36</v>
      </c>
      <c r="E3025">
        <v>82</v>
      </c>
      <c r="F3025">
        <v>1696</v>
      </c>
      <c r="G3025" t="s">
        <v>827</v>
      </c>
      <c r="H3025" t="s">
        <v>44</v>
      </c>
      <c r="I3025" t="s">
        <v>45</v>
      </c>
      <c r="J3025" t="s">
        <v>44</v>
      </c>
      <c r="K3025" t="s">
        <v>45</v>
      </c>
      <c r="L3025">
        <v>8</v>
      </c>
      <c r="M3025">
        <v>70258</v>
      </c>
      <c r="N3025" t="s">
        <v>46</v>
      </c>
    </row>
    <row r="3026" spans="1:14" x14ac:dyDescent="0.2">
      <c r="A3026" s="3">
        <f t="shared" si="49"/>
        <v>5607705</v>
      </c>
      <c r="B3026" t="str">
        <f>"56077050006"</f>
        <v>56077050006</v>
      </c>
      <c r="C3026" t="s">
        <v>3455</v>
      </c>
      <c r="D3026" t="s">
        <v>36</v>
      </c>
      <c r="E3026">
        <v>48</v>
      </c>
      <c r="F3026">
        <v>2517</v>
      </c>
      <c r="G3026" t="s">
        <v>3456</v>
      </c>
      <c r="H3026">
        <v>16</v>
      </c>
      <c r="I3026" t="s">
        <v>25</v>
      </c>
      <c r="J3026">
        <v>13</v>
      </c>
      <c r="K3026" t="s">
        <v>25</v>
      </c>
      <c r="L3026">
        <v>8</v>
      </c>
      <c r="M3026">
        <v>72230</v>
      </c>
      <c r="N3026">
        <v>3</v>
      </c>
    </row>
    <row r="3027" spans="1:14" x14ac:dyDescent="0.2">
      <c r="A3027" s="3">
        <f t="shared" si="49"/>
        <v>5607712</v>
      </c>
      <c r="B3027" t="str">
        <f>"56077120140"</f>
        <v>56077120140</v>
      </c>
      <c r="C3027" t="s">
        <v>3457</v>
      </c>
      <c r="D3027" t="s">
        <v>172</v>
      </c>
      <c r="E3027">
        <v>43</v>
      </c>
      <c r="F3027">
        <v>8140</v>
      </c>
      <c r="G3027" t="s">
        <v>525</v>
      </c>
      <c r="H3027">
        <v>18</v>
      </c>
      <c r="I3027" t="s">
        <v>34</v>
      </c>
      <c r="J3027">
        <v>13</v>
      </c>
      <c r="K3027" t="s">
        <v>34</v>
      </c>
      <c r="L3027">
        <v>8</v>
      </c>
      <c r="M3027">
        <v>95275</v>
      </c>
      <c r="N3027">
        <v>6</v>
      </c>
    </row>
    <row r="3028" spans="1:14" x14ac:dyDescent="0.2">
      <c r="A3028" s="3">
        <f t="shared" si="49"/>
        <v>5607713</v>
      </c>
      <c r="B3028" t="str">
        <f>"56077130060"</f>
        <v>56077130060</v>
      </c>
      <c r="C3028" t="s">
        <v>3458</v>
      </c>
      <c r="D3028" t="s">
        <v>172</v>
      </c>
      <c r="E3028">
        <v>43</v>
      </c>
      <c r="F3028">
        <v>8140</v>
      </c>
      <c r="G3028" t="s">
        <v>525</v>
      </c>
      <c r="H3028">
        <v>18</v>
      </c>
      <c r="I3028" t="s">
        <v>34</v>
      </c>
      <c r="J3028">
        <v>13</v>
      </c>
      <c r="K3028" t="s">
        <v>34</v>
      </c>
      <c r="L3028">
        <v>8</v>
      </c>
      <c r="M3028">
        <v>95282</v>
      </c>
      <c r="N3028">
        <v>6</v>
      </c>
    </row>
    <row r="3029" spans="1:14" x14ac:dyDescent="0.2">
      <c r="A3029" s="3">
        <f t="shared" si="49"/>
        <v>5607714</v>
      </c>
      <c r="B3029" t="str">
        <f>"56077140016"</f>
        <v>56077140016</v>
      </c>
      <c r="C3029" t="s">
        <v>3459</v>
      </c>
      <c r="D3029" t="s">
        <v>172</v>
      </c>
      <c r="E3029">
        <v>43</v>
      </c>
      <c r="F3029">
        <v>8140</v>
      </c>
      <c r="G3029" t="s">
        <v>525</v>
      </c>
      <c r="H3029">
        <v>18</v>
      </c>
      <c r="I3029" t="s">
        <v>34</v>
      </c>
      <c r="J3029">
        <v>13</v>
      </c>
      <c r="K3029" t="s">
        <v>34</v>
      </c>
      <c r="L3029">
        <v>8</v>
      </c>
      <c r="M3029">
        <v>66105</v>
      </c>
      <c r="N3029">
        <v>6</v>
      </c>
    </row>
    <row r="3030" spans="1:14" x14ac:dyDescent="0.2">
      <c r="A3030" s="3">
        <f t="shared" si="49"/>
        <v>5607741</v>
      </c>
      <c r="B3030" t="str">
        <f>"56077410001"</f>
        <v>56077410001</v>
      </c>
      <c r="C3030" t="s">
        <v>3460</v>
      </c>
      <c r="D3030" t="s">
        <v>52</v>
      </c>
      <c r="E3030">
        <v>92</v>
      </c>
      <c r="F3030">
        <v>832</v>
      </c>
      <c r="G3030" t="s">
        <v>2991</v>
      </c>
      <c r="H3030">
        <v>6</v>
      </c>
      <c r="I3030" t="s">
        <v>34</v>
      </c>
      <c r="J3030">
        <v>4</v>
      </c>
      <c r="K3030" t="s">
        <v>34</v>
      </c>
      <c r="L3030">
        <v>8</v>
      </c>
      <c r="M3030" t="s">
        <v>65</v>
      </c>
      <c r="N3030">
        <v>2</v>
      </c>
    </row>
    <row r="3031" spans="1:14" x14ac:dyDescent="0.2">
      <c r="A3031" s="3">
        <f t="shared" si="49"/>
        <v>5607743</v>
      </c>
      <c r="B3031" t="str">
        <f>"56077430018"</f>
        <v>56077430018</v>
      </c>
      <c r="C3031" t="s">
        <v>3461</v>
      </c>
      <c r="D3031" t="s">
        <v>36</v>
      </c>
      <c r="E3031">
        <v>82</v>
      </c>
      <c r="F3031">
        <v>2131</v>
      </c>
      <c r="G3031" t="s">
        <v>241</v>
      </c>
      <c r="H3031" t="s">
        <v>44</v>
      </c>
      <c r="I3031" t="s">
        <v>45</v>
      </c>
      <c r="J3031" t="s">
        <v>44</v>
      </c>
      <c r="K3031" t="s">
        <v>45</v>
      </c>
      <c r="L3031">
        <v>8</v>
      </c>
      <c r="M3031">
        <v>70210</v>
      </c>
      <c r="N3031" t="s">
        <v>46</v>
      </c>
    </row>
    <row r="3032" spans="1:14" x14ac:dyDescent="0.2">
      <c r="A3032" s="3">
        <f t="shared" si="49"/>
        <v>5607752</v>
      </c>
      <c r="B3032" t="str">
        <f>"56077520012"</f>
        <v>56077520012</v>
      </c>
      <c r="C3032" t="s">
        <v>3462</v>
      </c>
      <c r="D3032" t="s">
        <v>52</v>
      </c>
      <c r="E3032">
        <v>33</v>
      </c>
      <c r="F3032">
        <v>3428</v>
      </c>
      <c r="G3032" t="s">
        <v>206</v>
      </c>
      <c r="H3032">
        <v>42</v>
      </c>
      <c r="I3032" t="s">
        <v>34</v>
      </c>
      <c r="J3032">
        <v>32</v>
      </c>
      <c r="K3032" t="s">
        <v>34</v>
      </c>
      <c r="L3032">
        <v>6</v>
      </c>
      <c r="M3032">
        <v>52509</v>
      </c>
      <c r="N3032">
        <v>10</v>
      </c>
    </row>
    <row r="3033" spans="1:14" x14ac:dyDescent="0.2">
      <c r="A3033" s="3">
        <f t="shared" si="49"/>
        <v>5607755</v>
      </c>
      <c r="B3033" t="str">
        <f>"56077550012"</f>
        <v>56077550012</v>
      </c>
      <c r="C3033" t="s">
        <v>3463</v>
      </c>
      <c r="D3033" t="s">
        <v>52</v>
      </c>
      <c r="E3033">
        <v>33</v>
      </c>
      <c r="F3033">
        <v>3428</v>
      </c>
      <c r="G3033" t="s">
        <v>206</v>
      </c>
      <c r="H3033">
        <v>42</v>
      </c>
      <c r="I3033" t="s">
        <v>34</v>
      </c>
      <c r="J3033">
        <v>32</v>
      </c>
      <c r="K3033" t="s">
        <v>34</v>
      </c>
      <c r="L3033">
        <v>9</v>
      </c>
      <c r="M3033">
        <v>52510</v>
      </c>
      <c r="N3033">
        <v>10</v>
      </c>
    </row>
    <row r="3034" spans="1:14" x14ac:dyDescent="0.2">
      <c r="A3034" s="3">
        <f t="shared" si="49"/>
        <v>5607757</v>
      </c>
      <c r="B3034" t="str">
        <f>"56077570006"</f>
        <v>56077570006</v>
      </c>
      <c r="C3034" t="s">
        <v>2126</v>
      </c>
      <c r="D3034" t="s">
        <v>70</v>
      </c>
      <c r="E3034">
        <v>31</v>
      </c>
      <c r="F3034">
        <v>1384</v>
      </c>
      <c r="G3034" t="s">
        <v>3331</v>
      </c>
      <c r="H3034">
        <v>18</v>
      </c>
      <c r="I3034" t="s">
        <v>34</v>
      </c>
      <c r="J3034">
        <v>13</v>
      </c>
      <c r="K3034" t="s">
        <v>34</v>
      </c>
      <c r="L3034">
        <v>6</v>
      </c>
      <c r="M3034" t="s">
        <v>65</v>
      </c>
      <c r="N3034">
        <v>5</v>
      </c>
    </row>
    <row r="3035" spans="1:14" x14ac:dyDescent="0.2">
      <c r="A3035" s="3">
        <f t="shared" si="49"/>
        <v>5607758</v>
      </c>
      <c r="B3035" t="str">
        <f>"56077580004"</f>
        <v>56077580004</v>
      </c>
      <c r="C3035" t="s">
        <v>3464</v>
      </c>
      <c r="D3035" t="s">
        <v>52</v>
      </c>
      <c r="E3035">
        <v>36</v>
      </c>
      <c r="F3035">
        <v>1384</v>
      </c>
      <c r="G3035" t="s">
        <v>3331</v>
      </c>
      <c r="H3035">
        <v>18</v>
      </c>
      <c r="I3035" t="s">
        <v>34</v>
      </c>
      <c r="J3035">
        <v>13</v>
      </c>
      <c r="K3035" t="s">
        <v>34</v>
      </c>
      <c r="L3035">
        <v>6</v>
      </c>
      <c r="M3035">
        <v>1516</v>
      </c>
      <c r="N3035">
        <v>5</v>
      </c>
    </row>
    <row r="3036" spans="1:14" x14ac:dyDescent="0.2">
      <c r="A3036" s="3">
        <f t="shared" si="49"/>
        <v>5607763</v>
      </c>
      <c r="B3036" t="str">
        <f>"56077630006"</f>
        <v>56077630006</v>
      </c>
      <c r="C3036" t="s">
        <v>3465</v>
      </c>
      <c r="D3036" t="s">
        <v>52</v>
      </c>
      <c r="E3036">
        <v>31</v>
      </c>
      <c r="F3036">
        <v>1384</v>
      </c>
      <c r="G3036" t="s">
        <v>3331</v>
      </c>
      <c r="H3036">
        <v>18</v>
      </c>
      <c r="I3036" t="s">
        <v>34</v>
      </c>
      <c r="J3036">
        <v>13</v>
      </c>
      <c r="K3036" t="s">
        <v>34</v>
      </c>
      <c r="L3036">
        <v>6</v>
      </c>
      <c r="M3036">
        <v>3523</v>
      </c>
      <c r="N3036">
        <v>5</v>
      </c>
    </row>
    <row r="3037" spans="1:14" x14ac:dyDescent="0.2">
      <c r="A3037" s="3">
        <f t="shared" si="49"/>
        <v>5607765</v>
      </c>
      <c r="B3037" t="str">
        <f>"56077650006"</f>
        <v>56077650006</v>
      </c>
      <c r="C3037" t="s">
        <v>3466</v>
      </c>
      <c r="D3037" t="s">
        <v>52</v>
      </c>
      <c r="E3037">
        <v>31</v>
      </c>
      <c r="F3037">
        <v>1384</v>
      </c>
      <c r="G3037" t="s">
        <v>3331</v>
      </c>
      <c r="H3037">
        <v>18</v>
      </c>
      <c r="I3037" t="s">
        <v>34</v>
      </c>
      <c r="J3037">
        <v>13</v>
      </c>
      <c r="K3037" t="s">
        <v>34</v>
      </c>
      <c r="L3037">
        <v>6</v>
      </c>
      <c r="M3037">
        <v>3524</v>
      </c>
      <c r="N3037">
        <v>5</v>
      </c>
    </row>
    <row r="3038" spans="1:14" x14ac:dyDescent="0.2">
      <c r="A3038" s="3">
        <f t="shared" si="49"/>
        <v>5607769</v>
      </c>
      <c r="B3038" t="str">
        <f>"56077690018"</f>
        <v>56077690018</v>
      </c>
      <c r="C3038" t="s">
        <v>3467</v>
      </c>
      <c r="D3038" t="s">
        <v>101</v>
      </c>
      <c r="E3038">
        <v>32</v>
      </c>
      <c r="F3038">
        <v>599</v>
      </c>
      <c r="G3038" t="s">
        <v>111</v>
      </c>
      <c r="H3038">
        <v>28</v>
      </c>
      <c r="I3038" t="s">
        <v>34</v>
      </c>
      <c r="J3038">
        <v>20</v>
      </c>
      <c r="K3038" t="s">
        <v>34</v>
      </c>
      <c r="L3038">
        <v>8</v>
      </c>
      <c r="M3038">
        <v>82049</v>
      </c>
      <c r="N3038">
        <v>8</v>
      </c>
    </row>
    <row r="3039" spans="1:14" x14ac:dyDescent="0.2">
      <c r="A3039" s="3">
        <f t="shared" si="49"/>
        <v>5607777</v>
      </c>
      <c r="B3039" t="str">
        <f>"56077770138"</f>
        <v>56077770138</v>
      </c>
      <c r="C3039" t="s">
        <v>3468</v>
      </c>
      <c r="D3039" t="s">
        <v>52</v>
      </c>
      <c r="E3039">
        <v>83</v>
      </c>
      <c r="F3039">
        <v>1696</v>
      </c>
      <c r="G3039" t="s">
        <v>827</v>
      </c>
      <c r="H3039" t="s">
        <v>44</v>
      </c>
      <c r="I3039" t="s">
        <v>45</v>
      </c>
      <c r="J3039" t="s">
        <v>44</v>
      </c>
      <c r="K3039" t="s">
        <v>45</v>
      </c>
      <c r="L3039">
        <v>6</v>
      </c>
      <c r="M3039">
        <v>52645</v>
      </c>
      <c r="N3039" t="s">
        <v>46</v>
      </c>
    </row>
    <row r="3040" spans="1:14" x14ac:dyDescent="0.2">
      <c r="A3040" s="3">
        <f t="shared" si="49"/>
        <v>5607786</v>
      </c>
      <c r="B3040" t="str">
        <f>"56077860120"</f>
        <v>56077860120</v>
      </c>
      <c r="C3040" t="s">
        <v>3469</v>
      </c>
      <c r="D3040" t="s">
        <v>52</v>
      </c>
      <c r="E3040">
        <v>82</v>
      </c>
      <c r="F3040">
        <v>4287</v>
      </c>
      <c r="G3040" t="s">
        <v>445</v>
      </c>
      <c r="H3040" t="s">
        <v>44</v>
      </c>
      <c r="I3040" t="s">
        <v>45</v>
      </c>
      <c r="J3040" t="s">
        <v>44</v>
      </c>
      <c r="K3040" t="s">
        <v>45</v>
      </c>
      <c r="L3040">
        <v>6</v>
      </c>
      <c r="M3040">
        <v>1642</v>
      </c>
      <c r="N3040" t="s">
        <v>46</v>
      </c>
    </row>
    <row r="3041" spans="1:14" x14ac:dyDescent="0.2">
      <c r="A3041" s="3">
        <f t="shared" si="49"/>
        <v>5607792</v>
      </c>
      <c r="B3041" t="str">
        <f>"56077920004"</f>
        <v>56077920004</v>
      </c>
      <c r="C3041" t="s">
        <v>3470</v>
      </c>
      <c r="D3041" t="s">
        <v>52</v>
      </c>
      <c r="E3041">
        <v>33</v>
      </c>
      <c r="F3041">
        <v>6968</v>
      </c>
      <c r="G3041" t="s">
        <v>410</v>
      </c>
      <c r="H3041">
        <v>10</v>
      </c>
      <c r="I3041" t="s">
        <v>34</v>
      </c>
      <c r="J3041">
        <v>7</v>
      </c>
      <c r="K3041" t="s">
        <v>34</v>
      </c>
      <c r="L3041">
        <v>6</v>
      </c>
      <c r="M3041">
        <v>52517</v>
      </c>
      <c r="N3041">
        <v>3</v>
      </c>
    </row>
    <row r="3042" spans="1:14" x14ac:dyDescent="0.2">
      <c r="A3042" s="3">
        <f t="shared" si="49"/>
        <v>5607800</v>
      </c>
      <c r="B3042" t="str">
        <f>"56078000004"</f>
        <v>56078000004</v>
      </c>
      <c r="C3042" t="s">
        <v>3471</v>
      </c>
      <c r="D3042" t="s">
        <v>52</v>
      </c>
      <c r="E3042">
        <v>33</v>
      </c>
      <c r="F3042">
        <v>6968</v>
      </c>
      <c r="G3042" t="s">
        <v>410</v>
      </c>
      <c r="H3042">
        <v>7</v>
      </c>
      <c r="I3042" t="s">
        <v>34</v>
      </c>
      <c r="J3042">
        <v>5</v>
      </c>
      <c r="K3042" t="s">
        <v>34</v>
      </c>
      <c r="L3042">
        <v>5</v>
      </c>
      <c r="M3042" t="s">
        <v>65</v>
      </c>
      <c r="N3042">
        <v>2</v>
      </c>
    </row>
    <row r="3043" spans="1:14" x14ac:dyDescent="0.2">
      <c r="A3043" s="3">
        <f t="shared" si="49"/>
        <v>5607803</v>
      </c>
      <c r="B3043" t="str">
        <f>"56078030004"</f>
        <v>56078030004</v>
      </c>
      <c r="C3043" t="s">
        <v>3472</v>
      </c>
      <c r="D3043" t="s">
        <v>52</v>
      </c>
      <c r="E3043">
        <v>33</v>
      </c>
      <c r="F3043">
        <v>6968</v>
      </c>
      <c r="G3043" t="s">
        <v>410</v>
      </c>
      <c r="H3043">
        <v>7</v>
      </c>
      <c r="I3043" t="s">
        <v>34</v>
      </c>
      <c r="J3043">
        <v>5</v>
      </c>
      <c r="K3043" t="s">
        <v>34</v>
      </c>
      <c r="L3043">
        <v>5</v>
      </c>
      <c r="M3043" t="s">
        <v>65</v>
      </c>
      <c r="N3043">
        <v>2</v>
      </c>
    </row>
    <row r="3044" spans="1:14" x14ac:dyDescent="0.2">
      <c r="A3044" s="3">
        <f t="shared" si="49"/>
        <v>5607804</v>
      </c>
      <c r="B3044" t="str">
        <f>"56078040004"</f>
        <v>56078040004</v>
      </c>
      <c r="C3044" t="s">
        <v>3473</v>
      </c>
      <c r="D3044" t="s">
        <v>52</v>
      </c>
      <c r="E3044">
        <v>33</v>
      </c>
      <c r="F3044">
        <v>6968</v>
      </c>
      <c r="G3044" t="s">
        <v>410</v>
      </c>
      <c r="H3044">
        <v>10</v>
      </c>
      <c r="I3044" t="s">
        <v>34</v>
      </c>
      <c r="J3044">
        <v>7</v>
      </c>
      <c r="K3044" t="s">
        <v>34</v>
      </c>
      <c r="L3044">
        <v>6</v>
      </c>
      <c r="M3044">
        <v>52518</v>
      </c>
      <c r="N3044">
        <v>3</v>
      </c>
    </row>
    <row r="3045" spans="1:14" x14ac:dyDescent="0.2">
      <c r="A3045" s="3">
        <f t="shared" si="49"/>
        <v>5607835</v>
      </c>
      <c r="B3045" t="str">
        <f>"56078350024"</f>
        <v>56078350024</v>
      </c>
      <c r="C3045" t="s">
        <v>3474</v>
      </c>
      <c r="D3045" t="s">
        <v>52</v>
      </c>
      <c r="E3045">
        <v>70</v>
      </c>
      <c r="F3045">
        <v>482</v>
      </c>
      <c r="G3045" t="s">
        <v>611</v>
      </c>
      <c r="H3045">
        <v>6</v>
      </c>
      <c r="I3045" t="s">
        <v>25</v>
      </c>
      <c r="J3045">
        <v>4</v>
      </c>
      <c r="K3045" t="s">
        <v>25</v>
      </c>
      <c r="L3045">
        <v>6</v>
      </c>
      <c r="M3045">
        <v>52641</v>
      </c>
      <c r="N3045">
        <v>2</v>
      </c>
    </row>
    <row r="3046" spans="1:14" x14ac:dyDescent="0.2">
      <c r="A3046" s="3">
        <f t="shared" si="49"/>
        <v>5607840</v>
      </c>
      <c r="B3046" t="str">
        <f>"56078400001"</f>
        <v>56078400001</v>
      </c>
      <c r="C3046" t="s">
        <v>3475</v>
      </c>
      <c r="D3046" t="s">
        <v>337</v>
      </c>
      <c r="E3046">
        <v>90</v>
      </c>
      <c r="F3046">
        <v>3428</v>
      </c>
      <c r="G3046" t="s">
        <v>206</v>
      </c>
      <c r="H3046">
        <v>14</v>
      </c>
      <c r="I3046" t="s">
        <v>34</v>
      </c>
      <c r="J3046">
        <v>9</v>
      </c>
      <c r="K3046" t="s">
        <v>34</v>
      </c>
      <c r="L3046">
        <v>8</v>
      </c>
      <c r="M3046">
        <v>91029</v>
      </c>
      <c r="N3046">
        <v>5</v>
      </c>
    </row>
    <row r="3047" spans="1:14" x14ac:dyDescent="0.2">
      <c r="A3047" s="3">
        <f t="shared" si="49"/>
        <v>5607851</v>
      </c>
      <c r="B3047" t="str">
        <f>"56078510030"</f>
        <v>56078510030</v>
      </c>
      <c r="C3047" t="s">
        <v>3476</v>
      </c>
      <c r="D3047" t="s">
        <v>42</v>
      </c>
      <c r="E3047">
        <v>71</v>
      </c>
      <c r="F3047">
        <v>1267</v>
      </c>
      <c r="G3047" t="s">
        <v>1144</v>
      </c>
      <c r="H3047">
        <v>12</v>
      </c>
      <c r="I3047" t="s">
        <v>25</v>
      </c>
      <c r="J3047">
        <v>9</v>
      </c>
      <c r="K3047" t="s">
        <v>25</v>
      </c>
      <c r="L3047">
        <v>8</v>
      </c>
      <c r="M3047">
        <v>72039</v>
      </c>
      <c r="N3047">
        <v>3</v>
      </c>
    </row>
    <row r="3048" spans="1:14" x14ac:dyDescent="0.2">
      <c r="A3048" s="3">
        <f t="shared" si="49"/>
        <v>5607892</v>
      </c>
      <c r="B3048" t="str">
        <f>"56078920096"</f>
        <v>56078920096</v>
      </c>
      <c r="C3048" t="s">
        <v>3477</v>
      </c>
      <c r="D3048" t="s">
        <v>52</v>
      </c>
      <c r="E3048">
        <v>83</v>
      </c>
      <c r="F3048">
        <v>1696</v>
      </c>
      <c r="G3048" t="s">
        <v>827</v>
      </c>
      <c r="H3048" t="s">
        <v>44</v>
      </c>
      <c r="I3048" t="s">
        <v>45</v>
      </c>
      <c r="J3048" t="s">
        <v>44</v>
      </c>
      <c r="K3048" t="s">
        <v>45</v>
      </c>
      <c r="L3048">
        <v>6</v>
      </c>
      <c r="M3048">
        <v>47674</v>
      </c>
      <c r="N3048" t="s">
        <v>46</v>
      </c>
    </row>
    <row r="3049" spans="1:14" x14ac:dyDescent="0.2">
      <c r="A3049" s="3">
        <f t="shared" si="49"/>
        <v>5607894</v>
      </c>
      <c r="B3049" t="str">
        <f>"56078940124"</f>
        <v>56078940124</v>
      </c>
      <c r="C3049" t="s">
        <v>3478</v>
      </c>
      <c r="D3049" t="s">
        <v>52</v>
      </c>
      <c r="E3049">
        <v>70</v>
      </c>
      <c r="F3049">
        <v>3112</v>
      </c>
      <c r="G3049" t="s">
        <v>245</v>
      </c>
      <c r="H3049">
        <v>120</v>
      </c>
      <c r="I3049" t="s">
        <v>34</v>
      </c>
      <c r="J3049">
        <v>88</v>
      </c>
      <c r="K3049" t="s">
        <v>34</v>
      </c>
      <c r="L3049">
        <v>6</v>
      </c>
      <c r="M3049">
        <v>1637</v>
      </c>
      <c r="N3049">
        <v>32</v>
      </c>
    </row>
    <row r="3050" spans="1:14" x14ac:dyDescent="0.2">
      <c r="A3050" s="3">
        <f t="shared" si="49"/>
        <v>5607905</v>
      </c>
      <c r="B3050" t="str">
        <f>"56079050006"</f>
        <v>56079050006</v>
      </c>
      <c r="C3050" t="s">
        <v>3479</v>
      </c>
      <c r="D3050" t="s">
        <v>52</v>
      </c>
      <c r="E3050">
        <v>60</v>
      </c>
      <c r="F3050">
        <v>2526</v>
      </c>
      <c r="G3050" t="s">
        <v>3480</v>
      </c>
      <c r="H3050" t="s">
        <v>44</v>
      </c>
      <c r="I3050" t="s">
        <v>45</v>
      </c>
      <c r="J3050" t="s">
        <v>44</v>
      </c>
      <c r="K3050" t="s">
        <v>45</v>
      </c>
      <c r="L3050">
        <v>5</v>
      </c>
      <c r="M3050" t="s">
        <v>65</v>
      </c>
      <c r="N3050" t="s">
        <v>46</v>
      </c>
    </row>
    <row r="3051" spans="1:14" x14ac:dyDescent="0.2">
      <c r="A3051" s="3">
        <f t="shared" si="49"/>
        <v>5607905</v>
      </c>
      <c r="B3051" t="str">
        <f>"56079050006"</f>
        <v>56079050006</v>
      </c>
      <c r="C3051" t="s">
        <v>3479</v>
      </c>
      <c r="D3051" t="s">
        <v>52</v>
      </c>
      <c r="E3051">
        <v>60</v>
      </c>
      <c r="F3051">
        <v>1928</v>
      </c>
      <c r="G3051" t="s">
        <v>3481</v>
      </c>
      <c r="H3051" t="s">
        <v>44</v>
      </c>
      <c r="I3051" t="s">
        <v>45</v>
      </c>
      <c r="J3051" t="s">
        <v>44</v>
      </c>
      <c r="K3051" t="s">
        <v>45</v>
      </c>
      <c r="L3051">
        <v>5</v>
      </c>
      <c r="M3051" t="s">
        <v>65</v>
      </c>
      <c r="N3051" t="s">
        <v>46</v>
      </c>
    </row>
    <row r="3052" spans="1:14" x14ac:dyDescent="0.2">
      <c r="A3052" s="3">
        <f t="shared" si="49"/>
        <v>5607906</v>
      </c>
      <c r="B3052" t="str">
        <f>"56079060006"</f>
        <v>56079060006</v>
      </c>
      <c r="C3052" t="s">
        <v>3482</v>
      </c>
      <c r="D3052" t="s">
        <v>52</v>
      </c>
      <c r="E3052">
        <v>60</v>
      </c>
      <c r="F3052">
        <v>2526</v>
      </c>
      <c r="G3052" t="s">
        <v>3480</v>
      </c>
      <c r="H3052" t="s">
        <v>44</v>
      </c>
      <c r="I3052" t="s">
        <v>45</v>
      </c>
      <c r="J3052" t="s">
        <v>44</v>
      </c>
      <c r="K3052" t="s">
        <v>45</v>
      </c>
      <c r="L3052">
        <v>5</v>
      </c>
      <c r="M3052" t="s">
        <v>65</v>
      </c>
      <c r="N3052" t="s">
        <v>46</v>
      </c>
    </row>
    <row r="3053" spans="1:14" x14ac:dyDescent="0.2">
      <c r="A3053" s="3">
        <f t="shared" si="49"/>
        <v>5607939</v>
      </c>
      <c r="B3053" t="str">
        <f>"56079390006"</f>
        <v>56079390006</v>
      </c>
      <c r="C3053" t="s">
        <v>3483</v>
      </c>
      <c r="D3053" t="s">
        <v>52</v>
      </c>
      <c r="E3053">
        <v>33</v>
      </c>
      <c r="F3053">
        <v>8249</v>
      </c>
      <c r="G3053" t="s">
        <v>3263</v>
      </c>
      <c r="H3053">
        <v>18</v>
      </c>
      <c r="I3053" t="s">
        <v>34</v>
      </c>
      <c r="J3053">
        <v>13</v>
      </c>
      <c r="K3053" t="s">
        <v>34</v>
      </c>
      <c r="L3053">
        <v>6</v>
      </c>
      <c r="M3053">
        <v>3533</v>
      </c>
      <c r="N3053">
        <v>5</v>
      </c>
    </row>
    <row r="3054" spans="1:14" x14ac:dyDescent="0.2">
      <c r="A3054" s="3">
        <f t="shared" si="49"/>
        <v>5607968</v>
      </c>
      <c r="B3054" t="str">
        <f>"56079680006"</f>
        <v>56079680006</v>
      </c>
      <c r="C3054" t="s">
        <v>817</v>
      </c>
      <c r="D3054" t="s">
        <v>36</v>
      </c>
      <c r="E3054">
        <v>51</v>
      </c>
      <c r="F3054">
        <v>3443</v>
      </c>
      <c r="G3054" t="s">
        <v>818</v>
      </c>
      <c r="H3054">
        <v>24</v>
      </c>
      <c r="I3054" t="s">
        <v>25</v>
      </c>
      <c r="J3054">
        <v>20</v>
      </c>
      <c r="K3054" t="s">
        <v>25</v>
      </c>
      <c r="L3054">
        <v>5</v>
      </c>
      <c r="M3054" t="s">
        <v>65</v>
      </c>
      <c r="N3054">
        <v>4</v>
      </c>
    </row>
    <row r="3055" spans="1:14" x14ac:dyDescent="0.2">
      <c r="A3055" s="3">
        <f t="shared" si="49"/>
        <v>5607974</v>
      </c>
      <c r="B3055" t="str">
        <f>"56079740001"</f>
        <v>56079740001</v>
      </c>
      <c r="C3055" t="s">
        <v>3484</v>
      </c>
      <c r="D3055" t="s">
        <v>337</v>
      </c>
      <c r="E3055">
        <v>90</v>
      </c>
      <c r="F3055">
        <v>8253</v>
      </c>
      <c r="G3055" t="s">
        <v>343</v>
      </c>
      <c r="H3055">
        <v>12</v>
      </c>
      <c r="I3055" t="s">
        <v>34</v>
      </c>
      <c r="J3055">
        <v>8</v>
      </c>
      <c r="K3055" t="s">
        <v>34</v>
      </c>
      <c r="L3055">
        <v>8</v>
      </c>
      <c r="M3055">
        <v>91030</v>
      </c>
      <c r="N3055">
        <v>4</v>
      </c>
    </row>
    <row r="3056" spans="1:14" x14ac:dyDescent="0.2">
      <c r="A3056" s="3">
        <f t="shared" si="49"/>
        <v>5607975</v>
      </c>
      <c r="B3056" t="str">
        <f>"56079750005"</f>
        <v>56079750005</v>
      </c>
      <c r="C3056" t="s">
        <v>3485</v>
      </c>
      <c r="D3056" t="s">
        <v>42</v>
      </c>
      <c r="E3056">
        <v>83</v>
      </c>
      <c r="F3056">
        <v>2131</v>
      </c>
      <c r="G3056" t="s">
        <v>241</v>
      </c>
      <c r="H3056" t="s">
        <v>44</v>
      </c>
      <c r="I3056" t="s">
        <v>45</v>
      </c>
      <c r="J3056" t="s">
        <v>44</v>
      </c>
      <c r="K3056" t="s">
        <v>45</v>
      </c>
      <c r="L3056">
        <v>8</v>
      </c>
      <c r="M3056">
        <v>67188</v>
      </c>
      <c r="N3056" t="s">
        <v>46</v>
      </c>
    </row>
    <row r="3057" spans="1:14" x14ac:dyDescent="0.2">
      <c r="A3057" s="3">
        <f t="shared" si="49"/>
        <v>5607976</v>
      </c>
      <c r="B3057" t="str">
        <f>"56079760001"</f>
        <v>56079760001</v>
      </c>
      <c r="C3057" t="s">
        <v>3486</v>
      </c>
      <c r="D3057" t="s">
        <v>337</v>
      </c>
      <c r="E3057">
        <v>90</v>
      </c>
      <c r="F3057">
        <v>3306</v>
      </c>
      <c r="G3057" t="s">
        <v>1198</v>
      </c>
      <c r="H3057">
        <v>12</v>
      </c>
      <c r="I3057" t="s">
        <v>34</v>
      </c>
      <c r="J3057">
        <v>8</v>
      </c>
      <c r="K3057" t="s">
        <v>34</v>
      </c>
      <c r="L3057">
        <v>8</v>
      </c>
      <c r="M3057">
        <v>91027</v>
      </c>
      <c r="N3057">
        <v>4</v>
      </c>
    </row>
    <row r="3058" spans="1:14" x14ac:dyDescent="0.2">
      <c r="A3058" s="3">
        <f t="shared" si="49"/>
        <v>5607980</v>
      </c>
      <c r="B3058" t="str">
        <f>"56079800012"</f>
        <v>56079800012</v>
      </c>
      <c r="C3058" t="s">
        <v>3487</v>
      </c>
      <c r="D3058" t="s">
        <v>52</v>
      </c>
      <c r="E3058">
        <v>20</v>
      </c>
      <c r="F3058">
        <v>8086</v>
      </c>
      <c r="G3058" t="s">
        <v>290</v>
      </c>
      <c r="H3058">
        <v>12</v>
      </c>
      <c r="I3058" t="s">
        <v>25</v>
      </c>
      <c r="J3058">
        <v>9</v>
      </c>
      <c r="K3058" t="s">
        <v>25</v>
      </c>
      <c r="L3058">
        <v>6</v>
      </c>
      <c r="M3058">
        <v>99894</v>
      </c>
      <c r="N3058">
        <v>3</v>
      </c>
    </row>
    <row r="3059" spans="1:14" x14ac:dyDescent="0.2">
      <c r="A3059" s="3">
        <f t="shared" si="49"/>
        <v>5607980</v>
      </c>
      <c r="B3059" t="str">
        <f>"56079800012"</f>
        <v>56079800012</v>
      </c>
      <c r="C3059" t="s">
        <v>3487</v>
      </c>
      <c r="D3059" t="s">
        <v>52</v>
      </c>
      <c r="E3059">
        <v>20</v>
      </c>
      <c r="F3059">
        <v>5041</v>
      </c>
      <c r="G3059" t="s">
        <v>1195</v>
      </c>
      <c r="H3059">
        <v>12</v>
      </c>
      <c r="I3059" t="s">
        <v>25</v>
      </c>
      <c r="J3059">
        <v>9</v>
      </c>
      <c r="K3059" t="s">
        <v>25</v>
      </c>
      <c r="L3059">
        <v>6</v>
      </c>
      <c r="M3059">
        <v>99894</v>
      </c>
      <c r="N3059">
        <v>3</v>
      </c>
    </row>
    <row r="3060" spans="1:14" x14ac:dyDescent="0.2">
      <c r="A3060" s="3">
        <f t="shared" si="49"/>
        <v>5607992</v>
      </c>
      <c r="B3060" t="str">
        <f>"56079920012"</f>
        <v>56079920012</v>
      </c>
      <c r="C3060" t="s">
        <v>3488</v>
      </c>
      <c r="D3060" t="s">
        <v>289</v>
      </c>
      <c r="E3060">
        <v>20</v>
      </c>
      <c r="F3060">
        <v>8086</v>
      </c>
      <c r="G3060" t="s">
        <v>290</v>
      </c>
      <c r="H3060">
        <v>18</v>
      </c>
      <c r="I3060" t="s">
        <v>25</v>
      </c>
      <c r="J3060">
        <v>14</v>
      </c>
      <c r="K3060" t="s">
        <v>25</v>
      </c>
      <c r="L3060">
        <v>5</v>
      </c>
      <c r="M3060">
        <v>86065</v>
      </c>
      <c r="N3060">
        <v>4</v>
      </c>
    </row>
    <row r="3061" spans="1:14" x14ac:dyDescent="0.2">
      <c r="A3061" s="3">
        <f t="shared" si="49"/>
        <v>5607992</v>
      </c>
      <c r="B3061" t="str">
        <f>"56079920012"</f>
        <v>56079920012</v>
      </c>
      <c r="C3061" t="s">
        <v>3488</v>
      </c>
      <c r="D3061" t="s">
        <v>289</v>
      </c>
      <c r="E3061">
        <v>20</v>
      </c>
      <c r="F3061">
        <v>2571</v>
      </c>
      <c r="G3061" t="s">
        <v>3489</v>
      </c>
      <c r="H3061">
        <v>18</v>
      </c>
      <c r="I3061" t="s">
        <v>25</v>
      </c>
      <c r="J3061">
        <v>14</v>
      </c>
      <c r="K3061" t="s">
        <v>25</v>
      </c>
      <c r="L3061">
        <v>5</v>
      </c>
      <c r="M3061">
        <v>86065</v>
      </c>
      <c r="N3061">
        <v>4</v>
      </c>
    </row>
    <row r="3062" spans="1:14" x14ac:dyDescent="0.2">
      <c r="A3062" s="3">
        <f t="shared" si="49"/>
        <v>5607998</v>
      </c>
      <c r="B3062" t="str">
        <f>"56079980006"</f>
        <v>56079980006</v>
      </c>
      <c r="C3062" t="s">
        <v>3490</v>
      </c>
      <c r="D3062" t="s">
        <v>52</v>
      </c>
      <c r="E3062">
        <v>33</v>
      </c>
      <c r="F3062">
        <v>939</v>
      </c>
      <c r="G3062" t="s">
        <v>725</v>
      </c>
      <c r="H3062">
        <v>12</v>
      </c>
      <c r="I3062" t="s">
        <v>34</v>
      </c>
      <c r="J3062">
        <v>8</v>
      </c>
      <c r="K3062" t="s">
        <v>34</v>
      </c>
      <c r="L3062">
        <v>6</v>
      </c>
      <c r="M3062">
        <v>3519</v>
      </c>
      <c r="N3062">
        <v>4</v>
      </c>
    </row>
    <row r="3063" spans="1:14" x14ac:dyDescent="0.2">
      <c r="A3063" s="3">
        <f t="shared" si="49"/>
        <v>5608003</v>
      </c>
      <c r="B3063" t="str">
        <f>"56080030012"</f>
        <v>56080030012</v>
      </c>
      <c r="C3063" t="s">
        <v>3491</v>
      </c>
      <c r="D3063" t="s">
        <v>52</v>
      </c>
      <c r="E3063">
        <v>20</v>
      </c>
      <c r="F3063">
        <v>8086</v>
      </c>
      <c r="G3063" t="s">
        <v>290</v>
      </c>
      <c r="H3063">
        <v>16</v>
      </c>
      <c r="I3063" t="s">
        <v>25</v>
      </c>
      <c r="J3063">
        <v>13</v>
      </c>
      <c r="K3063" t="s">
        <v>25</v>
      </c>
      <c r="L3063">
        <v>6</v>
      </c>
      <c r="M3063">
        <v>99892</v>
      </c>
      <c r="N3063">
        <v>3</v>
      </c>
    </row>
    <row r="3064" spans="1:14" x14ac:dyDescent="0.2">
      <c r="A3064" s="3">
        <f t="shared" si="49"/>
        <v>5608003</v>
      </c>
      <c r="B3064" t="str">
        <f>"56080030012"</f>
        <v>56080030012</v>
      </c>
      <c r="C3064" t="s">
        <v>3491</v>
      </c>
      <c r="D3064" t="s">
        <v>52</v>
      </c>
      <c r="E3064">
        <v>20</v>
      </c>
      <c r="F3064">
        <v>2504</v>
      </c>
      <c r="G3064" t="s">
        <v>715</v>
      </c>
      <c r="H3064">
        <v>16</v>
      </c>
      <c r="I3064" t="s">
        <v>25</v>
      </c>
      <c r="J3064">
        <v>13</v>
      </c>
      <c r="K3064" t="s">
        <v>25</v>
      </c>
      <c r="L3064">
        <v>6</v>
      </c>
      <c r="M3064">
        <v>99892</v>
      </c>
      <c r="N3064">
        <v>3</v>
      </c>
    </row>
    <row r="3065" spans="1:14" x14ac:dyDescent="0.2">
      <c r="A3065" s="3">
        <f t="shared" si="49"/>
        <v>5608010</v>
      </c>
      <c r="B3065" t="str">
        <f>"56080100021"</f>
        <v>56080100021</v>
      </c>
      <c r="C3065" t="s">
        <v>3492</v>
      </c>
      <c r="D3065" t="s">
        <v>36</v>
      </c>
      <c r="E3065">
        <v>70</v>
      </c>
      <c r="F3065">
        <v>325</v>
      </c>
      <c r="G3065" t="s">
        <v>3493</v>
      </c>
      <c r="H3065">
        <v>6</v>
      </c>
      <c r="I3065" t="s">
        <v>25</v>
      </c>
      <c r="J3065">
        <v>4</v>
      </c>
      <c r="K3065" t="s">
        <v>25</v>
      </c>
      <c r="L3065">
        <v>8</v>
      </c>
      <c r="M3065">
        <v>72243</v>
      </c>
      <c r="N3065">
        <v>2</v>
      </c>
    </row>
    <row r="3066" spans="1:14" x14ac:dyDescent="0.2">
      <c r="A3066" s="3">
        <f t="shared" si="49"/>
        <v>5608011</v>
      </c>
      <c r="B3066" t="str">
        <f>"56080110010"</f>
        <v>56080110010</v>
      </c>
      <c r="C3066" t="s">
        <v>3494</v>
      </c>
      <c r="D3066" t="s">
        <v>52</v>
      </c>
      <c r="E3066">
        <v>72</v>
      </c>
      <c r="F3066">
        <v>2415</v>
      </c>
      <c r="G3066" t="s">
        <v>3495</v>
      </c>
      <c r="H3066">
        <v>40</v>
      </c>
      <c r="I3066" t="s">
        <v>34</v>
      </c>
      <c r="J3066">
        <v>30</v>
      </c>
      <c r="K3066" t="s">
        <v>34</v>
      </c>
      <c r="L3066">
        <v>6</v>
      </c>
      <c r="M3066">
        <v>3608</v>
      </c>
      <c r="N3066">
        <v>10</v>
      </c>
    </row>
    <row r="3067" spans="1:14" x14ac:dyDescent="0.2">
      <c r="A3067" s="3">
        <f t="shared" si="49"/>
        <v>5608022</v>
      </c>
      <c r="B3067" t="str">
        <f>"56080220008"</f>
        <v>56080220008</v>
      </c>
      <c r="C3067" t="s">
        <v>3496</v>
      </c>
      <c r="D3067" t="s">
        <v>32</v>
      </c>
      <c r="E3067">
        <v>30</v>
      </c>
      <c r="F3067">
        <v>4806</v>
      </c>
      <c r="G3067" t="s">
        <v>160</v>
      </c>
      <c r="H3067">
        <v>12</v>
      </c>
      <c r="I3067" t="s">
        <v>34</v>
      </c>
      <c r="J3067">
        <v>8</v>
      </c>
      <c r="K3067" t="s">
        <v>34</v>
      </c>
      <c r="L3067">
        <v>8</v>
      </c>
      <c r="M3067">
        <v>85247</v>
      </c>
      <c r="N3067">
        <v>4</v>
      </c>
    </row>
    <row r="3068" spans="1:14" x14ac:dyDescent="0.2">
      <c r="A3068" s="3">
        <f t="shared" si="49"/>
        <v>5608032</v>
      </c>
      <c r="B3068" t="str">
        <f>"56080320001"</f>
        <v>56080320001</v>
      </c>
      <c r="C3068" t="s">
        <v>355</v>
      </c>
      <c r="D3068" t="s">
        <v>52</v>
      </c>
      <c r="E3068">
        <v>90</v>
      </c>
      <c r="F3068">
        <v>3759</v>
      </c>
      <c r="G3068" t="s">
        <v>356</v>
      </c>
      <c r="H3068">
        <v>10</v>
      </c>
      <c r="I3068" t="s">
        <v>34</v>
      </c>
      <c r="J3068">
        <v>7</v>
      </c>
      <c r="K3068" t="s">
        <v>34</v>
      </c>
      <c r="L3068">
        <v>5</v>
      </c>
      <c r="M3068" t="s">
        <v>65</v>
      </c>
      <c r="N3068">
        <v>3</v>
      </c>
    </row>
    <row r="3069" spans="1:14" x14ac:dyDescent="0.2">
      <c r="A3069" s="3">
        <f t="shared" si="49"/>
        <v>5608034</v>
      </c>
      <c r="B3069" t="str">
        <f>"56080340001"</f>
        <v>56080340001</v>
      </c>
      <c r="C3069" t="s">
        <v>3497</v>
      </c>
      <c r="D3069" t="s">
        <v>337</v>
      </c>
      <c r="E3069">
        <v>91</v>
      </c>
      <c r="F3069">
        <v>8018</v>
      </c>
      <c r="G3069" t="s">
        <v>322</v>
      </c>
      <c r="H3069">
        <v>12</v>
      </c>
      <c r="I3069" t="s">
        <v>34</v>
      </c>
      <c r="J3069">
        <v>8</v>
      </c>
      <c r="K3069" t="s">
        <v>34</v>
      </c>
      <c r="L3069">
        <v>6</v>
      </c>
      <c r="M3069" t="s">
        <v>65</v>
      </c>
      <c r="N3069">
        <v>4</v>
      </c>
    </row>
    <row r="3070" spans="1:14" x14ac:dyDescent="0.2">
      <c r="A3070" s="3">
        <f t="shared" si="49"/>
        <v>5608039</v>
      </c>
      <c r="B3070" t="str">
        <f>"56080390001"</f>
        <v>56080390001</v>
      </c>
      <c r="C3070" t="s">
        <v>3498</v>
      </c>
      <c r="D3070" t="s">
        <v>337</v>
      </c>
      <c r="E3070">
        <v>90</v>
      </c>
      <c r="F3070">
        <v>2785</v>
      </c>
      <c r="G3070" t="s">
        <v>176</v>
      </c>
      <c r="H3070">
        <v>9</v>
      </c>
      <c r="I3070" t="s">
        <v>34</v>
      </c>
      <c r="J3070">
        <v>6</v>
      </c>
      <c r="K3070" t="s">
        <v>34</v>
      </c>
      <c r="L3070">
        <v>8</v>
      </c>
      <c r="M3070">
        <v>91019</v>
      </c>
      <c r="N3070">
        <v>3</v>
      </c>
    </row>
    <row r="3071" spans="1:14" x14ac:dyDescent="0.2">
      <c r="A3071" s="3">
        <f t="shared" si="49"/>
        <v>5608081</v>
      </c>
      <c r="B3071" t="str">
        <f>"56080810006"</f>
        <v>56080810006</v>
      </c>
      <c r="C3071" t="s">
        <v>3499</v>
      </c>
      <c r="D3071" t="s">
        <v>52</v>
      </c>
      <c r="E3071">
        <v>51</v>
      </c>
      <c r="F3071">
        <v>3443</v>
      </c>
      <c r="G3071" t="s">
        <v>818</v>
      </c>
      <c r="H3071">
        <v>24</v>
      </c>
      <c r="I3071" t="s">
        <v>25</v>
      </c>
      <c r="J3071">
        <v>20</v>
      </c>
      <c r="K3071" t="s">
        <v>25</v>
      </c>
      <c r="L3071">
        <v>6</v>
      </c>
      <c r="M3071">
        <v>52625</v>
      </c>
      <c r="N3071">
        <v>4</v>
      </c>
    </row>
    <row r="3072" spans="1:14" x14ac:dyDescent="0.2">
      <c r="A3072" s="3">
        <f t="shared" si="49"/>
        <v>5608092</v>
      </c>
      <c r="B3072" t="str">
        <f>"56080920007"</f>
        <v>56080920007</v>
      </c>
      <c r="C3072" t="s">
        <v>3500</v>
      </c>
      <c r="D3072" t="s">
        <v>52</v>
      </c>
      <c r="E3072">
        <v>44</v>
      </c>
      <c r="F3072">
        <v>2589</v>
      </c>
      <c r="G3072" t="s">
        <v>3501</v>
      </c>
      <c r="H3072">
        <v>12</v>
      </c>
      <c r="I3072" t="s">
        <v>25</v>
      </c>
      <c r="J3072">
        <v>9</v>
      </c>
      <c r="K3072" t="s">
        <v>25</v>
      </c>
      <c r="L3072">
        <v>6</v>
      </c>
      <c r="M3072">
        <v>51608</v>
      </c>
      <c r="N3072">
        <v>3</v>
      </c>
    </row>
    <row r="3073" spans="1:14" x14ac:dyDescent="0.2">
      <c r="A3073" s="3">
        <f t="shared" si="49"/>
        <v>5608098</v>
      </c>
      <c r="B3073" t="str">
        <f>"56080980010"</f>
        <v>56080980010</v>
      </c>
      <c r="C3073" t="s">
        <v>3502</v>
      </c>
      <c r="D3073" t="s">
        <v>52</v>
      </c>
      <c r="E3073">
        <v>70</v>
      </c>
      <c r="F3073">
        <v>2577</v>
      </c>
      <c r="G3073" t="s">
        <v>3503</v>
      </c>
      <c r="H3073">
        <v>8</v>
      </c>
      <c r="I3073" t="s">
        <v>25</v>
      </c>
      <c r="J3073">
        <v>6</v>
      </c>
      <c r="K3073" t="s">
        <v>25</v>
      </c>
      <c r="L3073">
        <v>6</v>
      </c>
      <c r="M3073">
        <v>49696</v>
      </c>
      <c r="N3073">
        <v>2</v>
      </c>
    </row>
    <row r="3074" spans="1:14" x14ac:dyDescent="0.2">
      <c r="A3074" s="3">
        <f t="shared" si="49"/>
        <v>5608101</v>
      </c>
      <c r="B3074" t="str">
        <f>"56081010006"</f>
        <v>56081010006</v>
      </c>
      <c r="C3074" t="s">
        <v>3504</v>
      </c>
      <c r="D3074" t="s">
        <v>52</v>
      </c>
      <c r="E3074">
        <v>33</v>
      </c>
      <c r="F3074">
        <v>705</v>
      </c>
      <c r="G3074" t="s">
        <v>1213</v>
      </c>
      <c r="H3074">
        <v>17</v>
      </c>
      <c r="I3074" t="s">
        <v>34</v>
      </c>
      <c r="J3074">
        <v>11</v>
      </c>
      <c r="K3074" t="s">
        <v>34</v>
      </c>
      <c r="L3074">
        <v>6</v>
      </c>
      <c r="M3074">
        <v>52512</v>
      </c>
      <c r="N3074">
        <v>6</v>
      </c>
    </row>
    <row r="3075" spans="1:14" x14ac:dyDescent="0.2">
      <c r="A3075" s="3">
        <f t="shared" si="49"/>
        <v>5608123</v>
      </c>
      <c r="B3075" t="str">
        <f>"56081230008"</f>
        <v>56081230008</v>
      </c>
      <c r="C3075" t="s">
        <v>3505</v>
      </c>
      <c r="D3075" t="s">
        <v>52</v>
      </c>
      <c r="E3075">
        <v>51</v>
      </c>
      <c r="F3075">
        <v>136</v>
      </c>
      <c r="G3075" t="s">
        <v>538</v>
      </c>
      <c r="H3075">
        <v>12</v>
      </c>
      <c r="I3075" t="s">
        <v>25</v>
      </c>
      <c r="J3075">
        <v>9</v>
      </c>
      <c r="K3075" t="s">
        <v>25</v>
      </c>
      <c r="L3075">
        <v>6</v>
      </c>
      <c r="M3075">
        <v>1616</v>
      </c>
      <c r="N3075">
        <v>3</v>
      </c>
    </row>
    <row r="3076" spans="1:14" x14ac:dyDescent="0.2">
      <c r="A3076" s="3">
        <f t="shared" ref="A3076:A3139" si="50">(B3076-RIGHT(B3076,4))/10000</f>
        <v>5608125</v>
      </c>
      <c r="B3076" t="str">
        <f>"56081250006"</f>
        <v>56081250006</v>
      </c>
      <c r="C3076" t="s">
        <v>3506</v>
      </c>
      <c r="D3076" t="s">
        <v>52</v>
      </c>
      <c r="E3076">
        <v>41</v>
      </c>
      <c r="F3076">
        <v>4229</v>
      </c>
      <c r="G3076" t="s">
        <v>3213</v>
      </c>
      <c r="H3076">
        <v>120</v>
      </c>
      <c r="I3076" t="s">
        <v>34</v>
      </c>
      <c r="J3076">
        <v>88</v>
      </c>
      <c r="K3076" t="s">
        <v>34</v>
      </c>
      <c r="L3076">
        <v>6</v>
      </c>
      <c r="M3076">
        <v>2615</v>
      </c>
      <c r="N3076">
        <v>32</v>
      </c>
    </row>
    <row r="3077" spans="1:14" x14ac:dyDescent="0.2">
      <c r="A3077" s="3">
        <f t="shared" si="50"/>
        <v>5608129</v>
      </c>
      <c r="B3077" t="str">
        <f>"56081290024"</f>
        <v>56081290024</v>
      </c>
      <c r="C3077" t="s">
        <v>3507</v>
      </c>
      <c r="D3077" t="s">
        <v>52</v>
      </c>
      <c r="E3077">
        <v>51</v>
      </c>
      <c r="F3077">
        <v>2319</v>
      </c>
      <c r="G3077" t="s">
        <v>3508</v>
      </c>
      <c r="H3077">
        <v>35</v>
      </c>
      <c r="I3077" t="s">
        <v>25</v>
      </c>
      <c r="J3077">
        <v>29</v>
      </c>
      <c r="K3077" t="s">
        <v>25</v>
      </c>
      <c r="L3077">
        <v>6</v>
      </c>
      <c r="M3077">
        <v>52624</v>
      </c>
      <c r="N3077">
        <v>6</v>
      </c>
    </row>
    <row r="3078" spans="1:14" x14ac:dyDescent="0.2">
      <c r="A3078" s="3">
        <f t="shared" si="50"/>
        <v>5608136</v>
      </c>
      <c r="B3078" t="str">
        <f>"56081360012"</f>
        <v>56081360012</v>
      </c>
      <c r="C3078" t="s">
        <v>3509</v>
      </c>
      <c r="D3078" t="s">
        <v>52</v>
      </c>
      <c r="E3078">
        <v>44</v>
      </c>
      <c r="F3078">
        <v>311</v>
      </c>
      <c r="G3078" t="s">
        <v>3510</v>
      </c>
      <c r="H3078">
        <v>6</v>
      </c>
      <c r="I3078" t="s">
        <v>25</v>
      </c>
      <c r="J3078">
        <v>4</v>
      </c>
      <c r="K3078" t="s">
        <v>25</v>
      </c>
      <c r="L3078">
        <v>6</v>
      </c>
      <c r="M3078">
        <v>3624</v>
      </c>
      <c r="N3078">
        <v>2</v>
      </c>
    </row>
    <row r="3079" spans="1:14" x14ac:dyDescent="0.2">
      <c r="A3079" s="3">
        <f t="shared" si="50"/>
        <v>5608147</v>
      </c>
      <c r="B3079" t="str">
        <f>"56081470006"</f>
        <v>56081470006</v>
      </c>
      <c r="C3079" t="s">
        <v>3511</v>
      </c>
      <c r="D3079" t="s">
        <v>52</v>
      </c>
      <c r="E3079">
        <v>51</v>
      </c>
      <c r="F3079">
        <v>3443</v>
      </c>
      <c r="G3079" t="s">
        <v>818</v>
      </c>
      <c r="H3079">
        <v>24</v>
      </c>
      <c r="I3079" t="s">
        <v>25</v>
      </c>
      <c r="J3079">
        <v>20</v>
      </c>
      <c r="K3079" t="s">
        <v>25</v>
      </c>
      <c r="L3079">
        <v>6</v>
      </c>
      <c r="M3079">
        <v>52626</v>
      </c>
      <c r="N3079">
        <v>4</v>
      </c>
    </row>
    <row r="3080" spans="1:14" x14ac:dyDescent="0.2">
      <c r="A3080" s="3">
        <f t="shared" si="50"/>
        <v>5608148</v>
      </c>
      <c r="B3080" t="str">
        <f>"56081480006"</f>
        <v>56081480006</v>
      </c>
      <c r="C3080" t="s">
        <v>3512</v>
      </c>
      <c r="D3080" t="s">
        <v>52</v>
      </c>
      <c r="E3080">
        <v>51</v>
      </c>
      <c r="F3080">
        <v>3443</v>
      </c>
      <c r="G3080" t="s">
        <v>818</v>
      </c>
      <c r="H3080">
        <v>24</v>
      </c>
      <c r="I3080" t="s">
        <v>25</v>
      </c>
      <c r="J3080">
        <v>20</v>
      </c>
      <c r="K3080" t="s">
        <v>25</v>
      </c>
      <c r="L3080">
        <v>6</v>
      </c>
      <c r="M3080">
        <v>52627</v>
      </c>
      <c r="N3080">
        <v>4</v>
      </c>
    </row>
    <row r="3081" spans="1:14" x14ac:dyDescent="0.2">
      <c r="A3081" s="3">
        <f t="shared" si="50"/>
        <v>5608157</v>
      </c>
      <c r="B3081" t="str">
        <f>"56081570006"</f>
        <v>56081570006</v>
      </c>
      <c r="C3081" t="s">
        <v>3513</v>
      </c>
      <c r="D3081" t="s">
        <v>52</v>
      </c>
      <c r="E3081">
        <v>33</v>
      </c>
      <c r="F3081">
        <v>3275</v>
      </c>
      <c r="G3081" t="s">
        <v>188</v>
      </c>
      <c r="H3081">
        <v>17</v>
      </c>
      <c r="I3081" t="s">
        <v>34</v>
      </c>
      <c r="J3081">
        <v>11</v>
      </c>
      <c r="K3081" t="s">
        <v>34</v>
      </c>
      <c r="L3081">
        <v>6</v>
      </c>
      <c r="M3081">
        <v>52507</v>
      </c>
      <c r="N3081">
        <v>6</v>
      </c>
    </row>
    <row r="3082" spans="1:14" x14ac:dyDescent="0.2">
      <c r="A3082" s="3">
        <f t="shared" si="50"/>
        <v>5608175</v>
      </c>
      <c r="B3082" t="str">
        <f>"56081750012"</f>
        <v>56081750012</v>
      </c>
      <c r="C3082" t="s">
        <v>3514</v>
      </c>
      <c r="D3082" t="s">
        <v>52</v>
      </c>
      <c r="E3082">
        <v>73</v>
      </c>
      <c r="F3082">
        <v>8086</v>
      </c>
      <c r="G3082" t="s">
        <v>290</v>
      </c>
      <c r="H3082">
        <v>16</v>
      </c>
      <c r="I3082" t="s">
        <v>25</v>
      </c>
      <c r="J3082">
        <v>13</v>
      </c>
      <c r="K3082" t="s">
        <v>25</v>
      </c>
      <c r="L3082">
        <v>6</v>
      </c>
      <c r="M3082">
        <v>99896</v>
      </c>
      <c r="N3082">
        <v>1</v>
      </c>
    </row>
    <row r="3083" spans="1:14" x14ac:dyDescent="0.2">
      <c r="A3083" s="3">
        <f t="shared" si="50"/>
        <v>5608175</v>
      </c>
      <c r="B3083" t="str">
        <f>"56081750012"</f>
        <v>56081750012</v>
      </c>
      <c r="C3083" t="s">
        <v>3514</v>
      </c>
      <c r="D3083" t="s">
        <v>52</v>
      </c>
      <c r="E3083">
        <v>73</v>
      </c>
      <c r="F3083">
        <v>472</v>
      </c>
      <c r="G3083" t="s">
        <v>1125</v>
      </c>
      <c r="H3083">
        <v>16</v>
      </c>
      <c r="I3083" t="s">
        <v>25</v>
      </c>
      <c r="J3083">
        <v>13</v>
      </c>
      <c r="K3083" t="s">
        <v>25</v>
      </c>
      <c r="L3083">
        <v>6</v>
      </c>
      <c r="M3083">
        <v>99896</v>
      </c>
      <c r="N3083">
        <v>1</v>
      </c>
    </row>
    <row r="3084" spans="1:14" x14ac:dyDescent="0.2">
      <c r="A3084" s="3">
        <f t="shared" si="50"/>
        <v>5608179</v>
      </c>
      <c r="B3084" t="str">
        <f>"56081790004"</f>
        <v>56081790004</v>
      </c>
      <c r="C3084" t="s">
        <v>3515</v>
      </c>
      <c r="D3084" t="s">
        <v>52</v>
      </c>
      <c r="E3084">
        <v>73</v>
      </c>
      <c r="F3084">
        <v>8086</v>
      </c>
      <c r="G3084" t="s">
        <v>290</v>
      </c>
      <c r="H3084">
        <v>16</v>
      </c>
      <c r="I3084" t="s">
        <v>25</v>
      </c>
      <c r="J3084">
        <v>13</v>
      </c>
      <c r="K3084" t="s">
        <v>25</v>
      </c>
      <c r="L3084">
        <v>6</v>
      </c>
      <c r="M3084">
        <v>99756</v>
      </c>
      <c r="N3084">
        <v>1</v>
      </c>
    </row>
    <row r="3085" spans="1:14" x14ac:dyDescent="0.2">
      <c r="A3085" s="3">
        <f t="shared" si="50"/>
        <v>5608179</v>
      </c>
      <c r="B3085" t="str">
        <f>"56081790004"</f>
        <v>56081790004</v>
      </c>
      <c r="C3085" t="s">
        <v>3515</v>
      </c>
      <c r="D3085" t="s">
        <v>52</v>
      </c>
      <c r="E3085">
        <v>73</v>
      </c>
      <c r="F3085">
        <v>472</v>
      </c>
      <c r="G3085" t="s">
        <v>1125</v>
      </c>
      <c r="H3085">
        <v>16</v>
      </c>
      <c r="I3085" t="s">
        <v>25</v>
      </c>
      <c r="J3085">
        <v>13</v>
      </c>
      <c r="K3085" t="s">
        <v>25</v>
      </c>
      <c r="L3085">
        <v>6</v>
      </c>
      <c r="M3085">
        <v>99756</v>
      </c>
      <c r="N3085">
        <v>1</v>
      </c>
    </row>
    <row r="3086" spans="1:14" x14ac:dyDescent="0.2">
      <c r="A3086" s="3">
        <f t="shared" si="50"/>
        <v>5608180</v>
      </c>
      <c r="B3086" t="str">
        <f>"56081800004"</f>
        <v>56081800004</v>
      </c>
      <c r="C3086" t="s">
        <v>3516</v>
      </c>
      <c r="D3086" t="s">
        <v>52</v>
      </c>
      <c r="E3086">
        <v>73</v>
      </c>
      <c r="F3086">
        <v>8086</v>
      </c>
      <c r="G3086" t="s">
        <v>290</v>
      </c>
      <c r="H3086">
        <v>16</v>
      </c>
      <c r="I3086" t="s">
        <v>25</v>
      </c>
      <c r="J3086">
        <v>13</v>
      </c>
      <c r="K3086" t="s">
        <v>25</v>
      </c>
      <c r="L3086">
        <v>6</v>
      </c>
      <c r="M3086">
        <v>99796</v>
      </c>
      <c r="N3086">
        <v>1</v>
      </c>
    </row>
    <row r="3087" spans="1:14" x14ac:dyDescent="0.2">
      <c r="A3087" s="3">
        <f t="shared" si="50"/>
        <v>5608180</v>
      </c>
      <c r="B3087" t="str">
        <f>"56081800004"</f>
        <v>56081800004</v>
      </c>
      <c r="C3087" t="s">
        <v>3516</v>
      </c>
      <c r="D3087" t="s">
        <v>52</v>
      </c>
      <c r="E3087">
        <v>73</v>
      </c>
      <c r="F3087">
        <v>472</v>
      </c>
      <c r="G3087" t="s">
        <v>1125</v>
      </c>
      <c r="H3087">
        <v>16</v>
      </c>
      <c r="I3087" t="s">
        <v>25</v>
      </c>
      <c r="J3087">
        <v>13</v>
      </c>
      <c r="K3087" t="s">
        <v>25</v>
      </c>
      <c r="L3087">
        <v>6</v>
      </c>
      <c r="M3087">
        <v>99796</v>
      </c>
      <c r="N3087">
        <v>1</v>
      </c>
    </row>
    <row r="3088" spans="1:14" x14ac:dyDescent="0.2">
      <c r="A3088" s="3">
        <f t="shared" si="50"/>
        <v>5608194</v>
      </c>
      <c r="B3088" t="str">
        <f>"56081940004"</f>
        <v>56081940004</v>
      </c>
      <c r="C3088" t="s">
        <v>3517</v>
      </c>
      <c r="D3088" t="s">
        <v>172</v>
      </c>
      <c r="E3088">
        <v>33</v>
      </c>
      <c r="F3088">
        <v>3484</v>
      </c>
      <c r="G3088" t="s">
        <v>173</v>
      </c>
      <c r="H3088">
        <v>8</v>
      </c>
      <c r="I3088" t="s">
        <v>34</v>
      </c>
      <c r="J3088">
        <v>5</v>
      </c>
      <c r="K3088" t="s">
        <v>34</v>
      </c>
      <c r="L3088">
        <v>8</v>
      </c>
      <c r="M3088">
        <v>85071</v>
      </c>
      <c r="N3088">
        <v>3</v>
      </c>
    </row>
    <row r="3089" spans="1:14" x14ac:dyDescent="0.2">
      <c r="A3089" s="3">
        <f t="shared" si="50"/>
        <v>5608214</v>
      </c>
      <c r="B3089" t="str">
        <f>"56082140198"</f>
        <v>56082140198</v>
      </c>
      <c r="C3089" t="s">
        <v>3518</v>
      </c>
      <c r="D3089" t="s">
        <v>52</v>
      </c>
      <c r="E3089">
        <v>82</v>
      </c>
      <c r="F3089">
        <v>1696</v>
      </c>
      <c r="G3089" t="s">
        <v>827</v>
      </c>
      <c r="H3089" t="s">
        <v>44</v>
      </c>
      <c r="I3089" t="s">
        <v>45</v>
      </c>
      <c r="J3089" t="s">
        <v>44</v>
      </c>
      <c r="K3089" t="s">
        <v>45</v>
      </c>
      <c r="L3089">
        <v>6</v>
      </c>
      <c r="M3089">
        <v>1643</v>
      </c>
      <c r="N3089" t="s">
        <v>46</v>
      </c>
    </row>
    <row r="3090" spans="1:14" x14ac:dyDescent="0.2">
      <c r="A3090" s="3">
        <f t="shared" si="50"/>
        <v>5608233</v>
      </c>
      <c r="B3090" t="str">
        <f>"56082330016"</f>
        <v>56082330016</v>
      </c>
      <c r="C3090" t="s">
        <v>3519</v>
      </c>
      <c r="D3090" t="s">
        <v>52</v>
      </c>
      <c r="E3090">
        <v>45</v>
      </c>
      <c r="F3090">
        <v>2131</v>
      </c>
      <c r="G3090" t="s">
        <v>241</v>
      </c>
      <c r="H3090">
        <v>45</v>
      </c>
      <c r="I3090" t="s">
        <v>34</v>
      </c>
      <c r="J3090">
        <v>34</v>
      </c>
      <c r="K3090" t="s">
        <v>34</v>
      </c>
      <c r="L3090">
        <v>5</v>
      </c>
      <c r="M3090" t="s">
        <v>65</v>
      </c>
      <c r="N3090">
        <v>11</v>
      </c>
    </row>
    <row r="3091" spans="1:14" x14ac:dyDescent="0.2">
      <c r="A3091" s="3">
        <f t="shared" si="50"/>
        <v>5608234</v>
      </c>
      <c r="B3091" t="str">
        <f>"56082340012"</f>
        <v>56082340012</v>
      </c>
      <c r="C3091" t="s">
        <v>3520</v>
      </c>
      <c r="D3091" t="s">
        <v>52</v>
      </c>
      <c r="E3091">
        <v>44</v>
      </c>
      <c r="F3091">
        <v>2131</v>
      </c>
      <c r="G3091" t="s">
        <v>241</v>
      </c>
      <c r="H3091">
        <v>90</v>
      </c>
      <c r="I3091" t="s">
        <v>34</v>
      </c>
      <c r="J3091">
        <v>69</v>
      </c>
      <c r="K3091" t="s">
        <v>34</v>
      </c>
      <c r="L3091">
        <v>5</v>
      </c>
      <c r="M3091" t="s">
        <v>65</v>
      </c>
      <c r="N3091">
        <v>21</v>
      </c>
    </row>
    <row r="3092" spans="1:14" x14ac:dyDescent="0.2">
      <c r="A3092" s="3">
        <f t="shared" si="50"/>
        <v>5608236</v>
      </c>
      <c r="B3092" t="str">
        <f>"56082360012"</f>
        <v>56082360012</v>
      </c>
      <c r="C3092" t="s">
        <v>3521</v>
      </c>
      <c r="D3092" t="s">
        <v>67</v>
      </c>
      <c r="E3092">
        <v>32</v>
      </c>
      <c r="F3092">
        <v>4249</v>
      </c>
      <c r="G3092" t="s">
        <v>264</v>
      </c>
      <c r="H3092">
        <v>28</v>
      </c>
      <c r="I3092" t="s">
        <v>34</v>
      </c>
      <c r="J3092">
        <v>20</v>
      </c>
      <c r="K3092" t="s">
        <v>34</v>
      </c>
      <c r="L3092">
        <v>9</v>
      </c>
      <c r="M3092">
        <v>82021</v>
      </c>
      <c r="N3092">
        <v>8</v>
      </c>
    </row>
    <row r="3093" spans="1:14" x14ac:dyDescent="0.2">
      <c r="A3093" s="3">
        <f t="shared" si="50"/>
        <v>5608268</v>
      </c>
      <c r="B3093" t="str">
        <f>"56082680012"</f>
        <v>56082680012</v>
      </c>
      <c r="C3093" t="s">
        <v>3522</v>
      </c>
      <c r="D3093" t="s">
        <v>52</v>
      </c>
      <c r="E3093">
        <v>51</v>
      </c>
      <c r="F3093">
        <v>8070</v>
      </c>
      <c r="G3093" t="s">
        <v>2997</v>
      </c>
      <c r="H3093">
        <v>24</v>
      </c>
      <c r="I3093" t="s">
        <v>25</v>
      </c>
      <c r="J3093">
        <v>20</v>
      </c>
      <c r="K3093" t="s">
        <v>25</v>
      </c>
      <c r="L3093">
        <v>6</v>
      </c>
      <c r="M3093">
        <v>52613</v>
      </c>
      <c r="N3093">
        <v>4</v>
      </c>
    </row>
    <row r="3094" spans="1:14" x14ac:dyDescent="0.2">
      <c r="A3094" s="3">
        <f t="shared" si="50"/>
        <v>5608279</v>
      </c>
      <c r="B3094" t="str">
        <f>"56082790006"</f>
        <v>56082790006</v>
      </c>
      <c r="C3094" t="s">
        <v>3523</v>
      </c>
      <c r="D3094" t="s">
        <v>23</v>
      </c>
      <c r="E3094">
        <v>62</v>
      </c>
      <c r="F3094">
        <v>2120</v>
      </c>
      <c r="G3094" t="s">
        <v>1007</v>
      </c>
      <c r="H3094">
        <v>8</v>
      </c>
      <c r="I3094" t="s">
        <v>25</v>
      </c>
      <c r="J3094">
        <v>6</v>
      </c>
      <c r="K3094" t="s">
        <v>25</v>
      </c>
      <c r="L3094">
        <v>8</v>
      </c>
      <c r="M3094">
        <v>95411</v>
      </c>
      <c r="N3094">
        <v>2</v>
      </c>
    </row>
    <row r="3095" spans="1:14" x14ac:dyDescent="0.2">
      <c r="A3095" s="3">
        <f t="shared" si="50"/>
        <v>5608295</v>
      </c>
      <c r="B3095" t="str">
        <f>"56082950008"</f>
        <v>56082950008</v>
      </c>
      <c r="C3095" t="s">
        <v>3524</v>
      </c>
      <c r="D3095" t="s">
        <v>52</v>
      </c>
      <c r="E3095">
        <v>33</v>
      </c>
      <c r="F3095">
        <v>6969</v>
      </c>
      <c r="G3095" t="s">
        <v>3525</v>
      </c>
      <c r="H3095">
        <v>18</v>
      </c>
      <c r="I3095" t="s">
        <v>34</v>
      </c>
      <c r="J3095">
        <v>13</v>
      </c>
      <c r="K3095" t="s">
        <v>34</v>
      </c>
      <c r="L3095">
        <v>6</v>
      </c>
      <c r="M3095">
        <v>3528</v>
      </c>
      <c r="N3095">
        <v>5</v>
      </c>
    </row>
    <row r="3096" spans="1:14" x14ac:dyDescent="0.2">
      <c r="A3096" s="3">
        <f t="shared" si="50"/>
        <v>5608300</v>
      </c>
      <c r="B3096" t="str">
        <f>"56083000006"</f>
        <v>56083000006</v>
      </c>
      <c r="C3096" t="s">
        <v>3526</v>
      </c>
      <c r="D3096" t="s">
        <v>52</v>
      </c>
      <c r="E3096">
        <v>20</v>
      </c>
      <c r="F3096">
        <v>8086</v>
      </c>
      <c r="G3096" t="s">
        <v>290</v>
      </c>
      <c r="H3096">
        <v>9</v>
      </c>
      <c r="I3096" t="s">
        <v>25</v>
      </c>
      <c r="J3096">
        <v>7</v>
      </c>
      <c r="K3096" t="s">
        <v>25</v>
      </c>
      <c r="L3096">
        <v>6</v>
      </c>
      <c r="M3096">
        <v>99668</v>
      </c>
      <c r="N3096">
        <v>2</v>
      </c>
    </row>
    <row r="3097" spans="1:14" x14ac:dyDescent="0.2">
      <c r="A3097" s="3">
        <f t="shared" si="50"/>
        <v>5608300</v>
      </c>
      <c r="B3097" t="str">
        <f>"56083000006"</f>
        <v>56083000006</v>
      </c>
      <c r="C3097" t="s">
        <v>3526</v>
      </c>
      <c r="D3097" t="s">
        <v>52</v>
      </c>
      <c r="E3097">
        <v>20</v>
      </c>
      <c r="F3097">
        <v>329</v>
      </c>
      <c r="G3097" t="s">
        <v>252</v>
      </c>
      <c r="H3097">
        <v>9</v>
      </c>
      <c r="I3097" t="s">
        <v>25</v>
      </c>
      <c r="J3097">
        <v>7</v>
      </c>
      <c r="K3097" t="s">
        <v>25</v>
      </c>
      <c r="L3097">
        <v>6</v>
      </c>
      <c r="M3097">
        <v>99668</v>
      </c>
      <c r="N3097">
        <v>2</v>
      </c>
    </row>
    <row r="3098" spans="1:14" x14ac:dyDescent="0.2">
      <c r="A3098" s="3">
        <f t="shared" si="50"/>
        <v>5608304</v>
      </c>
      <c r="B3098" t="str">
        <f>"56083040006"</f>
        <v>56083040006</v>
      </c>
      <c r="C3098" t="s">
        <v>3527</v>
      </c>
      <c r="D3098" t="s">
        <v>52</v>
      </c>
      <c r="E3098">
        <v>20</v>
      </c>
      <c r="F3098">
        <v>8086</v>
      </c>
      <c r="G3098" t="s">
        <v>290</v>
      </c>
      <c r="H3098">
        <v>9</v>
      </c>
      <c r="I3098" t="s">
        <v>25</v>
      </c>
      <c r="J3098">
        <v>7</v>
      </c>
      <c r="K3098" t="s">
        <v>25</v>
      </c>
      <c r="L3098">
        <v>6</v>
      </c>
      <c r="M3098">
        <v>99669</v>
      </c>
      <c r="N3098">
        <v>2</v>
      </c>
    </row>
    <row r="3099" spans="1:14" x14ac:dyDescent="0.2">
      <c r="A3099" s="3">
        <f t="shared" si="50"/>
        <v>5608304</v>
      </c>
      <c r="B3099" t="str">
        <f>"56083040006"</f>
        <v>56083040006</v>
      </c>
      <c r="C3099" t="s">
        <v>3527</v>
      </c>
      <c r="D3099" t="s">
        <v>52</v>
      </c>
      <c r="E3099">
        <v>20</v>
      </c>
      <c r="F3099">
        <v>329</v>
      </c>
      <c r="G3099" t="s">
        <v>252</v>
      </c>
      <c r="H3099">
        <v>9</v>
      </c>
      <c r="I3099" t="s">
        <v>25</v>
      </c>
      <c r="J3099">
        <v>7</v>
      </c>
      <c r="K3099" t="s">
        <v>25</v>
      </c>
      <c r="L3099">
        <v>6</v>
      </c>
      <c r="M3099">
        <v>99669</v>
      </c>
      <c r="N3099">
        <v>2</v>
      </c>
    </row>
    <row r="3100" spans="1:14" x14ac:dyDescent="0.2">
      <c r="A3100" s="3">
        <f t="shared" si="50"/>
        <v>5608308</v>
      </c>
      <c r="B3100" t="str">
        <f>"56083080042"</f>
        <v>56083080042</v>
      </c>
      <c r="C3100" t="s">
        <v>3528</v>
      </c>
      <c r="D3100" t="s">
        <v>52</v>
      </c>
      <c r="E3100">
        <v>83</v>
      </c>
      <c r="F3100">
        <v>2131</v>
      </c>
      <c r="G3100" t="s">
        <v>241</v>
      </c>
      <c r="H3100" t="s">
        <v>44</v>
      </c>
      <c r="I3100" t="s">
        <v>45</v>
      </c>
      <c r="J3100" t="s">
        <v>44</v>
      </c>
      <c r="K3100" t="s">
        <v>45</v>
      </c>
      <c r="L3100">
        <v>6</v>
      </c>
      <c r="M3100">
        <v>47675</v>
      </c>
      <c r="N3100" t="s">
        <v>46</v>
      </c>
    </row>
    <row r="3101" spans="1:14" x14ac:dyDescent="0.2">
      <c r="A3101" s="3">
        <f t="shared" si="50"/>
        <v>5608366</v>
      </c>
      <c r="B3101" t="str">
        <f>"56083660029"</f>
        <v>56083660029</v>
      </c>
      <c r="C3101" t="s">
        <v>3529</v>
      </c>
      <c r="D3101" t="s">
        <v>52</v>
      </c>
      <c r="E3101">
        <v>49</v>
      </c>
      <c r="F3101">
        <v>2131</v>
      </c>
      <c r="G3101" t="s">
        <v>241</v>
      </c>
      <c r="H3101">
        <v>6</v>
      </c>
      <c r="I3101" t="s">
        <v>25</v>
      </c>
      <c r="J3101">
        <v>4</v>
      </c>
      <c r="K3101" t="s">
        <v>25</v>
      </c>
      <c r="L3101">
        <v>5</v>
      </c>
      <c r="M3101" t="s">
        <v>65</v>
      </c>
      <c r="N3101">
        <v>2</v>
      </c>
    </row>
    <row r="3102" spans="1:14" x14ac:dyDescent="0.2">
      <c r="A3102" s="3">
        <f t="shared" si="50"/>
        <v>5608373</v>
      </c>
      <c r="B3102" t="str">
        <f>"56083730026"</f>
        <v>56083730026</v>
      </c>
      <c r="C3102" t="s">
        <v>3530</v>
      </c>
      <c r="D3102" t="s">
        <v>52</v>
      </c>
      <c r="E3102">
        <v>49</v>
      </c>
      <c r="F3102">
        <v>2131</v>
      </c>
      <c r="G3102" t="s">
        <v>241</v>
      </c>
      <c r="H3102">
        <v>150</v>
      </c>
      <c r="I3102" t="s">
        <v>34</v>
      </c>
      <c r="J3102">
        <v>118</v>
      </c>
      <c r="K3102" t="s">
        <v>34</v>
      </c>
      <c r="L3102">
        <v>5</v>
      </c>
      <c r="M3102" t="s">
        <v>65</v>
      </c>
      <c r="N3102">
        <v>32</v>
      </c>
    </row>
    <row r="3103" spans="1:14" x14ac:dyDescent="0.2">
      <c r="A3103" s="3">
        <f t="shared" si="50"/>
        <v>5608377</v>
      </c>
      <c r="B3103" t="str">
        <f>"56083770024"</f>
        <v>56083770024</v>
      </c>
      <c r="C3103" t="s">
        <v>3531</v>
      </c>
      <c r="D3103" t="s">
        <v>52</v>
      </c>
      <c r="E3103">
        <v>49</v>
      </c>
      <c r="F3103">
        <v>2131</v>
      </c>
      <c r="G3103" t="s">
        <v>241</v>
      </c>
      <c r="H3103">
        <v>150</v>
      </c>
      <c r="I3103" t="s">
        <v>34</v>
      </c>
      <c r="J3103">
        <v>118</v>
      </c>
      <c r="K3103" t="s">
        <v>34</v>
      </c>
      <c r="L3103">
        <v>5</v>
      </c>
      <c r="M3103" t="s">
        <v>65</v>
      </c>
      <c r="N3103">
        <v>32</v>
      </c>
    </row>
    <row r="3104" spans="1:14" x14ac:dyDescent="0.2">
      <c r="A3104" s="3">
        <f t="shared" si="50"/>
        <v>5608381</v>
      </c>
      <c r="B3104" t="str">
        <f>"56083810034"</f>
        <v>56083810034</v>
      </c>
      <c r="C3104" t="s">
        <v>3532</v>
      </c>
      <c r="D3104" t="s">
        <v>52</v>
      </c>
      <c r="E3104">
        <v>49</v>
      </c>
      <c r="F3104">
        <v>2131</v>
      </c>
      <c r="G3104" t="s">
        <v>241</v>
      </c>
      <c r="H3104">
        <v>6</v>
      </c>
      <c r="I3104" t="s">
        <v>25</v>
      </c>
      <c r="J3104">
        <v>4</v>
      </c>
      <c r="K3104" t="s">
        <v>25</v>
      </c>
      <c r="L3104">
        <v>5</v>
      </c>
      <c r="M3104" t="s">
        <v>65</v>
      </c>
      <c r="N3104">
        <v>2</v>
      </c>
    </row>
    <row r="3105" spans="1:14" x14ac:dyDescent="0.2">
      <c r="A3105" s="3">
        <f t="shared" si="50"/>
        <v>5608383</v>
      </c>
      <c r="B3105" t="str">
        <f>"56083830027"</f>
        <v>56083830027</v>
      </c>
      <c r="C3105" t="s">
        <v>3533</v>
      </c>
      <c r="D3105" t="s">
        <v>42</v>
      </c>
      <c r="E3105">
        <v>44</v>
      </c>
      <c r="F3105">
        <v>3849</v>
      </c>
      <c r="G3105" t="s">
        <v>825</v>
      </c>
      <c r="H3105">
        <v>120</v>
      </c>
      <c r="I3105" t="s">
        <v>34</v>
      </c>
      <c r="J3105">
        <v>88</v>
      </c>
      <c r="K3105" t="s">
        <v>34</v>
      </c>
      <c r="L3105">
        <v>8</v>
      </c>
      <c r="M3105">
        <v>65267</v>
      </c>
      <c r="N3105">
        <v>32</v>
      </c>
    </row>
    <row r="3106" spans="1:14" x14ac:dyDescent="0.2">
      <c r="A3106" s="3">
        <f t="shared" si="50"/>
        <v>5608384</v>
      </c>
      <c r="B3106" t="str">
        <f>"56083840012"</f>
        <v>56083840012</v>
      </c>
      <c r="C3106" t="s">
        <v>3534</v>
      </c>
      <c r="D3106" t="s">
        <v>52</v>
      </c>
      <c r="E3106">
        <v>41</v>
      </c>
      <c r="F3106">
        <v>2131</v>
      </c>
      <c r="G3106" t="s">
        <v>241</v>
      </c>
      <c r="H3106">
        <v>90</v>
      </c>
      <c r="I3106" t="s">
        <v>34</v>
      </c>
      <c r="J3106">
        <v>69</v>
      </c>
      <c r="K3106" t="s">
        <v>34</v>
      </c>
      <c r="L3106">
        <v>5</v>
      </c>
      <c r="M3106" t="s">
        <v>65</v>
      </c>
      <c r="N3106">
        <v>21</v>
      </c>
    </row>
    <row r="3107" spans="1:14" x14ac:dyDescent="0.2">
      <c r="A3107" s="3">
        <f t="shared" si="50"/>
        <v>5608387</v>
      </c>
      <c r="B3107" t="str">
        <f>"56083870012"</f>
        <v>56083870012</v>
      </c>
      <c r="C3107" t="s">
        <v>3535</v>
      </c>
      <c r="D3107" t="s">
        <v>52</v>
      </c>
      <c r="E3107">
        <v>46</v>
      </c>
      <c r="F3107">
        <v>2131</v>
      </c>
      <c r="G3107" t="s">
        <v>241</v>
      </c>
      <c r="H3107">
        <v>11</v>
      </c>
      <c r="I3107" t="s">
        <v>25</v>
      </c>
      <c r="J3107">
        <v>8</v>
      </c>
      <c r="K3107" t="s">
        <v>25</v>
      </c>
      <c r="L3107">
        <v>5</v>
      </c>
      <c r="M3107" t="s">
        <v>65</v>
      </c>
      <c r="N3107">
        <v>3</v>
      </c>
    </row>
    <row r="3108" spans="1:14" x14ac:dyDescent="0.2">
      <c r="A3108" s="3">
        <f t="shared" si="50"/>
        <v>5608392</v>
      </c>
      <c r="B3108" t="str">
        <f>"56083920007"</f>
        <v>56083920007</v>
      </c>
      <c r="C3108" t="s">
        <v>3536</v>
      </c>
      <c r="D3108" t="s">
        <v>101</v>
      </c>
      <c r="E3108">
        <v>41</v>
      </c>
      <c r="F3108">
        <v>4266</v>
      </c>
      <c r="G3108" t="s">
        <v>394</v>
      </c>
      <c r="H3108">
        <v>70</v>
      </c>
      <c r="I3108" t="s">
        <v>34</v>
      </c>
      <c r="J3108">
        <v>56</v>
      </c>
      <c r="K3108" t="s">
        <v>34</v>
      </c>
      <c r="L3108">
        <v>8</v>
      </c>
      <c r="M3108">
        <v>69210</v>
      </c>
      <c r="N3108">
        <v>14</v>
      </c>
    </row>
    <row r="3109" spans="1:14" x14ac:dyDescent="0.2">
      <c r="A3109" s="3">
        <f t="shared" si="50"/>
        <v>5608401</v>
      </c>
      <c r="B3109" t="str">
        <f>"56084010024"</f>
        <v>56084010024</v>
      </c>
      <c r="C3109" t="s">
        <v>3537</v>
      </c>
      <c r="D3109" t="s">
        <v>36</v>
      </c>
      <c r="E3109">
        <v>71</v>
      </c>
      <c r="F3109">
        <v>844</v>
      </c>
      <c r="G3109" t="s">
        <v>639</v>
      </c>
      <c r="H3109">
        <v>10</v>
      </c>
      <c r="I3109" t="s">
        <v>25</v>
      </c>
      <c r="J3109">
        <v>7</v>
      </c>
      <c r="K3109" t="s">
        <v>25</v>
      </c>
      <c r="L3109">
        <v>8</v>
      </c>
      <c r="M3109">
        <v>72023</v>
      </c>
      <c r="N3109">
        <v>3</v>
      </c>
    </row>
    <row r="3110" spans="1:14" x14ac:dyDescent="0.2">
      <c r="A3110" s="3">
        <f t="shared" si="50"/>
        <v>5608444</v>
      </c>
      <c r="B3110" t="str">
        <f>"56084440006"</f>
        <v>56084440006</v>
      </c>
      <c r="C3110" t="s">
        <v>3538</v>
      </c>
      <c r="D3110" t="s">
        <v>52</v>
      </c>
      <c r="E3110">
        <v>83</v>
      </c>
      <c r="F3110">
        <v>4678</v>
      </c>
      <c r="G3110" t="s">
        <v>55</v>
      </c>
      <c r="H3110" t="s">
        <v>44</v>
      </c>
      <c r="I3110" t="s">
        <v>45</v>
      </c>
      <c r="J3110" t="s">
        <v>44</v>
      </c>
      <c r="K3110" t="s">
        <v>45</v>
      </c>
      <c r="L3110">
        <v>6</v>
      </c>
      <c r="M3110">
        <v>52644</v>
      </c>
      <c r="N3110" t="s">
        <v>46</v>
      </c>
    </row>
    <row r="3111" spans="1:14" x14ac:dyDescent="0.2">
      <c r="A3111" s="3">
        <f t="shared" si="50"/>
        <v>5608445</v>
      </c>
      <c r="B3111" t="str">
        <f>"56084450018"</f>
        <v>56084450018</v>
      </c>
      <c r="C3111" t="s">
        <v>3539</v>
      </c>
      <c r="D3111" t="s">
        <v>52</v>
      </c>
      <c r="E3111">
        <v>70</v>
      </c>
      <c r="F3111">
        <v>4652</v>
      </c>
      <c r="G3111" t="s">
        <v>613</v>
      </c>
      <c r="H3111">
        <v>105</v>
      </c>
      <c r="I3111" t="s">
        <v>34</v>
      </c>
      <c r="J3111">
        <v>78</v>
      </c>
      <c r="K3111" t="s">
        <v>34</v>
      </c>
      <c r="L3111">
        <v>6</v>
      </c>
      <c r="M3111">
        <v>52642</v>
      </c>
      <c r="N3111">
        <v>27</v>
      </c>
    </row>
    <row r="3112" spans="1:14" x14ac:dyDescent="0.2">
      <c r="A3112" s="3">
        <f t="shared" si="50"/>
        <v>5608446</v>
      </c>
      <c r="B3112" t="str">
        <f>"56084460001"</f>
        <v>56084460001</v>
      </c>
      <c r="C3112" t="s">
        <v>3540</v>
      </c>
      <c r="D3112" t="s">
        <v>52</v>
      </c>
      <c r="E3112">
        <v>83</v>
      </c>
      <c r="F3112">
        <v>3847</v>
      </c>
      <c r="G3112" t="s">
        <v>378</v>
      </c>
      <c r="H3112" t="s">
        <v>44</v>
      </c>
      <c r="I3112" t="s">
        <v>45</v>
      </c>
      <c r="J3112" t="s">
        <v>44</v>
      </c>
      <c r="K3112" t="s">
        <v>45</v>
      </c>
      <c r="L3112">
        <v>6</v>
      </c>
      <c r="M3112">
        <v>52648</v>
      </c>
      <c r="N3112" t="s">
        <v>46</v>
      </c>
    </row>
    <row r="3113" spans="1:14" x14ac:dyDescent="0.2">
      <c r="A3113" s="3">
        <f t="shared" si="50"/>
        <v>5608447</v>
      </c>
      <c r="B3113" t="str">
        <f>"56084470108"</f>
        <v>56084470108</v>
      </c>
      <c r="C3113" t="s">
        <v>3541</v>
      </c>
      <c r="D3113" t="s">
        <v>52</v>
      </c>
      <c r="E3113">
        <v>70</v>
      </c>
      <c r="F3113">
        <v>3112</v>
      </c>
      <c r="G3113" t="s">
        <v>245</v>
      </c>
      <c r="H3113">
        <v>120</v>
      </c>
      <c r="I3113" t="s">
        <v>34</v>
      </c>
      <c r="J3113">
        <v>88</v>
      </c>
      <c r="K3113" t="s">
        <v>34</v>
      </c>
      <c r="L3113">
        <v>6</v>
      </c>
      <c r="M3113">
        <v>52639</v>
      </c>
      <c r="N3113">
        <v>32</v>
      </c>
    </row>
    <row r="3114" spans="1:14" x14ac:dyDescent="0.2">
      <c r="A3114" s="3">
        <f t="shared" si="50"/>
        <v>5608448</v>
      </c>
      <c r="B3114" t="str">
        <f>"56084480012"</f>
        <v>56084480012</v>
      </c>
      <c r="C3114" t="s">
        <v>3542</v>
      </c>
      <c r="D3114" t="s">
        <v>52</v>
      </c>
      <c r="E3114">
        <v>83</v>
      </c>
      <c r="F3114">
        <v>4838</v>
      </c>
      <c r="G3114" t="s">
        <v>536</v>
      </c>
      <c r="H3114" t="s">
        <v>44</v>
      </c>
      <c r="I3114" t="s">
        <v>45</v>
      </c>
      <c r="J3114" t="s">
        <v>44</v>
      </c>
      <c r="K3114" t="s">
        <v>45</v>
      </c>
      <c r="L3114">
        <v>6</v>
      </c>
      <c r="M3114">
        <v>52651</v>
      </c>
      <c r="N3114" t="s">
        <v>46</v>
      </c>
    </row>
    <row r="3115" spans="1:14" x14ac:dyDescent="0.2">
      <c r="A3115" s="3">
        <f t="shared" si="50"/>
        <v>5608451</v>
      </c>
      <c r="B3115" t="str">
        <f>"56084510001"</f>
        <v>56084510001</v>
      </c>
      <c r="C3115" t="s">
        <v>3543</v>
      </c>
      <c r="D3115" t="s">
        <v>52</v>
      </c>
      <c r="E3115">
        <v>83</v>
      </c>
      <c r="F3115">
        <v>3847</v>
      </c>
      <c r="G3115" t="s">
        <v>378</v>
      </c>
      <c r="H3115" t="s">
        <v>44</v>
      </c>
      <c r="I3115" t="s">
        <v>45</v>
      </c>
      <c r="J3115" t="s">
        <v>44</v>
      </c>
      <c r="K3115" t="s">
        <v>45</v>
      </c>
      <c r="L3115">
        <v>6</v>
      </c>
      <c r="M3115">
        <v>52649</v>
      </c>
      <c r="N3115" t="s">
        <v>46</v>
      </c>
    </row>
    <row r="3116" spans="1:14" x14ac:dyDescent="0.2">
      <c r="A3116" s="3">
        <f t="shared" si="50"/>
        <v>5608500</v>
      </c>
      <c r="B3116" t="str">
        <f>"56085000006"</f>
        <v>56085000006</v>
      </c>
      <c r="C3116" t="s">
        <v>3544</v>
      </c>
      <c r="D3116" t="s">
        <v>52</v>
      </c>
      <c r="E3116">
        <v>31</v>
      </c>
      <c r="F3116">
        <v>465</v>
      </c>
      <c r="G3116" t="s">
        <v>703</v>
      </c>
      <c r="H3116">
        <v>18</v>
      </c>
      <c r="I3116" t="s">
        <v>34</v>
      </c>
      <c r="J3116">
        <v>13</v>
      </c>
      <c r="K3116" t="s">
        <v>34</v>
      </c>
      <c r="L3116">
        <v>6</v>
      </c>
      <c r="M3116">
        <v>1533</v>
      </c>
      <c r="N3116">
        <v>5</v>
      </c>
    </row>
    <row r="3117" spans="1:14" x14ac:dyDescent="0.2">
      <c r="A3117" s="3">
        <f t="shared" si="50"/>
        <v>5608501</v>
      </c>
      <c r="B3117" t="str">
        <f>"56085010005"</f>
        <v>56085010005</v>
      </c>
      <c r="C3117" t="s">
        <v>3545</v>
      </c>
      <c r="D3117" t="s">
        <v>52</v>
      </c>
      <c r="E3117">
        <v>71</v>
      </c>
      <c r="F3117">
        <v>2163</v>
      </c>
      <c r="G3117" t="s">
        <v>3546</v>
      </c>
      <c r="H3117">
        <v>7</v>
      </c>
      <c r="I3117" t="s">
        <v>25</v>
      </c>
      <c r="J3117">
        <v>5</v>
      </c>
      <c r="K3117" t="s">
        <v>25</v>
      </c>
      <c r="L3117">
        <v>6</v>
      </c>
      <c r="M3117">
        <v>1639</v>
      </c>
      <c r="N3117">
        <v>2</v>
      </c>
    </row>
    <row r="3118" spans="1:14" x14ac:dyDescent="0.2">
      <c r="A3118" s="3">
        <f t="shared" si="50"/>
        <v>5608502</v>
      </c>
      <c r="B3118" t="str">
        <f>"56085020005"</f>
        <v>56085020005</v>
      </c>
      <c r="C3118" t="s">
        <v>3547</v>
      </c>
      <c r="D3118" t="s">
        <v>52</v>
      </c>
      <c r="E3118">
        <v>71</v>
      </c>
      <c r="F3118">
        <v>2163</v>
      </c>
      <c r="G3118" t="s">
        <v>3546</v>
      </c>
      <c r="H3118">
        <v>7</v>
      </c>
      <c r="I3118" t="s">
        <v>25</v>
      </c>
      <c r="J3118">
        <v>5</v>
      </c>
      <c r="K3118" t="s">
        <v>25</v>
      </c>
      <c r="L3118">
        <v>6</v>
      </c>
      <c r="M3118">
        <v>1640</v>
      </c>
      <c r="N3118">
        <v>2</v>
      </c>
    </row>
    <row r="3119" spans="1:14" x14ac:dyDescent="0.2">
      <c r="A3119" s="3">
        <f t="shared" si="50"/>
        <v>5608503</v>
      </c>
      <c r="B3119" t="str">
        <f>"56085030005"</f>
        <v>56085030005</v>
      </c>
      <c r="C3119" t="s">
        <v>3548</v>
      </c>
      <c r="D3119" t="s">
        <v>52</v>
      </c>
      <c r="E3119">
        <v>71</v>
      </c>
      <c r="F3119">
        <v>2163</v>
      </c>
      <c r="G3119" t="s">
        <v>3546</v>
      </c>
      <c r="H3119">
        <v>7</v>
      </c>
      <c r="I3119" t="s">
        <v>25</v>
      </c>
      <c r="J3119">
        <v>5</v>
      </c>
      <c r="K3119" t="s">
        <v>25</v>
      </c>
      <c r="L3119">
        <v>6</v>
      </c>
      <c r="M3119">
        <v>1641</v>
      </c>
      <c r="N3119">
        <v>2</v>
      </c>
    </row>
    <row r="3120" spans="1:14" x14ac:dyDescent="0.2">
      <c r="A3120" s="3">
        <f t="shared" si="50"/>
        <v>5608505</v>
      </c>
      <c r="B3120" t="str">
        <f>"56085050120"</f>
        <v>56085050120</v>
      </c>
      <c r="C3120" t="s">
        <v>3549</v>
      </c>
      <c r="D3120" t="s">
        <v>52</v>
      </c>
      <c r="E3120">
        <v>44</v>
      </c>
      <c r="F3120">
        <v>3849</v>
      </c>
      <c r="G3120" t="s">
        <v>825</v>
      </c>
      <c r="H3120">
        <v>120</v>
      </c>
      <c r="I3120" t="s">
        <v>34</v>
      </c>
      <c r="J3120">
        <v>88</v>
      </c>
      <c r="K3120" t="s">
        <v>34</v>
      </c>
      <c r="L3120">
        <v>6</v>
      </c>
      <c r="M3120">
        <v>1630</v>
      </c>
      <c r="N3120">
        <v>32</v>
      </c>
    </row>
    <row r="3121" spans="1:14" x14ac:dyDescent="0.2">
      <c r="A3121" s="3">
        <f t="shared" si="50"/>
        <v>5608510</v>
      </c>
      <c r="B3121" t="str">
        <f>"56085100105"</f>
        <v>56085100105</v>
      </c>
      <c r="C3121" t="s">
        <v>3550</v>
      </c>
      <c r="D3121" t="s">
        <v>52</v>
      </c>
      <c r="E3121">
        <v>46</v>
      </c>
      <c r="F3121">
        <v>2074</v>
      </c>
      <c r="G3121" t="s">
        <v>661</v>
      </c>
      <c r="H3121">
        <v>6</v>
      </c>
      <c r="I3121" t="s">
        <v>25</v>
      </c>
      <c r="J3121">
        <v>4</v>
      </c>
      <c r="K3121" t="s">
        <v>25</v>
      </c>
      <c r="L3121">
        <v>6</v>
      </c>
      <c r="M3121">
        <v>1634</v>
      </c>
      <c r="N3121">
        <v>2</v>
      </c>
    </row>
    <row r="3122" spans="1:14" x14ac:dyDescent="0.2">
      <c r="A3122" s="3">
        <f t="shared" si="50"/>
        <v>5608532</v>
      </c>
      <c r="B3122" t="str">
        <f>"56085320018"</f>
        <v>56085320018</v>
      </c>
      <c r="C3122" t="s">
        <v>3551</v>
      </c>
      <c r="D3122" t="s">
        <v>52</v>
      </c>
      <c r="E3122">
        <v>82</v>
      </c>
      <c r="F3122">
        <v>4287</v>
      </c>
      <c r="G3122" t="s">
        <v>445</v>
      </c>
      <c r="H3122" t="s">
        <v>44</v>
      </c>
      <c r="I3122" t="s">
        <v>45</v>
      </c>
      <c r="J3122" t="s">
        <v>44</v>
      </c>
      <c r="K3122" t="s">
        <v>45</v>
      </c>
      <c r="L3122">
        <v>5</v>
      </c>
      <c r="M3122" t="s">
        <v>65</v>
      </c>
      <c r="N3122" t="s">
        <v>46</v>
      </c>
    </row>
    <row r="3123" spans="1:14" x14ac:dyDescent="0.2">
      <c r="A3123" s="3">
        <f t="shared" si="50"/>
        <v>5608538</v>
      </c>
      <c r="B3123" t="str">
        <f>"56085380018"</f>
        <v>56085380018</v>
      </c>
      <c r="C3123" t="s">
        <v>3552</v>
      </c>
      <c r="D3123" t="s">
        <v>52</v>
      </c>
      <c r="E3123">
        <v>82</v>
      </c>
      <c r="F3123">
        <v>4287</v>
      </c>
      <c r="G3123" t="s">
        <v>445</v>
      </c>
      <c r="H3123" t="s">
        <v>44</v>
      </c>
      <c r="I3123" t="s">
        <v>45</v>
      </c>
      <c r="J3123" t="s">
        <v>44</v>
      </c>
      <c r="K3123" t="s">
        <v>45</v>
      </c>
      <c r="L3123">
        <v>5</v>
      </c>
      <c r="M3123" t="s">
        <v>65</v>
      </c>
      <c r="N3123" t="s">
        <v>46</v>
      </c>
    </row>
    <row r="3124" spans="1:14" x14ac:dyDescent="0.2">
      <c r="A3124" s="3">
        <f t="shared" si="50"/>
        <v>5608541</v>
      </c>
      <c r="B3124" t="str">
        <f>"56085410001"</f>
        <v>56085410001</v>
      </c>
      <c r="C3124" t="s">
        <v>3553</v>
      </c>
      <c r="D3124" t="s">
        <v>52</v>
      </c>
      <c r="E3124">
        <v>91</v>
      </c>
      <c r="F3124">
        <v>3781</v>
      </c>
      <c r="G3124" t="s">
        <v>341</v>
      </c>
      <c r="H3124">
        <v>6</v>
      </c>
      <c r="I3124" t="s">
        <v>34</v>
      </c>
      <c r="J3124">
        <v>4</v>
      </c>
      <c r="K3124" t="s">
        <v>34</v>
      </c>
      <c r="L3124">
        <v>5</v>
      </c>
      <c r="M3124" t="s">
        <v>65</v>
      </c>
      <c r="N3124">
        <v>2</v>
      </c>
    </row>
    <row r="3125" spans="1:14" x14ac:dyDescent="0.2">
      <c r="A3125" s="3">
        <f t="shared" si="50"/>
        <v>5608542</v>
      </c>
      <c r="B3125" t="str">
        <f>"56085420018"</f>
        <v>56085420018</v>
      </c>
      <c r="C3125" t="s">
        <v>3554</v>
      </c>
      <c r="D3125" t="s">
        <v>52</v>
      </c>
      <c r="E3125">
        <v>82</v>
      </c>
      <c r="F3125">
        <v>4287</v>
      </c>
      <c r="G3125" t="s">
        <v>445</v>
      </c>
      <c r="H3125" t="s">
        <v>44</v>
      </c>
      <c r="I3125" t="s">
        <v>45</v>
      </c>
      <c r="J3125" t="s">
        <v>44</v>
      </c>
      <c r="K3125" t="s">
        <v>45</v>
      </c>
      <c r="L3125">
        <v>5</v>
      </c>
      <c r="M3125" t="s">
        <v>65</v>
      </c>
      <c r="N3125" t="s">
        <v>46</v>
      </c>
    </row>
    <row r="3126" spans="1:14" x14ac:dyDescent="0.2">
      <c r="A3126" s="3">
        <f t="shared" si="50"/>
        <v>5608543</v>
      </c>
      <c r="B3126" t="str">
        <f>"56085430018"</f>
        <v>56085430018</v>
      </c>
      <c r="C3126" t="s">
        <v>3555</v>
      </c>
      <c r="D3126" t="s">
        <v>52</v>
      </c>
      <c r="E3126">
        <v>82</v>
      </c>
      <c r="F3126">
        <v>4287</v>
      </c>
      <c r="G3126" t="s">
        <v>445</v>
      </c>
      <c r="H3126" t="s">
        <v>44</v>
      </c>
      <c r="I3126" t="s">
        <v>45</v>
      </c>
      <c r="J3126" t="s">
        <v>44</v>
      </c>
      <c r="K3126" t="s">
        <v>45</v>
      </c>
      <c r="L3126">
        <v>5</v>
      </c>
      <c r="M3126" t="s">
        <v>65</v>
      </c>
      <c r="N3126" t="s">
        <v>46</v>
      </c>
    </row>
    <row r="3127" spans="1:14" x14ac:dyDescent="0.2">
      <c r="A3127" s="3">
        <f t="shared" si="50"/>
        <v>5608546</v>
      </c>
      <c r="B3127" t="str">
        <f>"56085460001"</f>
        <v>56085460001</v>
      </c>
      <c r="C3127" t="s">
        <v>3556</v>
      </c>
      <c r="D3127" t="s">
        <v>42</v>
      </c>
      <c r="E3127">
        <v>83</v>
      </c>
      <c r="F3127">
        <v>3847</v>
      </c>
      <c r="G3127" t="s">
        <v>378</v>
      </c>
      <c r="H3127" t="s">
        <v>44</v>
      </c>
      <c r="I3127" t="s">
        <v>45</v>
      </c>
      <c r="J3127" t="s">
        <v>44</v>
      </c>
      <c r="K3127" t="s">
        <v>45</v>
      </c>
      <c r="L3127">
        <v>6</v>
      </c>
      <c r="M3127">
        <v>2669</v>
      </c>
      <c r="N3127" t="s">
        <v>46</v>
      </c>
    </row>
    <row r="3128" spans="1:14" x14ac:dyDescent="0.2">
      <c r="A3128" s="3">
        <f t="shared" si="50"/>
        <v>5608547</v>
      </c>
      <c r="B3128" t="str">
        <f>"56085470092"</f>
        <v>56085470092</v>
      </c>
      <c r="C3128" t="s">
        <v>3557</v>
      </c>
      <c r="D3128" t="s">
        <v>52</v>
      </c>
      <c r="E3128">
        <v>70</v>
      </c>
      <c r="F3128">
        <v>3112</v>
      </c>
      <c r="G3128" t="s">
        <v>245</v>
      </c>
      <c r="H3128">
        <v>120</v>
      </c>
      <c r="I3128" t="s">
        <v>34</v>
      </c>
      <c r="J3128">
        <v>88</v>
      </c>
      <c r="K3128" t="s">
        <v>34</v>
      </c>
      <c r="L3128">
        <v>6</v>
      </c>
      <c r="M3128">
        <v>2667</v>
      </c>
      <c r="N3128">
        <v>32</v>
      </c>
    </row>
    <row r="3129" spans="1:14" x14ac:dyDescent="0.2">
      <c r="A3129" s="3">
        <f t="shared" si="50"/>
        <v>5608559</v>
      </c>
      <c r="B3129" t="str">
        <f>"56085590080"</f>
        <v>56085590080</v>
      </c>
      <c r="C3129" t="s">
        <v>3558</v>
      </c>
      <c r="D3129" t="s">
        <v>52</v>
      </c>
      <c r="E3129">
        <v>83</v>
      </c>
      <c r="F3129">
        <v>2131</v>
      </c>
      <c r="G3129" t="s">
        <v>241</v>
      </c>
      <c r="H3129" t="s">
        <v>44</v>
      </c>
      <c r="I3129" t="s">
        <v>45</v>
      </c>
      <c r="J3129" t="s">
        <v>44</v>
      </c>
      <c r="K3129" t="s">
        <v>45</v>
      </c>
      <c r="L3129">
        <v>5</v>
      </c>
      <c r="M3129" t="s">
        <v>65</v>
      </c>
      <c r="N3129" t="s">
        <v>46</v>
      </c>
    </row>
    <row r="3130" spans="1:14" x14ac:dyDescent="0.2">
      <c r="A3130" s="3">
        <f t="shared" si="50"/>
        <v>5608562</v>
      </c>
      <c r="B3130" t="str">
        <f>"56085620001"</f>
        <v>56085620001</v>
      </c>
      <c r="C3130" t="s">
        <v>3559</v>
      </c>
      <c r="D3130" t="s">
        <v>52</v>
      </c>
      <c r="E3130">
        <v>84</v>
      </c>
      <c r="F3130">
        <v>333</v>
      </c>
      <c r="G3130" t="s">
        <v>3560</v>
      </c>
      <c r="H3130" t="s">
        <v>44</v>
      </c>
      <c r="I3130" t="s">
        <v>45</v>
      </c>
      <c r="J3130" t="s">
        <v>44</v>
      </c>
      <c r="K3130" t="s">
        <v>45</v>
      </c>
      <c r="L3130">
        <v>5</v>
      </c>
      <c r="M3130" t="s">
        <v>65</v>
      </c>
      <c r="N3130" t="s">
        <v>46</v>
      </c>
    </row>
    <row r="3131" spans="1:14" x14ac:dyDescent="0.2">
      <c r="A3131" s="3">
        <f t="shared" si="50"/>
        <v>5608564</v>
      </c>
      <c r="B3131" t="str">
        <f>"56085640001"</f>
        <v>56085640001</v>
      </c>
      <c r="C3131" t="s">
        <v>3561</v>
      </c>
      <c r="D3131" t="s">
        <v>52</v>
      </c>
      <c r="E3131">
        <v>82</v>
      </c>
      <c r="F3131">
        <v>333</v>
      </c>
      <c r="G3131" t="s">
        <v>3560</v>
      </c>
      <c r="H3131" t="s">
        <v>44</v>
      </c>
      <c r="I3131" t="s">
        <v>45</v>
      </c>
      <c r="J3131" t="s">
        <v>44</v>
      </c>
      <c r="K3131" t="s">
        <v>45</v>
      </c>
      <c r="L3131">
        <v>5</v>
      </c>
      <c r="M3131" t="s">
        <v>65</v>
      </c>
      <c r="N3131" t="s">
        <v>46</v>
      </c>
    </row>
    <row r="3132" spans="1:14" x14ac:dyDescent="0.2">
      <c r="A3132" s="3">
        <f t="shared" si="50"/>
        <v>5608565</v>
      </c>
      <c r="B3132" t="str">
        <f>"56085650001"</f>
        <v>56085650001</v>
      </c>
      <c r="C3132" t="s">
        <v>3562</v>
      </c>
      <c r="D3132" t="s">
        <v>52</v>
      </c>
      <c r="E3132">
        <v>82</v>
      </c>
      <c r="F3132">
        <v>333</v>
      </c>
      <c r="G3132" t="s">
        <v>3560</v>
      </c>
      <c r="H3132" t="s">
        <v>44</v>
      </c>
      <c r="I3132" t="s">
        <v>45</v>
      </c>
      <c r="J3132" t="s">
        <v>44</v>
      </c>
      <c r="K3132" t="s">
        <v>45</v>
      </c>
      <c r="L3132">
        <v>5</v>
      </c>
      <c r="M3132" t="s">
        <v>65</v>
      </c>
      <c r="N3132" t="s">
        <v>46</v>
      </c>
    </row>
    <row r="3133" spans="1:14" x14ac:dyDescent="0.2">
      <c r="A3133" s="3">
        <f t="shared" si="50"/>
        <v>5608566</v>
      </c>
      <c r="B3133" t="str">
        <f>"56085660001"</f>
        <v>56085660001</v>
      </c>
      <c r="C3133" t="s">
        <v>3563</v>
      </c>
      <c r="D3133" t="s">
        <v>52</v>
      </c>
      <c r="E3133">
        <v>82</v>
      </c>
      <c r="F3133">
        <v>333</v>
      </c>
      <c r="G3133" t="s">
        <v>3560</v>
      </c>
      <c r="H3133" t="s">
        <v>44</v>
      </c>
      <c r="I3133" t="s">
        <v>45</v>
      </c>
      <c r="J3133" t="s">
        <v>44</v>
      </c>
      <c r="K3133" t="s">
        <v>45</v>
      </c>
      <c r="L3133">
        <v>5</v>
      </c>
      <c r="M3133" t="s">
        <v>65</v>
      </c>
      <c r="N3133" t="s">
        <v>46</v>
      </c>
    </row>
    <row r="3134" spans="1:14" x14ac:dyDescent="0.2">
      <c r="A3134" s="3">
        <f t="shared" si="50"/>
        <v>5700777</v>
      </c>
      <c r="B3134" t="str">
        <f>"57007770027"</f>
        <v>57007770027</v>
      </c>
      <c r="C3134" t="s">
        <v>3564</v>
      </c>
      <c r="D3134" t="s">
        <v>52</v>
      </c>
      <c r="E3134">
        <v>52</v>
      </c>
      <c r="F3134">
        <v>519</v>
      </c>
      <c r="G3134" t="s">
        <v>3565</v>
      </c>
      <c r="H3134">
        <v>36</v>
      </c>
      <c r="I3134" t="s">
        <v>25</v>
      </c>
      <c r="J3134">
        <v>30</v>
      </c>
      <c r="K3134" t="s">
        <v>25</v>
      </c>
      <c r="L3134">
        <v>6</v>
      </c>
      <c r="M3134">
        <v>51605</v>
      </c>
      <c r="N3134">
        <v>6</v>
      </c>
    </row>
    <row r="3135" spans="1:14" x14ac:dyDescent="0.2">
      <c r="A3135" s="3">
        <f t="shared" si="50"/>
        <v>5700855</v>
      </c>
      <c r="B3135" t="str">
        <f>"57008550018"</f>
        <v>57008550018</v>
      </c>
      <c r="C3135" t="s">
        <v>3566</v>
      </c>
      <c r="D3135" t="s">
        <v>52</v>
      </c>
      <c r="E3135">
        <v>51</v>
      </c>
      <c r="F3135">
        <v>519</v>
      </c>
      <c r="G3135" t="s">
        <v>3565</v>
      </c>
      <c r="H3135">
        <v>36</v>
      </c>
      <c r="I3135" t="s">
        <v>25</v>
      </c>
      <c r="J3135">
        <v>30</v>
      </c>
      <c r="K3135" t="s">
        <v>25</v>
      </c>
      <c r="L3135">
        <v>9</v>
      </c>
      <c r="M3135">
        <v>75192</v>
      </c>
      <c r="N3135">
        <v>6</v>
      </c>
    </row>
    <row r="3136" spans="1:14" x14ac:dyDescent="0.2">
      <c r="A3136" s="3">
        <f t="shared" si="50"/>
        <v>5701543</v>
      </c>
      <c r="B3136" t="str">
        <f>"57015430012"</f>
        <v>57015430012</v>
      </c>
      <c r="C3136" t="s">
        <v>3567</v>
      </c>
      <c r="D3136" t="s">
        <v>431</v>
      </c>
      <c r="E3136">
        <v>83</v>
      </c>
      <c r="F3136">
        <v>1622</v>
      </c>
      <c r="G3136" t="s">
        <v>3568</v>
      </c>
      <c r="H3136" t="s">
        <v>44</v>
      </c>
      <c r="I3136" t="s">
        <v>45</v>
      </c>
      <c r="J3136" t="s">
        <v>44</v>
      </c>
      <c r="K3136" t="s">
        <v>45</v>
      </c>
      <c r="L3136">
        <v>8</v>
      </c>
      <c r="M3136">
        <v>72274</v>
      </c>
      <c r="N3136" t="s">
        <v>46</v>
      </c>
    </row>
    <row r="3137" spans="1:14" x14ac:dyDescent="0.2">
      <c r="A3137" s="3">
        <f t="shared" si="50"/>
        <v>5703047</v>
      </c>
      <c r="B3137" t="str">
        <f>"57030470012"</f>
        <v>57030470012</v>
      </c>
      <c r="C3137" t="s">
        <v>3569</v>
      </c>
      <c r="D3137" t="s">
        <v>42</v>
      </c>
      <c r="E3137">
        <v>47</v>
      </c>
      <c r="F3137">
        <v>1623</v>
      </c>
      <c r="G3137" t="s">
        <v>3570</v>
      </c>
      <c r="H3137" t="s">
        <v>44</v>
      </c>
      <c r="I3137" t="s">
        <v>45</v>
      </c>
      <c r="J3137" t="s">
        <v>44</v>
      </c>
      <c r="K3137" t="s">
        <v>45</v>
      </c>
      <c r="L3137">
        <v>8</v>
      </c>
      <c r="M3137">
        <v>66003</v>
      </c>
      <c r="N3137" t="s">
        <v>46</v>
      </c>
    </row>
    <row r="3138" spans="1:14" x14ac:dyDescent="0.2">
      <c r="A3138" s="3">
        <f t="shared" si="50"/>
        <v>5703048</v>
      </c>
      <c r="B3138" t="str">
        <f>"57030480012"</f>
        <v>57030480012</v>
      </c>
      <c r="C3138" t="s">
        <v>3571</v>
      </c>
      <c r="D3138" t="s">
        <v>42</v>
      </c>
      <c r="E3138">
        <v>47</v>
      </c>
      <c r="F3138">
        <v>1623</v>
      </c>
      <c r="G3138" t="s">
        <v>3570</v>
      </c>
      <c r="H3138" t="s">
        <v>44</v>
      </c>
      <c r="I3138" t="s">
        <v>45</v>
      </c>
      <c r="J3138" t="s">
        <v>44</v>
      </c>
      <c r="K3138" t="s">
        <v>45</v>
      </c>
      <c r="L3138">
        <v>8</v>
      </c>
      <c r="M3138">
        <v>66006</v>
      </c>
      <c r="N3138" t="s">
        <v>46</v>
      </c>
    </row>
    <row r="3139" spans="1:14" x14ac:dyDescent="0.2">
      <c r="A3139" s="3">
        <f t="shared" si="50"/>
        <v>5704421</v>
      </c>
      <c r="B3139" t="str">
        <f>"57044210012"</f>
        <v>57044210012</v>
      </c>
      <c r="C3139" t="s">
        <v>3572</v>
      </c>
      <c r="D3139" t="s">
        <v>101</v>
      </c>
      <c r="E3139">
        <v>33</v>
      </c>
      <c r="F3139">
        <v>1497</v>
      </c>
      <c r="G3139" t="s">
        <v>3573</v>
      </c>
      <c r="H3139">
        <v>65</v>
      </c>
      <c r="I3139" t="s">
        <v>34</v>
      </c>
      <c r="J3139">
        <v>52</v>
      </c>
      <c r="K3139" t="s">
        <v>34</v>
      </c>
      <c r="L3139">
        <v>8</v>
      </c>
      <c r="M3139">
        <v>85052</v>
      </c>
      <c r="N3139">
        <v>13</v>
      </c>
    </row>
    <row r="3140" spans="1:14" x14ac:dyDescent="0.2">
      <c r="A3140" s="3">
        <f t="shared" ref="A3140:A3182" si="51">(B3140-RIGHT(B3140,4))/10000</f>
        <v>5704843</v>
      </c>
      <c r="B3140" t="str">
        <f>"57048430010"</f>
        <v>57048430010</v>
      </c>
      <c r="C3140" t="s">
        <v>3574</v>
      </c>
      <c r="D3140" t="s">
        <v>431</v>
      </c>
      <c r="E3140">
        <v>82</v>
      </c>
      <c r="F3140">
        <v>2547</v>
      </c>
      <c r="G3140" t="s">
        <v>3575</v>
      </c>
      <c r="H3140" t="s">
        <v>44</v>
      </c>
      <c r="I3140" t="s">
        <v>45</v>
      </c>
      <c r="J3140" t="s">
        <v>44</v>
      </c>
      <c r="K3140" t="s">
        <v>45</v>
      </c>
      <c r="L3140">
        <v>8</v>
      </c>
      <c r="M3140">
        <v>70119</v>
      </c>
      <c r="N3140" t="s">
        <v>46</v>
      </c>
    </row>
    <row r="3141" spans="1:14" x14ac:dyDescent="0.2">
      <c r="A3141" s="3">
        <f t="shared" si="51"/>
        <v>5704984</v>
      </c>
      <c r="B3141" t="str">
        <f>"57049840001"</f>
        <v>57049840001</v>
      </c>
      <c r="C3141" t="s">
        <v>3576</v>
      </c>
      <c r="D3141" t="s">
        <v>52</v>
      </c>
      <c r="E3141">
        <v>82</v>
      </c>
      <c r="F3141">
        <v>1396</v>
      </c>
      <c r="G3141" t="s">
        <v>3577</v>
      </c>
      <c r="H3141" t="s">
        <v>44</v>
      </c>
      <c r="I3141" t="s">
        <v>45</v>
      </c>
      <c r="J3141" t="s">
        <v>44</v>
      </c>
      <c r="K3141" t="s">
        <v>45</v>
      </c>
      <c r="L3141">
        <v>5</v>
      </c>
      <c r="M3141" t="s">
        <v>65</v>
      </c>
      <c r="N3141" t="s">
        <v>46</v>
      </c>
    </row>
    <row r="3142" spans="1:14" x14ac:dyDescent="0.2">
      <c r="A3142" s="3">
        <f t="shared" si="51"/>
        <v>5706941</v>
      </c>
      <c r="B3142" t="str">
        <f>"57069410060"</f>
        <v>57069410060</v>
      </c>
      <c r="C3142" t="s">
        <v>3578</v>
      </c>
      <c r="D3142" t="s">
        <v>320</v>
      </c>
      <c r="E3142">
        <v>74</v>
      </c>
      <c r="F3142">
        <v>8086</v>
      </c>
      <c r="G3142" t="s">
        <v>290</v>
      </c>
      <c r="H3142">
        <v>9</v>
      </c>
      <c r="I3142" t="s">
        <v>25</v>
      </c>
      <c r="J3142">
        <v>7</v>
      </c>
      <c r="K3142" t="s">
        <v>25</v>
      </c>
      <c r="L3142">
        <v>8</v>
      </c>
      <c r="M3142">
        <v>86053</v>
      </c>
      <c r="N3142">
        <v>1</v>
      </c>
    </row>
    <row r="3143" spans="1:14" x14ac:dyDescent="0.2">
      <c r="A3143" s="3">
        <f t="shared" si="51"/>
        <v>5706941</v>
      </c>
      <c r="B3143" t="str">
        <f>"57069410060"</f>
        <v>57069410060</v>
      </c>
      <c r="C3143" t="s">
        <v>3578</v>
      </c>
      <c r="D3143" t="s">
        <v>320</v>
      </c>
      <c r="E3143">
        <v>74</v>
      </c>
      <c r="F3143">
        <v>2440</v>
      </c>
      <c r="G3143" t="s">
        <v>3579</v>
      </c>
      <c r="H3143">
        <v>9</v>
      </c>
      <c r="I3143" t="s">
        <v>25</v>
      </c>
      <c r="J3143">
        <v>7</v>
      </c>
      <c r="K3143" t="s">
        <v>25</v>
      </c>
      <c r="L3143">
        <v>8</v>
      </c>
      <c r="M3143">
        <v>86053</v>
      </c>
      <c r="N3143">
        <v>1</v>
      </c>
    </row>
    <row r="3144" spans="1:14" x14ac:dyDescent="0.2">
      <c r="A3144" s="3">
        <f t="shared" si="51"/>
        <v>6000118</v>
      </c>
      <c r="B3144" t="str">
        <f>"60001180018"</f>
        <v>60001180018</v>
      </c>
      <c r="C3144" t="s">
        <v>3580</v>
      </c>
      <c r="D3144" t="s">
        <v>418</v>
      </c>
      <c r="E3144">
        <v>52</v>
      </c>
      <c r="F3144">
        <v>1332</v>
      </c>
      <c r="G3144" t="s">
        <v>3581</v>
      </c>
      <c r="H3144">
        <v>95</v>
      </c>
      <c r="I3144" t="s">
        <v>34</v>
      </c>
      <c r="J3144">
        <v>72</v>
      </c>
      <c r="K3144" t="s">
        <v>34</v>
      </c>
      <c r="L3144">
        <v>8</v>
      </c>
      <c r="M3144">
        <v>72113</v>
      </c>
      <c r="N3144">
        <v>23</v>
      </c>
    </row>
    <row r="3145" spans="1:14" x14ac:dyDescent="0.2">
      <c r="A3145" s="3">
        <f t="shared" si="51"/>
        <v>6000120</v>
      </c>
      <c r="B3145" t="str">
        <f>"60001200021"</f>
        <v>60001200021</v>
      </c>
      <c r="C3145" t="s">
        <v>3582</v>
      </c>
      <c r="D3145" t="s">
        <v>418</v>
      </c>
      <c r="E3145">
        <v>47</v>
      </c>
      <c r="F3145">
        <v>896</v>
      </c>
      <c r="G3145" t="s">
        <v>3583</v>
      </c>
      <c r="H3145">
        <v>12</v>
      </c>
      <c r="I3145" t="s">
        <v>25</v>
      </c>
      <c r="J3145">
        <v>9</v>
      </c>
      <c r="K3145" t="s">
        <v>25</v>
      </c>
      <c r="L3145">
        <v>8</v>
      </c>
      <c r="M3145">
        <v>72115</v>
      </c>
      <c r="N3145">
        <v>3</v>
      </c>
    </row>
    <row r="3146" spans="1:14" x14ac:dyDescent="0.2">
      <c r="A3146" s="3">
        <f t="shared" si="51"/>
        <v>6000244</v>
      </c>
      <c r="B3146" t="str">
        <f>"60002440006"</f>
        <v>60002440006</v>
      </c>
      <c r="C3146" t="s">
        <v>3584</v>
      </c>
      <c r="D3146" t="s">
        <v>70</v>
      </c>
      <c r="E3146">
        <v>33</v>
      </c>
      <c r="F3146">
        <v>825</v>
      </c>
      <c r="G3146" t="s">
        <v>3585</v>
      </c>
      <c r="H3146">
        <v>45</v>
      </c>
      <c r="I3146" t="s">
        <v>34</v>
      </c>
      <c r="J3146">
        <v>34</v>
      </c>
      <c r="K3146" t="s">
        <v>34</v>
      </c>
      <c r="L3146">
        <v>9</v>
      </c>
      <c r="M3146">
        <v>85175</v>
      </c>
      <c r="N3146">
        <v>11</v>
      </c>
    </row>
    <row r="3147" spans="1:14" x14ac:dyDescent="0.2">
      <c r="A3147" s="3">
        <f t="shared" si="51"/>
        <v>6000293</v>
      </c>
      <c r="B3147" t="str">
        <f>"60002930060"</f>
        <v>60002930060</v>
      </c>
      <c r="C3147" t="s">
        <v>3586</v>
      </c>
      <c r="D3147" t="s">
        <v>289</v>
      </c>
      <c r="E3147">
        <v>74</v>
      </c>
      <c r="F3147">
        <v>8086</v>
      </c>
      <c r="G3147" t="s">
        <v>290</v>
      </c>
      <c r="H3147">
        <v>6</v>
      </c>
      <c r="I3147" t="s">
        <v>25</v>
      </c>
      <c r="J3147">
        <v>4</v>
      </c>
      <c r="K3147" t="s">
        <v>25</v>
      </c>
      <c r="L3147">
        <v>8</v>
      </c>
      <c r="M3147">
        <v>86052</v>
      </c>
      <c r="N3147">
        <v>1</v>
      </c>
    </row>
    <row r="3148" spans="1:14" x14ac:dyDescent="0.2">
      <c r="A3148" s="3">
        <f t="shared" si="51"/>
        <v>6000293</v>
      </c>
      <c r="B3148" t="str">
        <f>"60002930060"</f>
        <v>60002930060</v>
      </c>
      <c r="C3148" t="s">
        <v>3586</v>
      </c>
      <c r="D3148" t="s">
        <v>289</v>
      </c>
      <c r="E3148">
        <v>74</v>
      </c>
      <c r="F3148">
        <v>564</v>
      </c>
      <c r="G3148" t="s">
        <v>1645</v>
      </c>
      <c r="H3148">
        <v>6</v>
      </c>
      <c r="I3148" t="s">
        <v>25</v>
      </c>
      <c r="J3148">
        <v>4</v>
      </c>
      <c r="K3148" t="s">
        <v>25</v>
      </c>
      <c r="L3148">
        <v>8</v>
      </c>
      <c r="M3148">
        <v>86052</v>
      </c>
      <c r="N3148">
        <v>1</v>
      </c>
    </row>
    <row r="3149" spans="1:14" x14ac:dyDescent="0.2">
      <c r="A3149" s="3">
        <f t="shared" si="51"/>
        <v>6001442</v>
      </c>
      <c r="B3149" t="str">
        <f>"60014420016"</f>
        <v>60014420016</v>
      </c>
      <c r="C3149" t="s">
        <v>3587</v>
      </c>
      <c r="D3149" t="s">
        <v>70</v>
      </c>
      <c r="E3149">
        <v>32</v>
      </c>
      <c r="F3149">
        <v>2100</v>
      </c>
      <c r="G3149" t="s">
        <v>3588</v>
      </c>
      <c r="H3149">
        <v>75</v>
      </c>
      <c r="I3149" t="s">
        <v>34</v>
      </c>
      <c r="J3149">
        <v>59</v>
      </c>
      <c r="K3149" t="s">
        <v>34</v>
      </c>
      <c r="L3149">
        <v>8</v>
      </c>
      <c r="M3149">
        <v>81226</v>
      </c>
      <c r="N3149">
        <v>16</v>
      </c>
    </row>
    <row r="3150" spans="1:14" x14ac:dyDescent="0.2">
      <c r="A3150" s="3">
        <f t="shared" si="51"/>
        <v>6001877</v>
      </c>
      <c r="B3150" t="str">
        <f>"60018770016"</f>
        <v>60018770016</v>
      </c>
      <c r="C3150" t="s">
        <v>3589</v>
      </c>
      <c r="D3150" t="s">
        <v>418</v>
      </c>
      <c r="E3150">
        <v>47</v>
      </c>
      <c r="F3150">
        <v>889</v>
      </c>
      <c r="G3150" t="s">
        <v>3590</v>
      </c>
      <c r="H3150">
        <v>20</v>
      </c>
      <c r="I3150" t="s">
        <v>25</v>
      </c>
      <c r="J3150">
        <v>16</v>
      </c>
      <c r="K3150" t="s">
        <v>25</v>
      </c>
      <c r="L3150">
        <v>8</v>
      </c>
      <c r="M3150">
        <v>72119</v>
      </c>
      <c r="N3150">
        <v>4</v>
      </c>
    </row>
    <row r="3151" spans="1:14" x14ac:dyDescent="0.2">
      <c r="A3151" s="3">
        <f t="shared" si="51"/>
        <v>6002387</v>
      </c>
      <c r="B3151" t="str">
        <f>"60023870012"</f>
        <v>60023870012</v>
      </c>
      <c r="C3151" t="s">
        <v>3591</v>
      </c>
      <c r="D3151" t="s">
        <v>418</v>
      </c>
      <c r="E3151">
        <v>82</v>
      </c>
      <c r="F3151">
        <v>2016</v>
      </c>
      <c r="G3151" t="s">
        <v>3592</v>
      </c>
      <c r="H3151">
        <v>24</v>
      </c>
      <c r="I3151" t="s">
        <v>25</v>
      </c>
      <c r="J3151">
        <v>20</v>
      </c>
      <c r="K3151" t="s">
        <v>25</v>
      </c>
      <c r="L3151">
        <v>8</v>
      </c>
      <c r="M3151">
        <v>70219</v>
      </c>
      <c r="N3151">
        <v>4</v>
      </c>
    </row>
    <row r="3152" spans="1:14" x14ac:dyDescent="0.2">
      <c r="A3152" s="3">
        <f t="shared" si="51"/>
        <v>6003923</v>
      </c>
      <c r="B3152" t="str">
        <f>"60039230016"</f>
        <v>60039230016</v>
      </c>
      <c r="C3152" t="s">
        <v>3593</v>
      </c>
      <c r="D3152" t="s">
        <v>418</v>
      </c>
      <c r="E3152">
        <v>72</v>
      </c>
      <c r="F3152">
        <v>2548</v>
      </c>
      <c r="G3152" t="s">
        <v>3594</v>
      </c>
      <c r="H3152">
        <v>150</v>
      </c>
      <c r="I3152" t="s">
        <v>34</v>
      </c>
      <c r="J3152">
        <v>118</v>
      </c>
      <c r="K3152" t="s">
        <v>34</v>
      </c>
      <c r="L3152">
        <v>8</v>
      </c>
      <c r="M3152">
        <v>72128</v>
      </c>
      <c r="N3152">
        <v>32</v>
      </c>
    </row>
    <row r="3153" spans="1:14" x14ac:dyDescent="0.2">
      <c r="A3153" s="3">
        <f t="shared" si="51"/>
        <v>6004433</v>
      </c>
      <c r="B3153" t="str">
        <f>"60044330009"</f>
        <v>60044330009</v>
      </c>
      <c r="C3153" t="s">
        <v>3595</v>
      </c>
      <c r="D3153" t="s">
        <v>70</v>
      </c>
      <c r="E3153">
        <v>31</v>
      </c>
      <c r="F3153">
        <v>759</v>
      </c>
      <c r="G3153" t="s">
        <v>3596</v>
      </c>
      <c r="H3153">
        <v>30</v>
      </c>
      <c r="I3153" t="s">
        <v>34</v>
      </c>
      <c r="J3153">
        <v>20</v>
      </c>
      <c r="K3153" t="s">
        <v>34</v>
      </c>
      <c r="L3153">
        <v>8</v>
      </c>
      <c r="M3153">
        <v>84208</v>
      </c>
      <c r="N3153">
        <v>10</v>
      </c>
    </row>
    <row r="3154" spans="1:14" x14ac:dyDescent="0.2">
      <c r="A3154" s="3">
        <f t="shared" si="51"/>
        <v>6004923</v>
      </c>
      <c r="B3154" t="str">
        <f>"60049230016"</f>
        <v>60049230016</v>
      </c>
      <c r="C3154" t="s">
        <v>3597</v>
      </c>
      <c r="D3154" t="s">
        <v>70</v>
      </c>
      <c r="E3154">
        <v>33</v>
      </c>
      <c r="F3154">
        <v>430</v>
      </c>
      <c r="G3154" t="s">
        <v>3598</v>
      </c>
      <c r="H3154">
        <v>40</v>
      </c>
      <c r="I3154" t="s">
        <v>34</v>
      </c>
      <c r="J3154">
        <v>30</v>
      </c>
      <c r="K3154" t="s">
        <v>34</v>
      </c>
      <c r="L3154">
        <v>8</v>
      </c>
      <c r="M3154">
        <v>84074</v>
      </c>
      <c r="N3154">
        <v>10</v>
      </c>
    </row>
    <row r="3155" spans="1:14" x14ac:dyDescent="0.2">
      <c r="A3155" s="3">
        <f t="shared" si="51"/>
        <v>6006526</v>
      </c>
      <c r="B3155" t="str">
        <f>"60065260008"</f>
        <v>60065260008</v>
      </c>
      <c r="C3155" t="s">
        <v>3599</v>
      </c>
      <c r="D3155" t="s">
        <v>101</v>
      </c>
      <c r="E3155">
        <v>33</v>
      </c>
      <c r="F3155">
        <v>1989</v>
      </c>
      <c r="G3155" t="s">
        <v>3600</v>
      </c>
      <c r="H3155">
        <v>35</v>
      </c>
      <c r="I3155" t="s">
        <v>34</v>
      </c>
      <c r="J3155">
        <v>27</v>
      </c>
      <c r="K3155" t="s">
        <v>34</v>
      </c>
      <c r="L3155">
        <v>8</v>
      </c>
      <c r="M3155">
        <v>84124</v>
      </c>
      <c r="N3155">
        <v>8</v>
      </c>
    </row>
    <row r="3156" spans="1:14" x14ac:dyDescent="0.2">
      <c r="A3156" s="3">
        <f t="shared" si="51"/>
        <v>6400918</v>
      </c>
      <c r="B3156" t="str">
        <f>"64009180012"</f>
        <v>64009180012</v>
      </c>
      <c r="C3156" t="s">
        <v>3601</v>
      </c>
      <c r="D3156" t="s">
        <v>52</v>
      </c>
      <c r="E3156">
        <v>48</v>
      </c>
      <c r="F3156">
        <v>1747</v>
      </c>
      <c r="G3156" t="s">
        <v>3602</v>
      </c>
      <c r="H3156">
        <v>13</v>
      </c>
      <c r="I3156" t="s">
        <v>25</v>
      </c>
      <c r="J3156">
        <v>10</v>
      </c>
      <c r="K3156" t="s">
        <v>25</v>
      </c>
      <c r="L3156">
        <v>6</v>
      </c>
      <c r="M3156">
        <v>51602</v>
      </c>
      <c r="N3156">
        <v>3</v>
      </c>
    </row>
    <row r="3157" spans="1:14" x14ac:dyDescent="0.2">
      <c r="A3157" s="3">
        <f t="shared" si="51"/>
        <v>6600940</v>
      </c>
      <c r="B3157" t="str">
        <f>"66009400033"</f>
        <v>66009400033</v>
      </c>
      <c r="C3157" t="s">
        <v>3603</v>
      </c>
      <c r="D3157" t="s">
        <v>216</v>
      </c>
      <c r="E3157">
        <v>70</v>
      </c>
      <c r="F3157">
        <v>672</v>
      </c>
      <c r="G3157" t="s">
        <v>3604</v>
      </c>
      <c r="H3157">
        <v>8</v>
      </c>
      <c r="I3157" t="s">
        <v>25</v>
      </c>
      <c r="J3157">
        <v>6</v>
      </c>
      <c r="K3157" t="s">
        <v>25</v>
      </c>
      <c r="L3157">
        <v>8</v>
      </c>
      <c r="M3157">
        <v>74071</v>
      </c>
      <c r="N3157">
        <v>2</v>
      </c>
    </row>
    <row r="3158" spans="1:14" x14ac:dyDescent="0.2">
      <c r="A3158" s="3">
        <f t="shared" si="51"/>
        <v>6601468</v>
      </c>
      <c r="B3158" t="str">
        <f>"66014680012"</f>
        <v>66014680012</v>
      </c>
      <c r="C3158" t="s">
        <v>3605</v>
      </c>
      <c r="D3158" t="s">
        <v>52</v>
      </c>
      <c r="E3158">
        <v>32</v>
      </c>
      <c r="F3158">
        <v>2354</v>
      </c>
      <c r="G3158" t="s">
        <v>3606</v>
      </c>
      <c r="H3158">
        <v>40</v>
      </c>
      <c r="I3158" t="s">
        <v>34</v>
      </c>
      <c r="J3158">
        <v>30</v>
      </c>
      <c r="K3158" t="s">
        <v>34</v>
      </c>
      <c r="L3158">
        <v>6</v>
      </c>
      <c r="M3158">
        <v>47566</v>
      </c>
      <c r="N3158">
        <v>10</v>
      </c>
    </row>
    <row r="3159" spans="1:14" x14ac:dyDescent="0.2">
      <c r="A3159" s="3">
        <f t="shared" si="51"/>
        <v>6601862</v>
      </c>
      <c r="B3159" t="str">
        <f>"66018620010"</f>
        <v>66018620010</v>
      </c>
      <c r="C3159" t="s">
        <v>3607</v>
      </c>
      <c r="D3159" t="s">
        <v>52</v>
      </c>
      <c r="E3159">
        <v>20</v>
      </c>
      <c r="F3159">
        <v>8086</v>
      </c>
      <c r="G3159" t="s">
        <v>290</v>
      </c>
      <c r="H3159">
        <v>12</v>
      </c>
      <c r="I3159" t="s">
        <v>25</v>
      </c>
      <c r="J3159">
        <v>9</v>
      </c>
      <c r="K3159" t="s">
        <v>25</v>
      </c>
      <c r="L3159">
        <v>6</v>
      </c>
      <c r="M3159">
        <v>99635</v>
      </c>
      <c r="N3159">
        <v>3</v>
      </c>
    </row>
    <row r="3160" spans="1:14" x14ac:dyDescent="0.2">
      <c r="A3160" s="3">
        <f t="shared" si="51"/>
        <v>6601862</v>
      </c>
      <c r="B3160" t="str">
        <f>"66018620010"</f>
        <v>66018620010</v>
      </c>
      <c r="C3160" t="s">
        <v>3607</v>
      </c>
      <c r="D3160" t="s">
        <v>52</v>
      </c>
      <c r="E3160">
        <v>20</v>
      </c>
      <c r="F3160">
        <v>1687</v>
      </c>
      <c r="G3160" t="s">
        <v>3608</v>
      </c>
      <c r="H3160">
        <v>12</v>
      </c>
      <c r="I3160" t="s">
        <v>25</v>
      </c>
      <c r="J3160">
        <v>9</v>
      </c>
      <c r="K3160" t="s">
        <v>25</v>
      </c>
      <c r="L3160">
        <v>6</v>
      </c>
      <c r="M3160">
        <v>99635</v>
      </c>
      <c r="N3160">
        <v>3</v>
      </c>
    </row>
    <row r="3161" spans="1:14" x14ac:dyDescent="0.2">
      <c r="A3161" s="3">
        <f t="shared" si="51"/>
        <v>6604451</v>
      </c>
      <c r="B3161" t="str">
        <f>"66044510009"</f>
        <v>66044510009</v>
      </c>
      <c r="C3161" t="s">
        <v>3609</v>
      </c>
      <c r="D3161" t="s">
        <v>70</v>
      </c>
      <c r="E3161">
        <v>31</v>
      </c>
      <c r="F3161">
        <v>2532</v>
      </c>
      <c r="G3161" t="s">
        <v>3610</v>
      </c>
      <c r="H3161">
        <v>14</v>
      </c>
      <c r="I3161" t="s">
        <v>34</v>
      </c>
      <c r="J3161">
        <v>9</v>
      </c>
      <c r="K3161" t="s">
        <v>34</v>
      </c>
      <c r="L3161">
        <v>8</v>
      </c>
      <c r="M3161">
        <v>85050</v>
      </c>
      <c r="N3161">
        <v>5</v>
      </c>
    </row>
    <row r="3162" spans="1:14" x14ac:dyDescent="0.2">
      <c r="A3162" s="3">
        <f t="shared" si="51"/>
        <v>6605001</v>
      </c>
      <c r="B3162" t="str">
        <f>"66050010005"</f>
        <v>66050010005</v>
      </c>
      <c r="C3162" t="s">
        <v>3611</v>
      </c>
      <c r="D3162" t="s">
        <v>216</v>
      </c>
      <c r="E3162">
        <v>70</v>
      </c>
      <c r="F3162">
        <v>7511</v>
      </c>
      <c r="G3162" t="s">
        <v>1165</v>
      </c>
      <c r="H3162">
        <v>150</v>
      </c>
      <c r="I3162" t="s">
        <v>34</v>
      </c>
      <c r="J3162">
        <v>118</v>
      </c>
      <c r="K3162" t="s">
        <v>34</v>
      </c>
      <c r="L3162">
        <v>8</v>
      </c>
      <c r="M3162">
        <v>73047</v>
      </c>
      <c r="N3162">
        <v>32</v>
      </c>
    </row>
    <row r="3163" spans="1:14" x14ac:dyDescent="0.2">
      <c r="A3163" s="3">
        <f t="shared" si="51"/>
        <v>6605172</v>
      </c>
      <c r="B3163" t="str">
        <f>"66051720021"</f>
        <v>66051720021</v>
      </c>
      <c r="C3163" t="s">
        <v>3612</v>
      </c>
      <c r="D3163" t="s">
        <v>216</v>
      </c>
      <c r="E3163">
        <v>70</v>
      </c>
      <c r="F3163">
        <v>2501</v>
      </c>
      <c r="G3163" t="s">
        <v>3613</v>
      </c>
      <c r="H3163">
        <v>90</v>
      </c>
      <c r="I3163" t="s">
        <v>34</v>
      </c>
      <c r="J3163">
        <v>69</v>
      </c>
      <c r="K3163" t="s">
        <v>34</v>
      </c>
      <c r="L3163">
        <v>8</v>
      </c>
      <c r="M3163">
        <v>74117</v>
      </c>
      <c r="N3163">
        <v>21</v>
      </c>
    </row>
    <row r="3164" spans="1:14" x14ac:dyDescent="0.2">
      <c r="A3164" s="3">
        <f t="shared" si="51"/>
        <v>7400005</v>
      </c>
      <c r="B3164" t="str">
        <f>"74000050024"</f>
        <v>74000050024</v>
      </c>
      <c r="C3164" t="s">
        <v>3614</v>
      </c>
      <c r="D3164" t="s">
        <v>216</v>
      </c>
      <c r="E3164">
        <v>70</v>
      </c>
      <c r="F3164">
        <v>2196</v>
      </c>
      <c r="G3164" t="s">
        <v>3615</v>
      </c>
      <c r="H3164">
        <v>6</v>
      </c>
      <c r="I3164" t="s">
        <v>25</v>
      </c>
      <c r="J3164">
        <v>4</v>
      </c>
      <c r="K3164" t="s">
        <v>25</v>
      </c>
      <c r="L3164">
        <v>8</v>
      </c>
      <c r="M3164">
        <v>74094</v>
      </c>
      <c r="N3164">
        <v>2</v>
      </c>
    </row>
    <row r="3165" spans="1:14" x14ac:dyDescent="0.2">
      <c r="A3165" s="3">
        <f t="shared" si="51"/>
        <v>7400054</v>
      </c>
      <c r="B3165" t="str">
        <f>"74000540024"</f>
        <v>74000540024</v>
      </c>
      <c r="C3165" t="s">
        <v>1739</v>
      </c>
      <c r="D3165" t="s">
        <v>70</v>
      </c>
      <c r="E3165">
        <v>33</v>
      </c>
      <c r="F3165">
        <v>426</v>
      </c>
      <c r="G3165" t="s">
        <v>3616</v>
      </c>
      <c r="H3165">
        <v>56</v>
      </c>
      <c r="I3165" t="s">
        <v>34</v>
      </c>
      <c r="J3165">
        <v>41</v>
      </c>
      <c r="K3165" t="s">
        <v>34</v>
      </c>
      <c r="L3165">
        <v>8</v>
      </c>
      <c r="M3165">
        <v>83168</v>
      </c>
      <c r="N3165">
        <v>15</v>
      </c>
    </row>
    <row r="3166" spans="1:14" x14ac:dyDescent="0.2">
      <c r="A3166" s="3">
        <f t="shared" si="51"/>
        <v>7400216</v>
      </c>
      <c r="B3166" t="str">
        <f>"74002160018"</f>
        <v>74002160018</v>
      </c>
      <c r="C3166" t="s">
        <v>3617</v>
      </c>
      <c r="D3166" t="s">
        <v>52</v>
      </c>
      <c r="E3166">
        <v>31</v>
      </c>
      <c r="F3166">
        <v>828</v>
      </c>
      <c r="G3166" t="s">
        <v>3618</v>
      </c>
      <c r="H3166">
        <v>24</v>
      </c>
      <c r="I3166" t="s">
        <v>34</v>
      </c>
      <c r="J3166">
        <v>18</v>
      </c>
      <c r="K3166" t="s">
        <v>34</v>
      </c>
      <c r="L3166">
        <v>9</v>
      </c>
      <c r="M3166">
        <v>85182</v>
      </c>
      <c r="N3166">
        <v>6</v>
      </c>
    </row>
    <row r="3167" spans="1:14" x14ac:dyDescent="0.2">
      <c r="A3167" s="3">
        <f t="shared" si="51"/>
        <v>7400699</v>
      </c>
      <c r="B3167" t="str">
        <f>"74006990015"</f>
        <v>74006990015</v>
      </c>
      <c r="C3167" t="s">
        <v>3619</v>
      </c>
      <c r="D3167" t="s">
        <v>42</v>
      </c>
      <c r="E3167">
        <v>44</v>
      </c>
      <c r="F3167">
        <v>2612</v>
      </c>
      <c r="G3167" t="s">
        <v>416</v>
      </c>
      <c r="H3167">
        <v>6</v>
      </c>
      <c r="I3167" t="s">
        <v>25</v>
      </c>
      <c r="J3167">
        <v>4</v>
      </c>
      <c r="K3167" t="s">
        <v>25</v>
      </c>
      <c r="L3167">
        <v>8</v>
      </c>
      <c r="M3167">
        <v>65256</v>
      </c>
      <c r="N3167">
        <v>2</v>
      </c>
    </row>
    <row r="3168" spans="1:14" x14ac:dyDescent="0.2">
      <c r="A3168" s="3">
        <f t="shared" si="51"/>
        <v>7400792</v>
      </c>
      <c r="B3168" t="str">
        <f>"74007920009"</f>
        <v>74007920009</v>
      </c>
      <c r="C3168" t="s">
        <v>3620</v>
      </c>
      <c r="D3168" t="s">
        <v>52</v>
      </c>
      <c r="E3168">
        <v>33</v>
      </c>
      <c r="F3168">
        <v>1209</v>
      </c>
      <c r="G3168" t="s">
        <v>3621</v>
      </c>
      <c r="H3168">
        <v>28</v>
      </c>
      <c r="I3168" t="s">
        <v>34</v>
      </c>
      <c r="J3168">
        <v>20</v>
      </c>
      <c r="K3168" t="s">
        <v>34</v>
      </c>
      <c r="L3168">
        <v>9</v>
      </c>
      <c r="M3168">
        <v>85177</v>
      </c>
      <c r="N3168">
        <v>8</v>
      </c>
    </row>
    <row r="3169" spans="1:14" x14ac:dyDescent="0.2">
      <c r="A3169" s="3">
        <f t="shared" si="51"/>
        <v>7400915</v>
      </c>
      <c r="B3169" t="str">
        <f>"74009150010"</f>
        <v>74009150010</v>
      </c>
      <c r="C3169" t="s">
        <v>3622</v>
      </c>
      <c r="D3169" t="s">
        <v>216</v>
      </c>
      <c r="E3169">
        <v>72</v>
      </c>
      <c r="F3169">
        <v>1209</v>
      </c>
      <c r="G3169" t="s">
        <v>3621</v>
      </c>
      <c r="H3169">
        <v>60</v>
      </c>
      <c r="I3169" t="s">
        <v>34</v>
      </c>
      <c r="J3169">
        <v>44</v>
      </c>
      <c r="K3169" t="s">
        <v>34</v>
      </c>
      <c r="L3169">
        <v>8</v>
      </c>
      <c r="M3169">
        <v>74170</v>
      </c>
      <c r="N3169">
        <v>16</v>
      </c>
    </row>
    <row r="3170" spans="1:14" x14ac:dyDescent="0.2">
      <c r="A3170" s="3">
        <f t="shared" si="51"/>
        <v>7401493</v>
      </c>
      <c r="B3170" t="str">
        <f>"74014930024"</f>
        <v>74014930024</v>
      </c>
      <c r="C3170" t="s">
        <v>3623</v>
      </c>
      <c r="D3170" t="s">
        <v>52</v>
      </c>
      <c r="E3170">
        <v>71</v>
      </c>
      <c r="F3170">
        <v>2598</v>
      </c>
      <c r="G3170" t="s">
        <v>3624</v>
      </c>
      <c r="H3170">
        <v>10</v>
      </c>
      <c r="I3170" t="s">
        <v>25</v>
      </c>
      <c r="J3170">
        <v>7</v>
      </c>
      <c r="K3170" t="s">
        <v>25</v>
      </c>
      <c r="L3170">
        <v>5</v>
      </c>
      <c r="M3170" t="s">
        <v>65</v>
      </c>
      <c r="N3170">
        <v>3</v>
      </c>
    </row>
    <row r="3171" spans="1:14" x14ac:dyDescent="0.2">
      <c r="A3171" s="3">
        <f t="shared" si="51"/>
        <v>7402387</v>
      </c>
      <c r="B3171" t="str">
        <f>"74023870006"</f>
        <v>74023870006</v>
      </c>
      <c r="C3171" t="s">
        <v>3625</v>
      </c>
      <c r="D3171" t="s">
        <v>52</v>
      </c>
      <c r="E3171">
        <v>33</v>
      </c>
      <c r="F3171">
        <v>2615</v>
      </c>
      <c r="G3171" t="s">
        <v>3626</v>
      </c>
      <c r="H3171">
        <v>60</v>
      </c>
      <c r="I3171" t="s">
        <v>34</v>
      </c>
      <c r="J3171">
        <v>44</v>
      </c>
      <c r="K3171" t="s">
        <v>34</v>
      </c>
      <c r="L3171">
        <v>6</v>
      </c>
      <c r="M3171">
        <v>2520</v>
      </c>
      <c r="N3171">
        <v>16</v>
      </c>
    </row>
    <row r="3172" spans="1:14" x14ac:dyDescent="0.2">
      <c r="A3172" s="3">
        <f t="shared" si="51"/>
        <v>7402460</v>
      </c>
      <c r="B3172" t="str">
        <f>"74024600012"</f>
        <v>74024600012</v>
      </c>
      <c r="C3172" t="s">
        <v>3627</v>
      </c>
      <c r="D3172" t="s">
        <v>52</v>
      </c>
      <c r="E3172">
        <v>72</v>
      </c>
      <c r="F3172">
        <v>424</v>
      </c>
      <c r="G3172" t="s">
        <v>1895</v>
      </c>
      <c r="H3172">
        <v>150</v>
      </c>
      <c r="I3172" t="s">
        <v>34</v>
      </c>
      <c r="J3172">
        <v>118</v>
      </c>
      <c r="K3172" t="s">
        <v>34</v>
      </c>
      <c r="L3172">
        <v>6</v>
      </c>
      <c r="M3172">
        <v>3628</v>
      </c>
      <c r="N3172">
        <v>32</v>
      </c>
    </row>
    <row r="3173" spans="1:14" x14ac:dyDescent="0.2">
      <c r="A3173" s="3">
        <f t="shared" si="51"/>
        <v>7402489</v>
      </c>
      <c r="B3173" t="str">
        <f>"74024890012"</f>
        <v>74024890012</v>
      </c>
      <c r="C3173" t="s">
        <v>3628</v>
      </c>
      <c r="D3173" t="s">
        <v>42</v>
      </c>
      <c r="E3173">
        <v>44</v>
      </c>
      <c r="F3173">
        <v>2612</v>
      </c>
      <c r="G3173" t="s">
        <v>416</v>
      </c>
      <c r="H3173">
        <v>8</v>
      </c>
      <c r="I3173" t="s">
        <v>25</v>
      </c>
      <c r="J3173">
        <v>6</v>
      </c>
      <c r="K3173" t="s">
        <v>25</v>
      </c>
      <c r="L3173">
        <v>8</v>
      </c>
      <c r="M3173">
        <v>65258</v>
      </c>
      <c r="N3173">
        <v>2</v>
      </c>
    </row>
    <row r="3174" spans="1:14" x14ac:dyDescent="0.2">
      <c r="A3174" s="3">
        <f t="shared" si="51"/>
        <v>7402930</v>
      </c>
      <c r="B3174" t="str">
        <f>"74029300018"</f>
        <v>74029300018</v>
      </c>
      <c r="C3174" t="s">
        <v>3629</v>
      </c>
      <c r="D3174" t="s">
        <v>52</v>
      </c>
      <c r="E3174">
        <v>72</v>
      </c>
      <c r="F3174">
        <v>424</v>
      </c>
      <c r="G3174" t="s">
        <v>1895</v>
      </c>
      <c r="H3174">
        <v>150</v>
      </c>
      <c r="I3174" t="s">
        <v>34</v>
      </c>
      <c r="J3174">
        <v>118</v>
      </c>
      <c r="K3174" t="s">
        <v>34</v>
      </c>
      <c r="L3174">
        <v>6</v>
      </c>
      <c r="M3174">
        <v>46640</v>
      </c>
      <c r="N3174">
        <v>32</v>
      </c>
    </row>
    <row r="3175" spans="1:14" x14ac:dyDescent="0.2">
      <c r="A3175" s="3">
        <f t="shared" si="51"/>
        <v>7402931</v>
      </c>
      <c r="B3175" t="str">
        <f>"74029310018"</f>
        <v>74029310018</v>
      </c>
      <c r="C3175" t="s">
        <v>3630</v>
      </c>
      <c r="D3175" t="s">
        <v>52</v>
      </c>
      <c r="E3175">
        <v>72</v>
      </c>
      <c r="F3175">
        <v>424</v>
      </c>
      <c r="G3175" t="s">
        <v>1895</v>
      </c>
      <c r="H3175">
        <v>150</v>
      </c>
      <c r="I3175" t="s">
        <v>34</v>
      </c>
      <c r="J3175">
        <v>118</v>
      </c>
      <c r="K3175" t="s">
        <v>34</v>
      </c>
      <c r="L3175">
        <v>6</v>
      </c>
      <c r="M3175">
        <v>46641</v>
      </c>
      <c r="N3175">
        <v>32</v>
      </c>
    </row>
    <row r="3176" spans="1:14" x14ac:dyDescent="0.2">
      <c r="A3176" s="3">
        <f t="shared" si="51"/>
        <v>7403789</v>
      </c>
      <c r="B3176" t="str">
        <f>"74037890012"</f>
        <v>74037890012</v>
      </c>
      <c r="C3176" t="s">
        <v>3631</v>
      </c>
      <c r="D3176" t="s">
        <v>52</v>
      </c>
      <c r="E3176">
        <v>72</v>
      </c>
      <c r="F3176">
        <v>424</v>
      </c>
      <c r="G3176" t="s">
        <v>1895</v>
      </c>
      <c r="H3176">
        <v>150</v>
      </c>
      <c r="I3176" t="s">
        <v>34</v>
      </c>
      <c r="J3176">
        <v>118</v>
      </c>
      <c r="K3176" t="s">
        <v>34</v>
      </c>
      <c r="L3176">
        <v>6</v>
      </c>
      <c r="M3176">
        <v>2616</v>
      </c>
      <c r="N3176">
        <v>32</v>
      </c>
    </row>
    <row r="3177" spans="1:14" x14ac:dyDescent="0.2">
      <c r="A3177" s="3">
        <f t="shared" si="51"/>
        <v>7500756</v>
      </c>
      <c r="B3177" t="str">
        <f>"75007560006"</f>
        <v>75007560006</v>
      </c>
      <c r="C3177" t="s">
        <v>3632</v>
      </c>
      <c r="D3177" t="s">
        <v>36</v>
      </c>
      <c r="E3177">
        <v>82</v>
      </c>
      <c r="F3177">
        <v>2131</v>
      </c>
      <c r="G3177" t="s">
        <v>241</v>
      </c>
      <c r="H3177" t="s">
        <v>44</v>
      </c>
      <c r="I3177" t="s">
        <v>45</v>
      </c>
      <c r="J3177" t="s">
        <v>44</v>
      </c>
      <c r="K3177" t="s">
        <v>45</v>
      </c>
      <c r="L3177">
        <v>8</v>
      </c>
      <c r="M3177">
        <v>70098</v>
      </c>
      <c r="N3177" t="s">
        <v>46</v>
      </c>
    </row>
    <row r="3178" spans="1:14" x14ac:dyDescent="0.2">
      <c r="A3178" s="3">
        <f t="shared" si="51"/>
        <v>7700964</v>
      </c>
      <c r="B3178" t="str">
        <f>"77009640010"</f>
        <v>77009640010</v>
      </c>
      <c r="C3178" t="s">
        <v>3633</v>
      </c>
      <c r="D3178" t="s">
        <v>52</v>
      </c>
      <c r="E3178">
        <v>20</v>
      </c>
      <c r="F3178">
        <v>855</v>
      </c>
      <c r="G3178" t="s">
        <v>3634</v>
      </c>
      <c r="H3178">
        <v>11</v>
      </c>
      <c r="I3178" t="s">
        <v>25</v>
      </c>
      <c r="J3178">
        <v>8</v>
      </c>
      <c r="K3178" t="s">
        <v>25</v>
      </c>
      <c r="L3178">
        <v>5</v>
      </c>
      <c r="M3178" t="s">
        <v>65</v>
      </c>
      <c r="N3178">
        <v>3</v>
      </c>
    </row>
    <row r="3179" spans="1:14" x14ac:dyDescent="0.2">
      <c r="A3179" s="3">
        <f t="shared" si="51"/>
        <v>7700964</v>
      </c>
      <c r="B3179" t="str">
        <f>"77009640010"</f>
        <v>77009640010</v>
      </c>
      <c r="C3179" t="s">
        <v>3633</v>
      </c>
      <c r="D3179" t="s">
        <v>52</v>
      </c>
      <c r="E3179">
        <v>20</v>
      </c>
      <c r="F3179">
        <v>8086</v>
      </c>
      <c r="G3179" t="s">
        <v>290</v>
      </c>
      <c r="H3179">
        <v>11</v>
      </c>
      <c r="I3179" t="s">
        <v>25</v>
      </c>
      <c r="J3179">
        <v>8</v>
      </c>
      <c r="K3179" t="s">
        <v>25</v>
      </c>
      <c r="L3179">
        <v>5</v>
      </c>
      <c r="M3179" t="s">
        <v>65</v>
      </c>
      <c r="N3179">
        <v>3</v>
      </c>
    </row>
    <row r="3180" spans="1:14" x14ac:dyDescent="0.2">
      <c r="A3180" s="3">
        <f t="shared" si="51"/>
        <v>7702885</v>
      </c>
      <c r="B3180" t="str">
        <f>"77028850006"</f>
        <v>77028850006</v>
      </c>
      <c r="C3180" t="s">
        <v>3635</v>
      </c>
      <c r="D3180" t="s">
        <v>543</v>
      </c>
      <c r="E3180">
        <v>61</v>
      </c>
      <c r="F3180">
        <v>4203</v>
      </c>
      <c r="G3180" t="s">
        <v>3636</v>
      </c>
      <c r="H3180" t="s">
        <v>44</v>
      </c>
      <c r="I3180" t="s">
        <v>45</v>
      </c>
      <c r="J3180" t="s">
        <v>44</v>
      </c>
      <c r="K3180" t="s">
        <v>45</v>
      </c>
      <c r="L3180">
        <v>8</v>
      </c>
      <c r="M3180">
        <v>62047</v>
      </c>
      <c r="N3180" t="s">
        <v>46</v>
      </c>
    </row>
    <row r="3181" spans="1:14" x14ac:dyDescent="0.2">
      <c r="A3181" s="3">
        <f t="shared" si="51"/>
        <v>7704817</v>
      </c>
      <c r="B3181" t="str">
        <f>"77048170009"</f>
        <v>77048170009</v>
      </c>
      <c r="C3181" t="s">
        <v>3637</v>
      </c>
      <c r="D3181" t="s">
        <v>52</v>
      </c>
      <c r="E3181">
        <v>20</v>
      </c>
      <c r="F3181">
        <v>963</v>
      </c>
      <c r="G3181" t="s">
        <v>3638</v>
      </c>
      <c r="H3181">
        <v>8</v>
      </c>
      <c r="I3181" t="s">
        <v>25</v>
      </c>
      <c r="J3181">
        <v>6</v>
      </c>
      <c r="K3181" t="s">
        <v>25</v>
      </c>
      <c r="L3181">
        <v>5</v>
      </c>
      <c r="M3181" t="s">
        <v>65</v>
      </c>
      <c r="N3181">
        <v>2</v>
      </c>
    </row>
    <row r="3182" spans="1:14" x14ac:dyDescent="0.2">
      <c r="A3182" s="3">
        <f t="shared" si="51"/>
        <v>7704817</v>
      </c>
      <c r="B3182" t="str">
        <f>"77048170009"</f>
        <v>77048170009</v>
      </c>
      <c r="C3182" t="s">
        <v>3637</v>
      </c>
      <c r="D3182" t="s">
        <v>52</v>
      </c>
      <c r="E3182">
        <v>20</v>
      </c>
      <c r="F3182">
        <v>8086</v>
      </c>
      <c r="G3182" t="s">
        <v>290</v>
      </c>
      <c r="H3182">
        <v>8</v>
      </c>
      <c r="I3182" t="s">
        <v>25</v>
      </c>
      <c r="J3182">
        <v>6</v>
      </c>
      <c r="K3182" t="s">
        <v>25</v>
      </c>
      <c r="L3182">
        <v>5</v>
      </c>
      <c r="M3182" t="s">
        <v>65</v>
      </c>
      <c r="N3182">
        <v>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5" tint="0.59999389629810485"/>
  </sheetPr>
  <dimension ref="A1:L8382"/>
  <sheetViews>
    <sheetView topLeftCell="M1" workbookViewId="0">
      <selection sqref="A1:L1048576"/>
    </sheetView>
  </sheetViews>
  <sheetFormatPr baseColWidth="10" defaultRowHeight="12.75" x14ac:dyDescent="0.2"/>
  <cols>
    <col min="1" max="12" width="0" hidden="1" customWidth="1"/>
  </cols>
  <sheetData>
    <row r="1" spans="1:12" x14ac:dyDescent="0.2">
      <c r="A1" t="s">
        <v>3676</v>
      </c>
    </row>
    <row r="2" spans="1:12" x14ac:dyDescent="0.2">
      <c r="A2" t="s">
        <v>3677</v>
      </c>
    </row>
    <row r="3" spans="1:12" x14ac:dyDescent="0.2">
      <c r="A3" t="s">
        <v>3678</v>
      </c>
    </row>
    <row r="4" spans="1:12" x14ac:dyDescent="0.2">
      <c r="A4" t="s">
        <v>3679</v>
      </c>
    </row>
    <row r="6" spans="1:12" x14ac:dyDescent="0.2">
      <c r="C6" t="s">
        <v>3680</v>
      </c>
    </row>
    <row r="8" spans="1:12" x14ac:dyDescent="0.2">
      <c r="A8" t="s">
        <v>3681</v>
      </c>
    </row>
    <row r="9" spans="1:12" x14ac:dyDescent="0.2">
      <c r="A9" t="s">
        <v>3682</v>
      </c>
    </row>
    <row r="11" spans="1:12" x14ac:dyDescent="0.2">
      <c r="A11" t="s">
        <v>3683</v>
      </c>
      <c r="B11" t="s">
        <v>3684</v>
      </c>
      <c r="C11" t="s">
        <v>3685</v>
      </c>
      <c r="D11" t="s">
        <v>3686</v>
      </c>
      <c r="E11" t="s">
        <v>3687</v>
      </c>
      <c r="F11" t="s">
        <v>3688</v>
      </c>
      <c r="G11" t="s">
        <v>3689</v>
      </c>
      <c r="H11" t="s">
        <v>3690</v>
      </c>
      <c r="I11" t="s">
        <v>3691</v>
      </c>
      <c r="J11" t="s">
        <v>3692</v>
      </c>
      <c r="K11" t="s">
        <v>3693</v>
      </c>
      <c r="L11" t="s">
        <v>3694</v>
      </c>
    </row>
    <row r="12" spans="1:12" x14ac:dyDescent="0.2">
      <c r="A12">
        <v>95150</v>
      </c>
      <c r="B12">
        <v>1</v>
      </c>
      <c r="C12" t="s">
        <v>3695</v>
      </c>
      <c r="D12">
        <v>8</v>
      </c>
      <c r="E12">
        <v>6</v>
      </c>
      <c r="F12">
        <v>2696</v>
      </c>
      <c r="G12">
        <v>16176</v>
      </c>
      <c r="H12">
        <v>80</v>
      </c>
      <c r="I12">
        <v>33.700000000000003</v>
      </c>
      <c r="J12">
        <v>0.42</v>
      </c>
      <c r="K12">
        <v>6793.92</v>
      </c>
    </row>
    <row r="13" spans="1:12" x14ac:dyDescent="0.2">
      <c r="A13">
        <v>95030</v>
      </c>
      <c r="B13">
        <v>2</v>
      </c>
      <c r="C13" t="s">
        <v>3696</v>
      </c>
      <c r="D13">
        <v>8</v>
      </c>
      <c r="E13">
        <v>6</v>
      </c>
      <c r="F13">
        <v>8894</v>
      </c>
      <c r="G13">
        <v>53361</v>
      </c>
      <c r="H13">
        <v>80</v>
      </c>
      <c r="I13">
        <v>111.2</v>
      </c>
      <c r="J13">
        <v>0.27</v>
      </c>
      <c r="K13">
        <v>14407.47</v>
      </c>
    </row>
    <row r="14" spans="1:12" x14ac:dyDescent="0.2">
      <c r="A14">
        <v>95005</v>
      </c>
      <c r="B14">
        <v>3</v>
      </c>
      <c r="C14" t="s">
        <v>3697</v>
      </c>
      <c r="D14">
        <v>8</v>
      </c>
      <c r="E14">
        <v>6</v>
      </c>
      <c r="F14">
        <v>6177</v>
      </c>
      <c r="G14">
        <v>37062</v>
      </c>
      <c r="H14">
        <v>64</v>
      </c>
      <c r="I14">
        <v>96.5</v>
      </c>
      <c r="J14">
        <v>0.21</v>
      </c>
      <c r="K14">
        <v>7783.02</v>
      </c>
    </row>
    <row r="15" spans="1:12" x14ac:dyDescent="0.2">
      <c r="B15">
        <v>23</v>
      </c>
      <c r="C15" t="s">
        <v>3698</v>
      </c>
      <c r="D15">
        <v>11</v>
      </c>
      <c r="E15">
        <v>6</v>
      </c>
      <c r="F15">
        <v>0</v>
      </c>
      <c r="G15">
        <v>0</v>
      </c>
      <c r="H15">
        <v>64</v>
      </c>
      <c r="I15">
        <v>0</v>
      </c>
      <c r="J15">
        <v>0.85</v>
      </c>
      <c r="K15">
        <v>0</v>
      </c>
      <c r="L15" t="s">
        <v>3699</v>
      </c>
    </row>
    <row r="16" spans="1:12" x14ac:dyDescent="0.2">
      <c r="B16">
        <v>32</v>
      </c>
      <c r="C16" t="s">
        <v>3700</v>
      </c>
      <c r="D16">
        <v>11</v>
      </c>
      <c r="E16">
        <v>6</v>
      </c>
      <c r="F16">
        <v>0</v>
      </c>
      <c r="G16">
        <v>0</v>
      </c>
      <c r="H16">
        <v>64</v>
      </c>
      <c r="I16">
        <v>0</v>
      </c>
      <c r="J16">
        <v>0.99</v>
      </c>
      <c r="K16">
        <v>0</v>
      </c>
      <c r="L16" t="s">
        <v>3699</v>
      </c>
    </row>
    <row r="17" spans="1:12" x14ac:dyDescent="0.2">
      <c r="B17">
        <v>34</v>
      </c>
      <c r="C17" t="s">
        <v>3701</v>
      </c>
      <c r="D17">
        <v>11</v>
      </c>
      <c r="E17">
        <v>6</v>
      </c>
      <c r="F17">
        <v>0</v>
      </c>
      <c r="G17">
        <v>0</v>
      </c>
      <c r="H17">
        <v>64</v>
      </c>
      <c r="I17">
        <v>0</v>
      </c>
      <c r="J17">
        <v>1.18</v>
      </c>
      <c r="K17">
        <v>0</v>
      </c>
      <c r="L17" t="s">
        <v>3699</v>
      </c>
    </row>
    <row r="18" spans="1:12" x14ac:dyDescent="0.2">
      <c r="B18">
        <v>41</v>
      </c>
      <c r="C18" t="s">
        <v>3702</v>
      </c>
      <c r="D18">
        <v>11</v>
      </c>
      <c r="E18">
        <v>6</v>
      </c>
      <c r="F18">
        <v>0</v>
      </c>
      <c r="G18">
        <v>0</v>
      </c>
      <c r="H18">
        <v>64</v>
      </c>
      <c r="I18">
        <v>0</v>
      </c>
      <c r="J18">
        <v>0.99</v>
      </c>
      <c r="K18">
        <v>0</v>
      </c>
      <c r="L18" t="s">
        <v>3699</v>
      </c>
    </row>
    <row r="19" spans="1:12" x14ac:dyDescent="0.2">
      <c r="B19">
        <v>42</v>
      </c>
      <c r="C19" t="s">
        <v>3703</v>
      </c>
      <c r="D19">
        <v>11</v>
      </c>
      <c r="E19">
        <v>6</v>
      </c>
      <c r="F19">
        <v>0</v>
      </c>
      <c r="G19">
        <v>0</v>
      </c>
      <c r="H19">
        <v>64</v>
      </c>
      <c r="I19">
        <v>0</v>
      </c>
      <c r="J19">
        <v>0.86</v>
      </c>
      <c r="K19">
        <v>0</v>
      </c>
      <c r="L19" t="s">
        <v>3699</v>
      </c>
    </row>
    <row r="20" spans="1:12" x14ac:dyDescent="0.2">
      <c r="A20">
        <v>95203</v>
      </c>
      <c r="B20">
        <v>47</v>
      </c>
      <c r="C20" t="s">
        <v>3704</v>
      </c>
      <c r="D20">
        <v>8</v>
      </c>
      <c r="E20">
        <v>6</v>
      </c>
      <c r="F20">
        <v>1920</v>
      </c>
      <c r="G20">
        <v>11520</v>
      </c>
      <c r="H20">
        <v>64</v>
      </c>
      <c r="I20">
        <v>30</v>
      </c>
      <c r="J20">
        <v>0.66</v>
      </c>
      <c r="K20">
        <v>7603.2</v>
      </c>
    </row>
    <row r="21" spans="1:12" x14ac:dyDescent="0.2">
      <c r="B21">
        <v>63</v>
      </c>
      <c r="C21" t="s">
        <v>3705</v>
      </c>
      <c r="D21">
        <v>11</v>
      </c>
      <c r="E21">
        <v>6</v>
      </c>
      <c r="F21">
        <v>-32</v>
      </c>
      <c r="G21">
        <v>-192</v>
      </c>
      <c r="H21">
        <v>72</v>
      </c>
      <c r="I21">
        <v>-0.4</v>
      </c>
      <c r="J21">
        <v>1.1499999999999999</v>
      </c>
      <c r="K21">
        <v>-220.8</v>
      </c>
      <c r="L21" t="s">
        <v>3699</v>
      </c>
    </row>
    <row r="22" spans="1:12" x14ac:dyDescent="0.2">
      <c r="B22">
        <v>64</v>
      </c>
      <c r="C22" t="s">
        <v>3706</v>
      </c>
      <c r="D22">
        <v>11</v>
      </c>
      <c r="E22">
        <v>6</v>
      </c>
      <c r="F22">
        <v>0</v>
      </c>
      <c r="G22">
        <v>0</v>
      </c>
      <c r="H22">
        <v>72</v>
      </c>
      <c r="I22">
        <v>0</v>
      </c>
      <c r="J22">
        <v>1.1499999999999999</v>
      </c>
      <c r="K22">
        <v>0</v>
      </c>
      <c r="L22" t="s">
        <v>3699</v>
      </c>
    </row>
    <row r="23" spans="1:12" x14ac:dyDescent="0.2">
      <c r="B23">
        <v>66</v>
      </c>
      <c r="C23" t="s">
        <v>3707</v>
      </c>
      <c r="D23">
        <v>11</v>
      </c>
      <c r="E23">
        <v>1</v>
      </c>
      <c r="F23">
        <v>0</v>
      </c>
      <c r="G23">
        <v>0</v>
      </c>
      <c r="H23">
        <v>1</v>
      </c>
      <c r="I23">
        <v>0</v>
      </c>
      <c r="J23">
        <v>0.01</v>
      </c>
      <c r="K23">
        <v>0</v>
      </c>
    </row>
    <row r="24" spans="1:12" x14ac:dyDescent="0.2">
      <c r="A24">
        <v>95146</v>
      </c>
      <c r="B24">
        <v>70</v>
      </c>
      <c r="C24" t="s">
        <v>3708</v>
      </c>
      <c r="D24">
        <v>8</v>
      </c>
      <c r="E24">
        <v>6</v>
      </c>
      <c r="F24">
        <v>1856</v>
      </c>
      <c r="G24">
        <v>11136</v>
      </c>
      <c r="H24">
        <v>64</v>
      </c>
      <c r="I24">
        <v>29</v>
      </c>
      <c r="J24">
        <v>0.99</v>
      </c>
      <c r="K24">
        <v>11024.64</v>
      </c>
    </row>
    <row r="25" spans="1:12" x14ac:dyDescent="0.2">
      <c r="A25">
        <v>71147</v>
      </c>
      <c r="B25">
        <v>71</v>
      </c>
      <c r="C25" t="s">
        <v>3709</v>
      </c>
      <c r="D25">
        <v>8</v>
      </c>
      <c r="E25">
        <v>6</v>
      </c>
      <c r="F25">
        <v>976</v>
      </c>
      <c r="G25">
        <v>5856</v>
      </c>
      <c r="H25">
        <v>64</v>
      </c>
      <c r="I25">
        <v>15.3</v>
      </c>
      <c r="J25">
        <v>1.19</v>
      </c>
      <c r="K25">
        <v>6968.64</v>
      </c>
    </row>
    <row r="26" spans="1:12" x14ac:dyDescent="0.2">
      <c r="B26">
        <v>71</v>
      </c>
      <c r="C26" t="s">
        <v>3709</v>
      </c>
      <c r="D26">
        <v>12</v>
      </c>
      <c r="E26">
        <v>192</v>
      </c>
      <c r="F26">
        <v>0</v>
      </c>
      <c r="G26">
        <v>0</v>
      </c>
      <c r="H26">
        <v>2</v>
      </c>
      <c r="I26">
        <v>0</v>
      </c>
      <c r="J26">
        <v>1.19</v>
      </c>
      <c r="K26">
        <v>0</v>
      </c>
    </row>
    <row r="27" spans="1:12" x14ac:dyDescent="0.2">
      <c r="A27">
        <v>82245</v>
      </c>
      <c r="B27">
        <v>228</v>
      </c>
      <c r="C27" t="s">
        <v>3710</v>
      </c>
      <c r="D27">
        <v>8</v>
      </c>
      <c r="E27">
        <v>14</v>
      </c>
      <c r="F27">
        <v>618</v>
      </c>
      <c r="G27">
        <v>8652</v>
      </c>
      <c r="H27">
        <v>140</v>
      </c>
      <c r="I27">
        <v>4.4000000000000004</v>
      </c>
      <c r="J27">
        <v>1.79</v>
      </c>
      <c r="K27">
        <v>15487.08</v>
      </c>
    </row>
    <row r="28" spans="1:12" x14ac:dyDescent="0.2">
      <c r="A28">
        <v>69126</v>
      </c>
      <c r="B28">
        <v>236</v>
      </c>
      <c r="C28" t="s">
        <v>3711</v>
      </c>
      <c r="D28">
        <v>8</v>
      </c>
      <c r="E28">
        <v>48</v>
      </c>
      <c r="F28">
        <v>129</v>
      </c>
      <c r="G28">
        <v>6192</v>
      </c>
      <c r="H28">
        <v>48</v>
      </c>
      <c r="I28">
        <v>2.7</v>
      </c>
      <c r="J28">
        <v>0.9</v>
      </c>
      <c r="K28">
        <v>5572.8</v>
      </c>
    </row>
    <row r="29" spans="1:12" x14ac:dyDescent="0.2">
      <c r="A29">
        <v>69085</v>
      </c>
      <c r="B29">
        <v>240</v>
      </c>
      <c r="C29" t="s">
        <v>3712</v>
      </c>
      <c r="D29">
        <v>9</v>
      </c>
      <c r="E29">
        <v>40</v>
      </c>
      <c r="F29">
        <v>43</v>
      </c>
      <c r="G29">
        <v>1720</v>
      </c>
      <c r="H29">
        <v>48</v>
      </c>
      <c r="I29">
        <v>0.9</v>
      </c>
      <c r="J29">
        <v>1.89</v>
      </c>
      <c r="K29">
        <v>3250.8</v>
      </c>
    </row>
    <row r="30" spans="1:12" x14ac:dyDescent="0.2">
      <c r="A30">
        <v>57331</v>
      </c>
      <c r="B30">
        <v>241</v>
      </c>
      <c r="C30" t="s">
        <v>3713</v>
      </c>
      <c r="D30">
        <v>11</v>
      </c>
      <c r="E30">
        <v>234</v>
      </c>
      <c r="F30">
        <v>0</v>
      </c>
      <c r="G30">
        <v>0</v>
      </c>
      <c r="H30">
        <v>4</v>
      </c>
      <c r="I30">
        <v>0</v>
      </c>
      <c r="J30">
        <v>1</v>
      </c>
      <c r="K30">
        <v>0</v>
      </c>
    </row>
    <row r="31" spans="1:12" x14ac:dyDescent="0.2">
      <c r="A31">
        <v>84069</v>
      </c>
      <c r="B31">
        <v>242</v>
      </c>
      <c r="C31" t="s">
        <v>3714</v>
      </c>
      <c r="D31">
        <v>8</v>
      </c>
      <c r="E31">
        <v>8</v>
      </c>
      <c r="F31">
        <v>157</v>
      </c>
      <c r="G31">
        <v>1256</v>
      </c>
      <c r="H31">
        <v>80</v>
      </c>
      <c r="I31">
        <v>2</v>
      </c>
      <c r="J31">
        <v>2.59</v>
      </c>
      <c r="K31">
        <v>3253.04</v>
      </c>
    </row>
    <row r="32" spans="1:12" x14ac:dyDescent="0.2">
      <c r="A32">
        <v>57535</v>
      </c>
      <c r="B32">
        <v>243</v>
      </c>
      <c r="C32" t="s">
        <v>3715</v>
      </c>
      <c r="D32">
        <v>10</v>
      </c>
      <c r="E32">
        <v>12</v>
      </c>
      <c r="F32">
        <v>2</v>
      </c>
      <c r="G32">
        <v>23</v>
      </c>
      <c r="H32">
        <v>153</v>
      </c>
      <c r="I32">
        <v>0</v>
      </c>
      <c r="J32">
        <v>1.05</v>
      </c>
      <c r="K32">
        <v>24.15</v>
      </c>
    </row>
    <row r="33" spans="1:11" x14ac:dyDescent="0.2">
      <c r="A33">
        <v>40629</v>
      </c>
      <c r="B33">
        <v>249</v>
      </c>
      <c r="C33" t="s">
        <v>3716</v>
      </c>
      <c r="D33">
        <v>10</v>
      </c>
      <c r="E33">
        <v>1</v>
      </c>
      <c r="F33">
        <v>0</v>
      </c>
      <c r="G33">
        <v>0</v>
      </c>
      <c r="H33">
        <v>504</v>
      </c>
      <c r="I33">
        <v>0</v>
      </c>
      <c r="J33">
        <v>2.69</v>
      </c>
      <c r="K33">
        <v>0</v>
      </c>
    </row>
    <row r="34" spans="1:11" x14ac:dyDescent="0.2">
      <c r="A34">
        <v>40630</v>
      </c>
      <c r="B34">
        <v>250</v>
      </c>
      <c r="C34" t="s">
        <v>3717</v>
      </c>
      <c r="D34">
        <v>10</v>
      </c>
      <c r="E34">
        <v>1</v>
      </c>
      <c r="F34">
        <v>0</v>
      </c>
      <c r="G34">
        <v>0</v>
      </c>
      <c r="H34">
        <v>284</v>
      </c>
      <c r="I34">
        <v>0</v>
      </c>
      <c r="J34">
        <v>3.35</v>
      </c>
      <c r="K34">
        <v>0</v>
      </c>
    </row>
    <row r="35" spans="1:11" x14ac:dyDescent="0.2">
      <c r="B35">
        <v>254</v>
      </c>
      <c r="C35" t="s">
        <v>3718</v>
      </c>
      <c r="D35">
        <v>12</v>
      </c>
      <c r="E35">
        <v>9</v>
      </c>
      <c r="F35">
        <v>0</v>
      </c>
      <c r="G35">
        <v>0</v>
      </c>
      <c r="H35">
        <v>64</v>
      </c>
      <c r="I35">
        <v>0</v>
      </c>
      <c r="J35">
        <v>1.49</v>
      </c>
      <c r="K35">
        <v>0</v>
      </c>
    </row>
    <row r="36" spans="1:11" x14ac:dyDescent="0.2">
      <c r="A36">
        <v>48652</v>
      </c>
      <c r="B36">
        <v>256</v>
      </c>
      <c r="C36" t="s">
        <v>3719</v>
      </c>
      <c r="D36">
        <v>10</v>
      </c>
      <c r="E36">
        <v>8</v>
      </c>
      <c r="F36">
        <v>10</v>
      </c>
      <c r="G36">
        <v>80</v>
      </c>
      <c r="H36">
        <v>336</v>
      </c>
      <c r="I36">
        <v>0</v>
      </c>
      <c r="J36">
        <v>0.7</v>
      </c>
      <c r="K36">
        <v>56</v>
      </c>
    </row>
    <row r="37" spans="1:11" x14ac:dyDescent="0.2">
      <c r="A37">
        <v>48654</v>
      </c>
      <c r="B37">
        <v>258</v>
      </c>
      <c r="C37" t="s">
        <v>3720</v>
      </c>
      <c r="D37">
        <v>10</v>
      </c>
      <c r="E37">
        <v>8</v>
      </c>
      <c r="F37">
        <v>10</v>
      </c>
      <c r="G37">
        <v>80</v>
      </c>
      <c r="H37">
        <v>336</v>
      </c>
      <c r="I37">
        <v>0</v>
      </c>
      <c r="J37">
        <v>0.7</v>
      </c>
      <c r="K37">
        <v>56</v>
      </c>
    </row>
    <row r="38" spans="1:11" x14ac:dyDescent="0.2">
      <c r="A38">
        <v>73008</v>
      </c>
      <c r="B38">
        <v>259</v>
      </c>
      <c r="C38" t="s">
        <v>3721</v>
      </c>
      <c r="D38">
        <v>8</v>
      </c>
      <c r="E38">
        <v>32</v>
      </c>
      <c r="F38">
        <v>264</v>
      </c>
      <c r="G38">
        <v>8448</v>
      </c>
      <c r="H38">
        <v>80</v>
      </c>
      <c r="I38">
        <v>3.3</v>
      </c>
      <c r="J38">
        <v>2.89</v>
      </c>
      <c r="K38">
        <v>24414.720000000001</v>
      </c>
    </row>
    <row r="39" spans="1:11" x14ac:dyDescent="0.2">
      <c r="A39">
        <v>57536</v>
      </c>
      <c r="B39">
        <v>260</v>
      </c>
      <c r="C39" t="s">
        <v>3722</v>
      </c>
      <c r="D39">
        <v>6</v>
      </c>
      <c r="E39">
        <v>96</v>
      </c>
      <c r="F39">
        <v>1</v>
      </c>
      <c r="G39">
        <v>80</v>
      </c>
      <c r="H39">
        <v>4</v>
      </c>
      <c r="I39">
        <v>0.2</v>
      </c>
      <c r="J39">
        <v>2.59</v>
      </c>
      <c r="K39">
        <v>207.2</v>
      </c>
    </row>
    <row r="40" spans="1:11" x14ac:dyDescent="0.2">
      <c r="A40">
        <v>84162</v>
      </c>
      <c r="B40">
        <v>270</v>
      </c>
      <c r="C40" t="s">
        <v>3723</v>
      </c>
      <c r="D40">
        <v>8</v>
      </c>
      <c r="E40">
        <v>8</v>
      </c>
      <c r="F40">
        <v>281</v>
      </c>
      <c r="G40">
        <v>2248</v>
      </c>
      <c r="H40">
        <v>90</v>
      </c>
      <c r="I40">
        <v>3.1</v>
      </c>
      <c r="J40">
        <v>1.69</v>
      </c>
      <c r="K40">
        <v>3799.12</v>
      </c>
    </row>
    <row r="41" spans="1:11" x14ac:dyDescent="0.2">
      <c r="A41">
        <v>84193</v>
      </c>
      <c r="B41">
        <v>271</v>
      </c>
      <c r="C41" t="s">
        <v>3724</v>
      </c>
      <c r="D41">
        <v>8</v>
      </c>
      <c r="E41">
        <v>8</v>
      </c>
      <c r="F41">
        <v>288</v>
      </c>
      <c r="G41">
        <v>2304</v>
      </c>
      <c r="H41">
        <v>99</v>
      </c>
      <c r="I41">
        <v>2.9</v>
      </c>
      <c r="J41">
        <v>1.49</v>
      </c>
      <c r="K41">
        <v>3432.96</v>
      </c>
    </row>
    <row r="42" spans="1:11" x14ac:dyDescent="0.2">
      <c r="A42">
        <v>0</v>
      </c>
      <c r="B42">
        <v>278</v>
      </c>
      <c r="C42" t="s">
        <v>3725</v>
      </c>
      <c r="D42">
        <v>12</v>
      </c>
      <c r="E42">
        <v>10</v>
      </c>
      <c r="F42">
        <v>0</v>
      </c>
      <c r="G42">
        <v>0</v>
      </c>
      <c r="H42">
        <v>48</v>
      </c>
      <c r="I42">
        <v>0</v>
      </c>
      <c r="J42">
        <v>2.95</v>
      </c>
      <c r="K42">
        <v>0</v>
      </c>
    </row>
    <row r="43" spans="1:11" x14ac:dyDescent="0.2">
      <c r="A43">
        <v>52640</v>
      </c>
      <c r="B43">
        <v>282</v>
      </c>
      <c r="C43" t="s">
        <v>3726</v>
      </c>
      <c r="D43">
        <v>6</v>
      </c>
      <c r="E43">
        <v>228</v>
      </c>
      <c r="F43">
        <v>80</v>
      </c>
      <c r="G43">
        <v>18236</v>
      </c>
      <c r="H43">
        <v>4</v>
      </c>
      <c r="I43">
        <v>20</v>
      </c>
      <c r="J43">
        <v>1.75</v>
      </c>
      <c r="K43">
        <v>31913</v>
      </c>
    </row>
    <row r="44" spans="1:11" x14ac:dyDescent="0.2">
      <c r="A44">
        <v>70034</v>
      </c>
      <c r="B44">
        <v>284</v>
      </c>
      <c r="C44" t="s">
        <v>3727</v>
      </c>
      <c r="D44">
        <v>8</v>
      </c>
      <c r="E44">
        <v>3</v>
      </c>
      <c r="F44">
        <v>971</v>
      </c>
      <c r="G44">
        <v>2913</v>
      </c>
      <c r="H44">
        <v>126</v>
      </c>
      <c r="I44">
        <v>7.7</v>
      </c>
      <c r="J44">
        <v>2.72</v>
      </c>
      <c r="K44">
        <v>7923.36</v>
      </c>
    </row>
    <row r="45" spans="1:11" x14ac:dyDescent="0.2">
      <c r="A45">
        <v>70038</v>
      </c>
      <c r="B45">
        <v>285</v>
      </c>
      <c r="C45" t="s">
        <v>3728</v>
      </c>
      <c r="D45">
        <v>8</v>
      </c>
      <c r="E45">
        <v>3</v>
      </c>
      <c r="F45">
        <v>461</v>
      </c>
      <c r="G45">
        <v>1383</v>
      </c>
      <c r="H45">
        <v>84</v>
      </c>
      <c r="I45">
        <v>5.5</v>
      </c>
      <c r="J45">
        <v>6.55</v>
      </c>
      <c r="K45">
        <v>9058.65</v>
      </c>
    </row>
    <row r="46" spans="1:11" x14ac:dyDescent="0.2">
      <c r="A46">
        <v>70027</v>
      </c>
      <c r="B46">
        <v>286</v>
      </c>
      <c r="C46" t="s">
        <v>3729</v>
      </c>
      <c r="D46">
        <v>8</v>
      </c>
      <c r="E46">
        <v>3</v>
      </c>
      <c r="F46">
        <v>342</v>
      </c>
      <c r="G46">
        <v>1026</v>
      </c>
      <c r="H46">
        <v>56</v>
      </c>
      <c r="I46">
        <v>6.1</v>
      </c>
      <c r="J46">
        <v>9.39</v>
      </c>
      <c r="K46">
        <v>9634.14</v>
      </c>
    </row>
    <row r="47" spans="1:11" x14ac:dyDescent="0.2">
      <c r="A47">
        <v>70030</v>
      </c>
      <c r="B47">
        <v>287</v>
      </c>
      <c r="C47" t="s">
        <v>3730</v>
      </c>
      <c r="D47">
        <v>8</v>
      </c>
      <c r="E47">
        <v>3</v>
      </c>
      <c r="F47">
        <v>821</v>
      </c>
      <c r="G47">
        <v>2463</v>
      </c>
      <c r="H47">
        <v>63</v>
      </c>
      <c r="I47">
        <v>13</v>
      </c>
      <c r="J47">
        <v>9.69</v>
      </c>
      <c r="K47">
        <v>23866.47</v>
      </c>
    </row>
    <row r="48" spans="1:11" x14ac:dyDescent="0.2">
      <c r="A48">
        <v>66052</v>
      </c>
      <c r="B48">
        <v>291</v>
      </c>
      <c r="C48" t="s">
        <v>3731</v>
      </c>
      <c r="D48">
        <v>8</v>
      </c>
      <c r="E48">
        <v>9</v>
      </c>
      <c r="F48">
        <v>323</v>
      </c>
      <c r="G48">
        <v>2907</v>
      </c>
      <c r="H48">
        <v>252</v>
      </c>
      <c r="I48">
        <v>1.3</v>
      </c>
      <c r="J48">
        <v>1.59</v>
      </c>
      <c r="K48">
        <v>4622.13</v>
      </c>
    </row>
    <row r="49" spans="1:11" x14ac:dyDescent="0.2">
      <c r="A49">
        <v>66047</v>
      </c>
      <c r="B49">
        <v>292</v>
      </c>
      <c r="C49" t="s">
        <v>3732</v>
      </c>
      <c r="D49">
        <v>8</v>
      </c>
      <c r="E49">
        <v>9</v>
      </c>
      <c r="F49">
        <v>170</v>
      </c>
      <c r="G49">
        <v>1530</v>
      </c>
      <c r="H49">
        <v>252</v>
      </c>
      <c r="I49">
        <v>0.7</v>
      </c>
      <c r="J49">
        <v>1.1499999999999999</v>
      </c>
      <c r="K49">
        <v>1759.5</v>
      </c>
    </row>
    <row r="50" spans="1:11" x14ac:dyDescent="0.2">
      <c r="B50">
        <v>296</v>
      </c>
      <c r="C50" t="s">
        <v>3733</v>
      </c>
      <c r="D50">
        <v>7</v>
      </c>
      <c r="E50">
        <v>1</v>
      </c>
      <c r="F50">
        <v>0</v>
      </c>
      <c r="G50">
        <v>0</v>
      </c>
      <c r="H50">
        <v>1</v>
      </c>
      <c r="I50">
        <v>0</v>
      </c>
      <c r="J50">
        <v>0.01</v>
      </c>
      <c r="K50">
        <v>0</v>
      </c>
    </row>
    <row r="51" spans="1:11" x14ac:dyDescent="0.2">
      <c r="B51">
        <v>297</v>
      </c>
      <c r="C51" t="s">
        <v>3734</v>
      </c>
      <c r="D51">
        <v>7</v>
      </c>
      <c r="E51">
        <v>1</v>
      </c>
      <c r="F51">
        <v>0</v>
      </c>
      <c r="G51">
        <v>0</v>
      </c>
      <c r="H51">
        <v>1</v>
      </c>
      <c r="I51">
        <v>0</v>
      </c>
      <c r="J51">
        <v>0.01</v>
      </c>
      <c r="K51">
        <v>0</v>
      </c>
    </row>
    <row r="52" spans="1:11" x14ac:dyDescent="0.2">
      <c r="B52">
        <v>298</v>
      </c>
      <c r="C52" t="s">
        <v>3735</v>
      </c>
      <c r="D52">
        <v>7</v>
      </c>
      <c r="E52">
        <v>1</v>
      </c>
      <c r="F52">
        <v>0</v>
      </c>
      <c r="G52">
        <v>0</v>
      </c>
      <c r="H52">
        <v>1</v>
      </c>
      <c r="I52">
        <v>0</v>
      </c>
      <c r="J52">
        <v>0.01</v>
      </c>
      <c r="K52">
        <v>0</v>
      </c>
    </row>
    <row r="53" spans="1:11" x14ac:dyDescent="0.2">
      <c r="B53">
        <v>299</v>
      </c>
      <c r="C53" t="s">
        <v>3736</v>
      </c>
      <c r="D53">
        <v>7</v>
      </c>
      <c r="E53">
        <v>1</v>
      </c>
      <c r="F53">
        <v>0</v>
      </c>
      <c r="G53">
        <v>0</v>
      </c>
      <c r="H53">
        <v>1</v>
      </c>
      <c r="I53">
        <v>0</v>
      </c>
      <c r="J53">
        <v>0.01</v>
      </c>
      <c r="K53">
        <v>0</v>
      </c>
    </row>
    <row r="54" spans="1:11" x14ac:dyDescent="0.2">
      <c r="A54">
        <v>81076</v>
      </c>
      <c r="B54">
        <v>304</v>
      </c>
      <c r="C54" t="s">
        <v>3737</v>
      </c>
      <c r="D54">
        <v>8</v>
      </c>
      <c r="E54">
        <v>6</v>
      </c>
      <c r="F54">
        <v>890</v>
      </c>
      <c r="G54">
        <v>5337</v>
      </c>
      <c r="H54">
        <v>150</v>
      </c>
      <c r="I54">
        <v>5.9</v>
      </c>
      <c r="J54">
        <v>1.2</v>
      </c>
      <c r="K54">
        <v>6404.4</v>
      </c>
    </row>
    <row r="55" spans="1:11" x14ac:dyDescent="0.2">
      <c r="A55">
        <v>80179</v>
      </c>
      <c r="B55">
        <v>305</v>
      </c>
      <c r="C55" t="s">
        <v>3738</v>
      </c>
      <c r="D55">
        <v>8</v>
      </c>
      <c r="E55">
        <v>12</v>
      </c>
      <c r="F55">
        <v>375</v>
      </c>
      <c r="G55">
        <v>4500</v>
      </c>
      <c r="H55">
        <v>200</v>
      </c>
      <c r="I55">
        <v>1.9</v>
      </c>
      <c r="J55">
        <v>0.49</v>
      </c>
      <c r="K55">
        <v>2205</v>
      </c>
    </row>
    <row r="56" spans="1:11" x14ac:dyDescent="0.2">
      <c r="A56">
        <v>81032</v>
      </c>
      <c r="B56">
        <v>306</v>
      </c>
      <c r="C56" t="s">
        <v>3739</v>
      </c>
      <c r="D56">
        <v>8</v>
      </c>
      <c r="E56">
        <v>5</v>
      </c>
      <c r="F56">
        <v>1040</v>
      </c>
      <c r="G56">
        <v>5200</v>
      </c>
      <c r="H56">
        <v>120</v>
      </c>
      <c r="I56">
        <v>8.6999999999999993</v>
      </c>
      <c r="J56">
        <v>1.35</v>
      </c>
      <c r="K56">
        <v>7020</v>
      </c>
    </row>
    <row r="57" spans="1:11" x14ac:dyDescent="0.2">
      <c r="A57">
        <v>80087</v>
      </c>
      <c r="B57">
        <v>309</v>
      </c>
      <c r="C57" t="s">
        <v>3740</v>
      </c>
      <c r="D57">
        <v>8</v>
      </c>
      <c r="E57">
        <v>6</v>
      </c>
      <c r="F57">
        <v>431</v>
      </c>
      <c r="G57">
        <v>2584</v>
      </c>
      <c r="H57">
        <v>108</v>
      </c>
      <c r="I57">
        <v>4</v>
      </c>
      <c r="J57">
        <v>1.99</v>
      </c>
      <c r="K57">
        <v>5142.16</v>
      </c>
    </row>
    <row r="58" spans="1:11" x14ac:dyDescent="0.2">
      <c r="A58">
        <v>81105</v>
      </c>
      <c r="B58">
        <v>318</v>
      </c>
      <c r="C58" t="s">
        <v>3741</v>
      </c>
      <c r="D58">
        <v>8</v>
      </c>
      <c r="E58">
        <v>40</v>
      </c>
      <c r="F58">
        <v>892</v>
      </c>
      <c r="G58">
        <v>35680</v>
      </c>
      <c r="H58">
        <v>77</v>
      </c>
      <c r="I58">
        <v>11.6</v>
      </c>
      <c r="J58">
        <v>1.73</v>
      </c>
      <c r="K58">
        <v>61726.400000000001</v>
      </c>
    </row>
    <row r="59" spans="1:11" x14ac:dyDescent="0.2">
      <c r="A59">
        <v>81109</v>
      </c>
      <c r="B59">
        <v>320</v>
      </c>
      <c r="C59" t="s">
        <v>3742</v>
      </c>
      <c r="D59">
        <v>8</v>
      </c>
      <c r="E59">
        <v>20</v>
      </c>
      <c r="F59">
        <v>324</v>
      </c>
      <c r="G59">
        <v>6480</v>
      </c>
      <c r="H59">
        <v>78</v>
      </c>
      <c r="I59">
        <v>4.2</v>
      </c>
      <c r="J59">
        <v>0.75</v>
      </c>
      <c r="K59">
        <v>4860</v>
      </c>
    </row>
    <row r="60" spans="1:11" x14ac:dyDescent="0.2">
      <c r="A60">
        <v>81043</v>
      </c>
      <c r="B60">
        <v>325</v>
      </c>
      <c r="C60" t="s">
        <v>3743</v>
      </c>
      <c r="D60">
        <v>8</v>
      </c>
      <c r="E60">
        <v>6</v>
      </c>
      <c r="F60">
        <v>673</v>
      </c>
      <c r="G60">
        <v>4038</v>
      </c>
      <c r="H60">
        <v>112</v>
      </c>
      <c r="I60">
        <v>6</v>
      </c>
      <c r="J60">
        <v>1.69</v>
      </c>
      <c r="K60">
        <v>6824.22</v>
      </c>
    </row>
    <row r="61" spans="1:11" x14ac:dyDescent="0.2">
      <c r="A61">
        <v>81008</v>
      </c>
      <c r="B61">
        <v>326</v>
      </c>
      <c r="C61" t="s">
        <v>3744</v>
      </c>
      <c r="D61">
        <v>8</v>
      </c>
      <c r="E61">
        <v>4</v>
      </c>
      <c r="F61">
        <v>429</v>
      </c>
      <c r="G61">
        <v>1716</v>
      </c>
      <c r="H61">
        <v>160</v>
      </c>
      <c r="I61">
        <v>2.7</v>
      </c>
      <c r="J61">
        <v>1.19</v>
      </c>
      <c r="K61">
        <v>2042.04</v>
      </c>
    </row>
    <row r="62" spans="1:11" x14ac:dyDescent="0.2">
      <c r="A62">
        <v>80230</v>
      </c>
      <c r="B62">
        <v>327</v>
      </c>
      <c r="C62" t="s">
        <v>3745</v>
      </c>
      <c r="D62">
        <v>8</v>
      </c>
      <c r="E62">
        <v>4</v>
      </c>
      <c r="F62">
        <v>1581</v>
      </c>
      <c r="G62">
        <v>6324</v>
      </c>
      <c r="H62">
        <v>216</v>
      </c>
      <c r="I62">
        <v>7.3</v>
      </c>
      <c r="J62">
        <v>1.01</v>
      </c>
      <c r="K62">
        <v>6387.24</v>
      </c>
    </row>
    <row r="63" spans="1:11" x14ac:dyDescent="0.2">
      <c r="A63">
        <v>81039</v>
      </c>
      <c r="B63">
        <v>328</v>
      </c>
      <c r="C63" t="s">
        <v>3746</v>
      </c>
      <c r="D63">
        <v>8</v>
      </c>
      <c r="E63">
        <v>5</v>
      </c>
      <c r="F63">
        <v>713</v>
      </c>
      <c r="G63">
        <v>3565</v>
      </c>
      <c r="H63">
        <v>120</v>
      </c>
      <c r="I63">
        <v>5.9</v>
      </c>
      <c r="J63">
        <v>1.35</v>
      </c>
      <c r="K63">
        <v>4812.75</v>
      </c>
    </row>
    <row r="64" spans="1:11" x14ac:dyDescent="0.2">
      <c r="B64">
        <v>335</v>
      </c>
      <c r="C64" t="s">
        <v>3747</v>
      </c>
      <c r="D64">
        <v>10</v>
      </c>
      <c r="E64">
        <v>8</v>
      </c>
      <c r="F64">
        <v>0</v>
      </c>
      <c r="G64">
        <v>0</v>
      </c>
      <c r="H64">
        <v>160</v>
      </c>
      <c r="I64">
        <v>0</v>
      </c>
      <c r="J64">
        <v>0.69</v>
      </c>
      <c r="K64">
        <v>0</v>
      </c>
    </row>
    <row r="65" spans="1:11" x14ac:dyDescent="0.2">
      <c r="A65">
        <v>80144</v>
      </c>
      <c r="B65">
        <v>336</v>
      </c>
      <c r="C65" t="s">
        <v>3748</v>
      </c>
      <c r="D65">
        <v>8</v>
      </c>
      <c r="E65">
        <v>12</v>
      </c>
      <c r="F65">
        <v>370</v>
      </c>
      <c r="G65">
        <v>4440</v>
      </c>
      <c r="H65">
        <v>184</v>
      </c>
      <c r="I65">
        <v>2</v>
      </c>
      <c r="J65">
        <v>0.55000000000000004</v>
      </c>
      <c r="K65">
        <v>2442</v>
      </c>
    </row>
    <row r="66" spans="1:11" x14ac:dyDescent="0.2">
      <c r="A66">
        <v>81038</v>
      </c>
      <c r="B66">
        <v>342</v>
      </c>
      <c r="C66" t="s">
        <v>3749</v>
      </c>
      <c r="D66">
        <v>8</v>
      </c>
      <c r="E66">
        <v>8</v>
      </c>
      <c r="F66">
        <v>194</v>
      </c>
      <c r="G66">
        <v>1548</v>
      </c>
      <c r="H66">
        <v>112</v>
      </c>
      <c r="I66">
        <v>1.7</v>
      </c>
      <c r="J66">
        <v>1.35</v>
      </c>
      <c r="K66">
        <v>2089.8000000000002</v>
      </c>
    </row>
    <row r="67" spans="1:11" x14ac:dyDescent="0.2">
      <c r="A67">
        <v>80226</v>
      </c>
      <c r="B67">
        <v>362</v>
      </c>
      <c r="C67" t="s">
        <v>3750</v>
      </c>
      <c r="D67">
        <v>8</v>
      </c>
      <c r="E67">
        <v>4</v>
      </c>
      <c r="F67">
        <v>859</v>
      </c>
      <c r="G67">
        <v>3434</v>
      </c>
      <c r="H67">
        <v>182</v>
      </c>
      <c r="I67">
        <v>4.7</v>
      </c>
      <c r="J67">
        <v>1.65</v>
      </c>
      <c r="K67">
        <v>5666.1</v>
      </c>
    </row>
    <row r="68" spans="1:11" x14ac:dyDescent="0.2">
      <c r="A68">
        <v>80234</v>
      </c>
      <c r="B68">
        <v>367</v>
      </c>
      <c r="C68" t="s">
        <v>3751</v>
      </c>
      <c r="D68">
        <v>8</v>
      </c>
      <c r="E68">
        <v>4</v>
      </c>
      <c r="F68">
        <v>712</v>
      </c>
      <c r="G68">
        <v>2848</v>
      </c>
      <c r="H68">
        <v>182</v>
      </c>
      <c r="I68">
        <v>3.9</v>
      </c>
      <c r="J68">
        <v>1.65</v>
      </c>
      <c r="K68">
        <v>4699.2</v>
      </c>
    </row>
    <row r="69" spans="1:11" x14ac:dyDescent="0.2">
      <c r="A69">
        <v>82085</v>
      </c>
      <c r="B69">
        <v>370</v>
      </c>
      <c r="C69" t="s">
        <v>3752</v>
      </c>
      <c r="D69">
        <v>8</v>
      </c>
      <c r="E69">
        <v>30</v>
      </c>
      <c r="F69">
        <v>184</v>
      </c>
      <c r="G69">
        <v>5520</v>
      </c>
      <c r="H69">
        <v>110</v>
      </c>
      <c r="I69">
        <v>1.7</v>
      </c>
      <c r="J69">
        <v>1.89</v>
      </c>
      <c r="K69">
        <v>10432.799999999999</v>
      </c>
    </row>
    <row r="70" spans="1:11" x14ac:dyDescent="0.2">
      <c r="A70">
        <v>80102</v>
      </c>
      <c r="B70">
        <v>372</v>
      </c>
      <c r="C70" t="s">
        <v>3753</v>
      </c>
      <c r="D70">
        <v>8</v>
      </c>
      <c r="E70">
        <v>6</v>
      </c>
      <c r="F70">
        <v>702</v>
      </c>
      <c r="G70">
        <v>4212</v>
      </c>
      <c r="H70">
        <v>180</v>
      </c>
      <c r="I70">
        <v>3.9</v>
      </c>
      <c r="J70">
        <v>0.99</v>
      </c>
      <c r="K70">
        <v>4169.88</v>
      </c>
    </row>
    <row r="71" spans="1:11" x14ac:dyDescent="0.2">
      <c r="A71">
        <v>81094</v>
      </c>
      <c r="B71">
        <v>379</v>
      </c>
      <c r="C71" t="s">
        <v>3754</v>
      </c>
      <c r="D71">
        <v>8</v>
      </c>
      <c r="E71">
        <v>20</v>
      </c>
      <c r="F71">
        <v>53</v>
      </c>
      <c r="G71">
        <v>1060</v>
      </c>
      <c r="H71">
        <v>72</v>
      </c>
      <c r="I71">
        <v>0.7</v>
      </c>
      <c r="J71">
        <v>3.46</v>
      </c>
      <c r="K71">
        <v>3667.6</v>
      </c>
    </row>
    <row r="72" spans="1:11" x14ac:dyDescent="0.2">
      <c r="A72">
        <v>81102</v>
      </c>
      <c r="B72">
        <v>383</v>
      </c>
      <c r="C72" t="s">
        <v>3755</v>
      </c>
      <c r="D72">
        <v>8</v>
      </c>
      <c r="E72">
        <v>40</v>
      </c>
      <c r="F72">
        <v>370</v>
      </c>
      <c r="G72">
        <v>14800</v>
      </c>
      <c r="H72">
        <v>99</v>
      </c>
      <c r="I72">
        <v>3.7</v>
      </c>
      <c r="J72">
        <v>1.79</v>
      </c>
      <c r="K72">
        <v>26492</v>
      </c>
    </row>
    <row r="73" spans="1:11" x14ac:dyDescent="0.2">
      <c r="B73">
        <v>389</v>
      </c>
      <c r="C73" t="s">
        <v>3756</v>
      </c>
      <c r="D73">
        <v>11</v>
      </c>
      <c r="E73">
        <v>40</v>
      </c>
      <c r="F73">
        <v>0</v>
      </c>
      <c r="G73">
        <v>0</v>
      </c>
      <c r="H73">
        <v>80</v>
      </c>
      <c r="I73">
        <v>0</v>
      </c>
      <c r="J73">
        <v>1.79</v>
      </c>
      <c r="K73">
        <v>0</v>
      </c>
    </row>
    <row r="74" spans="1:11" x14ac:dyDescent="0.2">
      <c r="A74">
        <v>81206</v>
      </c>
      <c r="B74">
        <v>401</v>
      </c>
      <c r="C74" t="s">
        <v>3757</v>
      </c>
      <c r="D74">
        <v>8</v>
      </c>
      <c r="E74">
        <v>18</v>
      </c>
      <c r="F74">
        <v>248</v>
      </c>
      <c r="G74">
        <v>4464</v>
      </c>
      <c r="H74">
        <v>110</v>
      </c>
      <c r="I74">
        <v>2.2999999999999998</v>
      </c>
      <c r="J74">
        <v>1.1299999999999999</v>
      </c>
      <c r="K74">
        <v>5044.32</v>
      </c>
    </row>
    <row r="75" spans="1:11" x14ac:dyDescent="0.2">
      <c r="A75">
        <v>81230</v>
      </c>
      <c r="B75">
        <v>402</v>
      </c>
      <c r="C75" t="s">
        <v>3758</v>
      </c>
      <c r="D75">
        <v>8</v>
      </c>
      <c r="E75">
        <v>15</v>
      </c>
      <c r="F75">
        <v>-16</v>
      </c>
      <c r="G75">
        <v>-240</v>
      </c>
      <c r="H75">
        <v>70</v>
      </c>
      <c r="I75">
        <v>-0.2</v>
      </c>
      <c r="J75">
        <v>1.59</v>
      </c>
      <c r="K75">
        <v>-381.6</v>
      </c>
    </row>
    <row r="76" spans="1:11" x14ac:dyDescent="0.2">
      <c r="B76">
        <v>403</v>
      </c>
      <c r="C76" t="s">
        <v>3759</v>
      </c>
      <c r="D76">
        <v>12</v>
      </c>
      <c r="E76">
        <v>6</v>
      </c>
      <c r="F76">
        <v>0</v>
      </c>
      <c r="G76">
        <v>0</v>
      </c>
      <c r="H76">
        <v>72</v>
      </c>
      <c r="I76">
        <v>0</v>
      </c>
      <c r="J76">
        <v>5.59</v>
      </c>
      <c r="K76">
        <v>0</v>
      </c>
    </row>
    <row r="77" spans="1:11" x14ac:dyDescent="0.2">
      <c r="A77">
        <v>84094</v>
      </c>
      <c r="B77">
        <v>404</v>
      </c>
      <c r="C77" t="s">
        <v>3760</v>
      </c>
      <c r="D77">
        <v>8</v>
      </c>
      <c r="E77">
        <v>12</v>
      </c>
      <c r="F77">
        <v>237</v>
      </c>
      <c r="G77">
        <v>2844</v>
      </c>
      <c r="H77">
        <v>48</v>
      </c>
      <c r="I77">
        <v>4.9000000000000004</v>
      </c>
      <c r="J77">
        <v>1.59</v>
      </c>
      <c r="K77">
        <v>4521.96</v>
      </c>
    </row>
    <row r="78" spans="1:11" x14ac:dyDescent="0.2">
      <c r="A78">
        <v>82017</v>
      </c>
      <c r="B78">
        <v>412</v>
      </c>
      <c r="C78" t="s">
        <v>3761</v>
      </c>
      <c r="D78">
        <v>8</v>
      </c>
      <c r="E78">
        <v>15</v>
      </c>
      <c r="F78">
        <v>903</v>
      </c>
      <c r="G78">
        <v>13545</v>
      </c>
      <c r="H78">
        <v>154</v>
      </c>
      <c r="I78">
        <v>5.9</v>
      </c>
      <c r="J78">
        <v>1.52</v>
      </c>
      <c r="K78">
        <v>20588.400000000001</v>
      </c>
    </row>
    <row r="79" spans="1:11" x14ac:dyDescent="0.2">
      <c r="A79">
        <v>81237</v>
      </c>
      <c r="B79">
        <v>416</v>
      </c>
      <c r="C79" t="s">
        <v>3762</v>
      </c>
      <c r="D79">
        <v>8</v>
      </c>
      <c r="E79">
        <v>16</v>
      </c>
      <c r="F79">
        <v>209</v>
      </c>
      <c r="G79">
        <v>3344</v>
      </c>
      <c r="H79">
        <v>130</v>
      </c>
      <c r="I79">
        <v>1.6</v>
      </c>
      <c r="J79">
        <v>1.49</v>
      </c>
      <c r="K79">
        <v>4982.5600000000004</v>
      </c>
    </row>
    <row r="80" spans="1:11" x14ac:dyDescent="0.2">
      <c r="A80">
        <v>82065</v>
      </c>
      <c r="B80">
        <v>417</v>
      </c>
      <c r="C80" t="s">
        <v>3763</v>
      </c>
      <c r="D80">
        <v>8</v>
      </c>
      <c r="E80">
        <v>10</v>
      </c>
      <c r="F80">
        <v>33</v>
      </c>
      <c r="G80">
        <v>330</v>
      </c>
      <c r="H80">
        <v>84</v>
      </c>
      <c r="I80">
        <v>0.4</v>
      </c>
      <c r="J80">
        <v>2.99</v>
      </c>
      <c r="K80">
        <v>986.7</v>
      </c>
    </row>
    <row r="81" spans="1:11" x14ac:dyDescent="0.2">
      <c r="A81">
        <v>82120</v>
      </c>
      <c r="B81">
        <v>419</v>
      </c>
      <c r="C81" t="s">
        <v>3764</v>
      </c>
      <c r="D81">
        <v>8</v>
      </c>
      <c r="E81">
        <v>10</v>
      </c>
      <c r="F81">
        <v>506</v>
      </c>
      <c r="G81">
        <v>5057</v>
      </c>
      <c r="H81">
        <v>80</v>
      </c>
      <c r="I81">
        <v>6.3</v>
      </c>
      <c r="J81">
        <v>1.75</v>
      </c>
      <c r="K81">
        <v>8849.75</v>
      </c>
    </row>
    <row r="82" spans="1:11" x14ac:dyDescent="0.2">
      <c r="B82">
        <v>421</v>
      </c>
      <c r="C82" t="s">
        <v>3765</v>
      </c>
      <c r="D82">
        <v>6</v>
      </c>
      <c r="E82">
        <v>18</v>
      </c>
      <c r="F82">
        <v>0</v>
      </c>
      <c r="G82">
        <v>0</v>
      </c>
      <c r="H82">
        <v>96</v>
      </c>
      <c r="I82">
        <v>0</v>
      </c>
      <c r="J82">
        <v>1.79</v>
      </c>
      <c r="K82">
        <v>0</v>
      </c>
    </row>
    <row r="83" spans="1:11" x14ac:dyDescent="0.2">
      <c r="A83">
        <v>69245</v>
      </c>
      <c r="B83">
        <v>423</v>
      </c>
      <c r="C83" t="s">
        <v>3766</v>
      </c>
      <c r="D83">
        <v>8</v>
      </c>
      <c r="E83">
        <v>6</v>
      </c>
      <c r="F83">
        <v>482</v>
      </c>
      <c r="G83">
        <v>2892</v>
      </c>
      <c r="H83">
        <v>95</v>
      </c>
      <c r="I83">
        <v>5.0999999999999996</v>
      </c>
      <c r="J83">
        <v>1.95</v>
      </c>
      <c r="K83">
        <v>5639.4</v>
      </c>
    </row>
    <row r="84" spans="1:11" x14ac:dyDescent="0.2">
      <c r="B84">
        <v>426</v>
      </c>
      <c r="C84" t="s">
        <v>3767</v>
      </c>
      <c r="D84">
        <v>12</v>
      </c>
      <c r="E84">
        <v>20</v>
      </c>
      <c r="F84">
        <v>-38</v>
      </c>
      <c r="G84">
        <v>-758</v>
      </c>
      <c r="H84">
        <v>72</v>
      </c>
      <c r="I84">
        <v>-0.5</v>
      </c>
      <c r="J84">
        <v>0.59</v>
      </c>
      <c r="K84">
        <v>-447.22</v>
      </c>
    </row>
    <row r="85" spans="1:11" x14ac:dyDescent="0.2">
      <c r="A85">
        <v>83129</v>
      </c>
      <c r="B85">
        <v>426</v>
      </c>
      <c r="C85" t="s">
        <v>3767</v>
      </c>
      <c r="D85">
        <v>8</v>
      </c>
      <c r="E85">
        <v>22</v>
      </c>
      <c r="F85">
        <v>360</v>
      </c>
      <c r="G85">
        <v>7920</v>
      </c>
      <c r="H85">
        <v>66</v>
      </c>
      <c r="I85">
        <v>5.5</v>
      </c>
      <c r="J85">
        <v>0.59</v>
      </c>
      <c r="K85">
        <v>4672.8</v>
      </c>
    </row>
    <row r="86" spans="1:11" x14ac:dyDescent="0.2">
      <c r="A86">
        <v>83140</v>
      </c>
      <c r="B86">
        <v>427</v>
      </c>
      <c r="C86" t="s">
        <v>3768</v>
      </c>
      <c r="D86">
        <v>8</v>
      </c>
      <c r="E86">
        <v>22</v>
      </c>
      <c r="F86">
        <v>449</v>
      </c>
      <c r="G86">
        <v>9878</v>
      </c>
      <c r="H86">
        <v>90</v>
      </c>
      <c r="I86">
        <v>5</v>
      </c>
      <c r="J86">
        <v>0.59</v>
      </c>
      <c r="K86">
        <v>5828.02</v>
      </c>
    </row>
    <row r="87" spans="1:11" x14ac:dyDescent="0.2">
      <c r="A87">
        <v>0</v>
      </c>
      <c r="B87">
        <v>427</v>
      </c>
      <c r="C87" t="s">
        <v>3768</v>
      </c>
      <c r="D87">
        <v>12</v>
      </c>
      <c r="E87">
        <v>30</v>
      </c>
      <c r="F87">
        <v>-2</v>
      </c>
      <c r="G87">
        <v>-60</v>
      </c>
      <c r="H87">
        <v>90</v>
      </c>
      <c r="I87">
        <v>0</v>
      </c>
      <c r="J87">
        <v>0.59</v>
      </c>
      <c r="K87">
        <v>-35.4</v>
      </c>
    </row>
    <row r="88" spans="1:11" x14ac:dyDescent="0.2">
      <c r="A88">
        <v>81142</v>
      </c>
      <c r="B88">
        <v>430</v>
      </c>
      <c r="C88" t="s">
        <v>3769</v>
      </c>
      <c r="D88">
        <v>8</v>
      </c>
      <c r="E88">
        <v>20</v>
      </c>
      <c r="F88">
        <v>198</v>
      </c>
      <c r="G88">
        <v>3960</v>
      </c>
      <c r="H88">
        <v>64</v>
      </c>
      <c r="I88">
        <v>3.1</v>
      </c>
      <c r="J88">
        <v>2.0499999999999998</v>
      </c>
      <c r="K88">
        <v>8118</v>
      </c>
    </row>
    <row r="89" spans="1:11" x14ac:dyDescent="0.2">
      <c r="A89">
        <v>81239</v>
      </c>
      <c r="B89">
        <v>431</v>
      </c>
      <c r="C89" t="s">
        <v>3770</v>
      </c>
      <c r="D89">
        <v>8</v>
      </c>
      <c r="E89">
        <v>14</v>
      </c>
      <c r="F89">
        <v>533</v>
      </c>
      <c r="G89">
        <v>7462</v>
      </c>
      <c r="H89">
        <v>48</v>
      </c>
      <c r="I89">
        <v>11.1</v>
      </c>
      <c r="J89">
        <v>2.25</v>
      </c>
      <c r="K89">
        <v>16789.5</v>
      </c>
    </row>
    <row r="90" spans="1:11" x14ac:dyDescent="0.2">
      <c r="A90">
        <v>82153</v>
      </c>
      <c r="B90">
        <v>432</v>
      </c>
      <c r="C90" t="s">
        <v>3771</v>
      </c>
      <c r="D90">
        <v>8</v>
      </c>
      <c r="E90">
        <v>8</v>
      </c>
      <c r="F90">
        <v>540</v>
      </c>
      <c r="G90">
        <v>4320</v>
      </c>
      <c r="H90">
        <v>91</v>
      </c>
      <c r="I90">
        <v>5.9</v>
      </c>
      <c r="J90">
        <v>2.72</v>
      </c>
      <c r="K90">
        <v>11750.4</v>
      </c>
    </row>
    <row r="91" spans="1:11" x14ac:dyDescent="0.2">
      <c r="A91">
        <v>82157</v>
      </c>
      <c r="B91">
        <v>438</v>
      </c>
      <c r="C91" t="s">
        <v>3772</v>
      </c>
      <c r="D91">
        <v>8</v>
      </c>
      <c r="E91">
        <v>8</v>
      </c>
      <c r="F91">
        <v>325</v>
      </c>
      <c r="G91">
        <v>2600</v>
      </c>
      <c r="H91">
        <v>48</v>
      </c>
      <c r="I91">
        <v>6.8</v>
      </c>
      <c r="J91">
        <v>2.4900000000000002</v>
      </c>
      <c r="K91">
        <v>6474</v>
      </c>
    </row>
    <row r="92" spans="1:11" x14ac:dyDescent="0.2">
      <c r="A92">
        <v>82034</v>
      </c>
      <c r="B92">
        <v>440</v>
      </c>
      <c r="C92" t="s">
        <v>3773</v>
      </c>
      <c r="D92">
        <v>8</v>
      </c>
      <c r="E92">
        <v>24</v>
      </c>
      <c r="F92">
        <v>148</v>
      </c>
      <c r="G92">
        <v>3552</v>
      </c>
      <c r="H92">
        <v>64</v>
      </c>
      <c r="I92">
        <v>2.2999999999999998</v>
      </c>
      <c r="J92">
        <v>1.45</v>
      </c>
      <c r="K92">
        <v>5150.3999999999996</v>
      </c>
    </row>
    <row r="93" spans="1:11" x14ac:dyDescent="0.2">
      <c r="A93">
        <v>69270</v>
      </c>
      <c r="B93">
        <v>442</v>
      </c>
      <c r="C93" t="s">
        <v>3774</v>
      </c>
      <c r="D93">
        <v>8</v>
      </c>
      <c r="E93">
        <v>6</v>
      </c>
      <c r="F93">
        <v>84</v>
      </c>
      <c r="G93">
        <v>504</v>
      </c>
      <c r="H93">
        <v>45</v>
      </c>
      <c r="I93">
        <v>1.9</v>
      </c>
      <c r="J93">
        <v>16.489999999999998</v>
      </c>
      <c r="K93">
        <v>8310.9599999999991</v>
      </c>
    </row>
    <row r="94" spans="1:11" x14ac:dyDescent="0.2">
      <c r="A94">
        <v>69256</v>
      </c>
      <c r="B94">
        <v>448</v>
      </c>
      <c r="C94" t="s">
        <v>3775</v>
      </c>
      <c r="D94">
        <v>8</v>
      </c>
      <c r="E94">
        <v>6</v>
      </c>
      <c r="F94">
        <v>70</v>
      </c>
      <c r="G94">
        <v>420</v>
      </c>
      <c r="H94">
        <v>45</v>
      </c>
      <c r="I94">
        <v>1.6</v>
      </c>
      <c r="J94">
        <v>13.19</v>
      </c>
      <c r="K94">
        <v>5539.8</v>
      </c>
    </row>
    <row r="95" spans="1:11" x14ac:dyDescent="0.2">
      <c r="A95">
        <v>82071</v>
      </c>
      <c r="B95">
        <v>449</v>
      </c>
      <c r="C95" t="s">
        <v>3776</v>
      </c>
      <c r="D95">
        <v>8</v>
      </c>
      <c r="E95">
        <v>18</v>
      </c>
      <c r="F95">
        <v>242</v>
      </c>
      <c r="G95">
        <v>4356</v>
      </c>
      <c r="H95">
        <v>112</v>
      </c>
      <c r="I95">
        <v>2.2000000000000002</v>
      </c>
      <c r="J95">
        <v>1.49</v>
      </c>
      <c r="K95">
        <v>6490.44</v>
      </c>
    </row>
    <row r="96" spans="1:11" x14ac:dyDescent="0.2">
      <c r="A96">
        <v>81182</v>
      </c>
      <c r="B96">
        <v>450</v>
      </c>
      <c r="C96" t="s">
        <v>3777</v>
      </c>
      <c r="D96">
        <v>8</v>
      </c>
      <c r="E96">
        <v>12</v>
      </c>
      <c r="F96">
        <v>364</v>
      </c>
      <c r="G96">
        <v>4368</v>
      </c>
      <c r="H96">
        <v>120</v>
      </c>
      <c r="I96">
        <v>3</v>
      </c>
      <c r="J96">
        <v>1.49</v>
      </c>
      <c r="K96">
        <v>6508.32</v>
      </c>
    </row>
    <row r="97" spans="1:11" x14ac:dyDescent="0.2">
      <c r="A97">
        <v>3520</v>
      </c>
      <c r="B97">
        <v>451</v>
      </c>
      <c r="C97" t="s">
        <v>3778</v>
      </c>
      <c r="D97">
        <v>6</v>
      </c>
      <c r="E97">
        <v>12</v>
      </c>
      <c r="F97">
        <v>0</v>
      </c>
      <c r="G97">
        <v>0</v>
      </c>
      <c r="H97">
        <v>176</v>
      </c>
      <c r="I97">
        <v>0</v>
      </c>
      <c r="J97">
        <v>1.29</v>
      </c>
      <c r="K97">
        <v>0</v>
      </c>
    </row>
    <row r="98" spans="1:11" x14ac:dyDescent="0.2">
      <c r="A98">
        <v>81208</v>
      </c>
      <c r="B98">
        <v>452</v>
      </c>
      <c r="C98" t="s">
        <v>3779</v>
      </c>
      <c r="D98">
        <v>8</v>
      </c>
      <c r="E98">
        <v>12</v>
      </c>
      <c r="F98">
        <v>190</v>
      </c>
      <c r="G98">
        <v>2280</v>
      </c>
      <c r="H98">
        <v>80</v>
      </c>
      <c r="I98">
        <v>2.4</v>
      </c>
      <c r="J98">
        <v>1.35</v>
      </c>
      <c r="K98">
        <v>3078</v>
      </c>
    </row>
    <row r="99" spans="1:11" x14ac:dyDescent="0.2">
      <c r="A99">
        <v>81193</v>
      </c>
      <c r="B99">
        <v>455</v>
      </c>
      <c r="C99" t="s">
        <v>3780</v>
      </c>
      <c r="D99">
        <v>8</v>
      </c>
      <c r="E99">
        <v>8</v>
      </c>
      <c r="F99">
        <v>603</v>
      </c>
      <c r="G99">
        <v>4824</v>
      </c>
      <c r="H99">
        <v>176</v>
      </c>
      <c r="I99">
        <v>3.4</v>
      </c>
      <c r="J99">
        <v>1.99</v>
      </c>
      <c r="K99">
        <v>9599.76</v>
      </c>
    </row>
    <row r="100" spans="1:11" x14ac:dyDescent="0.2">
      <c r="A100">
        <v>82005</v>
      </c>
      <c r="B100">
        <v>456</v>
      </c>
      <c r="C100" t="s">
        <v>3781</v>
      </c>
      <c r="D100">
        <v>8</v>
      </c>
      <c r="E100">
        <v>12</v>
      </c>
      <c r="F100">
        <v>269</v>
      </c>
      <c r="G100">
        <v>3228</v>
      </c>
      <c r="H100">
        <v>80</v>
      </c>
      <c r="I100">
        <v>3.4</v>
      </c>
      <c r="J100">
        <v>1.55</v>
      </c>
      <c r="K100">
        <v>5003.3999999999996</v>
      </c>
    </row>
    <row r="101" spans="1:11" x14ac:dyDescent="0.2">
      <c r="B101">
        <v>460</v>
      </c>
      <c r="C101" t="s">
        <v>3782</v>
      </c>
      <c r="D101">
        <v>10</v>
      </c>
      <c r="E101">
        <v>40</v>
      </c>
      <c r="F101">
        <v>-2</v>
      </c>
      <c r="G101">
        <v>-80</v>
      </c>
      <c r="H101">
        <v>72</v>
      </c>
      <c r="I101">
        <v>0</v>
      </c>
      <c r="J101">
        <v>0.59</v>
      </c>
      <c r="K101">
        <v>-47.2</v>
      </c>
    </row>
    <row r="102" spans="1:11" x14ac:dyDescent="0.2">
      <c r="A102">
        <v>82050</v>
      </c>
      <c r="B102">
        <v>465</v>
      </c>
      <c r="C102" t="s">
        <v>3783</v>
      </c>
      <c r="D102">
        <v>8</v>
      </c>
      <c r="E102">
        <v>12</v>
      </c>
      <c r="F102">
        <v>184</v>
      </c>
      <c r="G102">
        <v>2208</v>
      </c>
      <c r="H102">
        <v>80</v>
      </c>
      <c r="I102">
        <v>2.2999999999999998</v>
      </c>
      <c r="J102">
        <v>1.05</v>
      </c>
      <c r="K102">
        <v>2318.4</v>
      </c>
    </row>
    <row r="103" spans="1:11" x14ac:dyDescent="0.2">
      <c r="A103">
        <v>82006</v>
      </c>
      <c r="B103">
        <v>468</v>
      </c>
      <c r="C103" t="s">
        <v>3784</v>
      </c>
      <c r="D103">
        <v>8</v>
      </c>
      <c r="E103">
        <v>12</v>
      </c>
      <c r="F103">
        <v>466</v>
      </c>
      <c r="G103">
        <v>5592</v>
      </c>
      <c r="H103">
        <v>75</v>
      </c>
      <c r="I103">
        <v>6.2</v>
      </c>
      <c r="J103">
        <v>2.62</v>
      </c>
      <c r="K103">
        <v>14651.04</v>
      </c>
    </row>
    <row r="104" spans="1:11" x14ac:dyDescent="0.2">
      <c r="A104">
        <v>81125</v>
      </c>
      <c r="B104">
        <v>469</v>
      </c>
      <c r="C104" t="s">
        <v>3785</v>
      </c>
      <c r="D104">
        <v>8</v>
      </c>
      <c r="E104">
        <v>40</v>
      </c>
      <c r="F104">
        <v>129</v>
      </c>
      <c r="G104">
        <v>5160</v>
      </c>
      <c r="H104">
        <v>60</v>
      </c>
      <c r="I104">
        <v>2.2000000000000002</v>
      </c>
      <c r="J104">
        <v>1.87</v>
      </c>
      <c r="K104">
        <v>9649.2000000000007</v>
      </c>
    </row>
    <row r="105" spans="1:11" x14ac:dyDescent="0.2">
      <c r="B105">
        <v>471</v>
      </c>
      <c r="C105" t="s">
        <v>3786</v>
      </c>
      <c r="D105">
        <v>11</v>
      </c>
      <c r="E105">
        <v>12</v>
      </c>
      <c r="F105">
        <v>0</v>
      </c>
      <c r="G105">
        <v>0</v>
      </c>
      <c r="H105">
        <v>70</v>
      </c>
      <c r="I105">
        <v>0</v>
      </c>
      <c r="J105">
        <v>1.75</v>
      </c>
      <c r="K105">
        <v>0</v>
      </c>
    </row>
    <row r="106" spans="1:11" x14ac:dyDescent="0.2">
      <c r="A106">
        <v>82107</v>
      </c>
      <c r="B106">
        <v>482</v>
      </c>
      <c r="C106" t="s">
        <v>3787</v>
      </c>
      <c r="D106">
        <v>8</v>
      </c>
      <c r="E106">
        <v>12</v>
      </c>
      <c r="F106">
        <v>290</v>
      </c>
      <c r="G106">
        <v>3480</v>
      </c>
      <c r="H106">
        <v>60</v>
      </c>
      <c r="I106">
        <v>4.8</v>
      </c>
      <c r="J106">
        <v>1.45</v>
      </c>
      <c r="K106">
        <v>5046</v>
      </c>
    </row>
    <row r="107" spans="1:11" x14ac:dyDescent="0.2">
      <c r="A107">
        <v>81215</v>
      </c>
      <c r="B107">
        <v>484</v>
      </c>
      <c r="C107" t="s">
        <v>3788</v>
      </c>
      <c r="D107">
        <v>8</v>
      </c>
      <c r="E107">
        <v>12</v>
      </c>
      <c r="F107">
        <v>538</v>
      </c>
      <c r="G107">
        <v>6456</v>
      </c>
      <c r="H107">
        <v>126</v>
      </c>
      <c r="I107">
        <v>4.3</v>
      </c>
      <c r="J107">
        <v>1.95</v>
      </c>
      <c r="K107">
        <v>12589.2</v>
      </c>
    </row>
    <row r="108" spans="1:11" x14ac:dyDescent="0.2">
      <c r="A108">
        <v>81248</v>
      </c>
      <c r="B108">
        <v>485</v>
      </c>
      <c r="C108" t="s">
        <v>3789</v>
      </c>
      <c r="D108">
        <v>8</v>
      </c>
      <c r="E108">
        <v>12</v>
      </c>
      <c r="F108">
        <v>324</v>
      </c>
      <c r="G108">
        <v>3888</v>
      </c>
      <c r="H108">
        <v>108</v>
      </c>
      <c r="I108">
        <v>3</v>
      </c>
      <c r="J108">
        <v>1.69</v>
      </c>
      <c r="K108">
        <v>6570.72</v>
      </c>
    </row>
    <row r="109" spans="1:11" x14ac:dyDescent="0.2">
      <c r="A109">
        <v>81245</v>
      </c>
      <c r="B109">
        <v>486</v>
      </c>
      <c r="C109" t="s">
        <v>3790</v>
      </c>
      <c r="D109">
        <v>8</v>
      </c>
      <c r="E109">
        <v>8</v>
      </c>
      <c r="F109">
        <v>7</v>
      </c>
      <c r="G109">
        <v>56</v>
      </c>
      <c r="H109">
        <v>84</v>
      </c>
      <c r="I109">
        <v>0.1</v>
      </c>
      <c r="J109">
        <v>2.89</v>
      </c>
      <c r="K109">
        <v>161.84</v>
      </c>
    </row>
    <row r="110" spans="1:11" x14ac:dyDescent="0.2">
      <c r="A110">
        <v>82010</v>
      </c>
      <c r="B110">
        <v>490</v>
      </c>
      <c r="C110" t="s">
        <v>3791</v>
      </c>
      <c r="D110">
        <v>8</v>
      </c>
      <c r="E110">
        <v>12</v>
      </c>
      <c r="F110">
        <v>391</v>
      </c>
      <c r="G110">
        <v>4692</v>
      </c>
      <c r="H110">
        <v>64</v>
      </c>
      <c r="I110">
        <v>6.1</v>
      </c>
      <c r="J110">
        <v>2.69</v>
      </c>
      <c r="K110">
        <v>12621.48</v>
      </c>
    </row>
    <row r="111" spans="1:11" x14ac:dyDescent="0.2">
      <c r="B111">
        <v>500</v>
      </c>
      <c r="C111" t="s">
        <v>3792</v>
      </c>
      <c r="D111">
        <v>11</v>
      </c>
      <c r="E111">
        <v>20</v>
      </c>
      <c r="F111">
        <v>0</v>
      </c>
      <c r="G111">
        <v>0</v>
      </c>
      <c r="H111">
        <v>60</v>
      </c>
      <c r="I111">
        <v>0</v>
      </c>
      <c r="J111">
        <v>0.79</v>
      </c>
      <c r="K111">
        <v>0</v>
      </c>
    </row>
    <row r="112" spans="1:11" x14ac:dyDescent="0.2">
      <c r="A112">
        <v>83043</v>
      </c>
      <c r="B112">
        <v>502</v>
      </c>
      <c r="C112" t="s">
        <v>3793</v>
      </c>
      <c r="D112">
        <v>8</v>
      </c>
      <c r="E112">
        <v>16</v>
      </c>
      <c r="F112">
        <v>94</v>
      </c>
      <c r="G112">
        <v>1504</v>
      </c>
      <c r="H112">
        <v>60</v>
      </c>
      <c r="I112">
        <v>1.6</v>
      </c>
      <c r="J112">
        <v>2.19</v>
      </c>
      <c r="K112">
        <v>3293.76</v>
      </c>
    </row>
    <row r="113" spans="1:11" x14ac:dyDescent="0.2">
      <c r="A113">
        <v>3536</v>
      </c>
      <c r="B113">
        <v>503</v>
      </c>
      <c r="C113" t="s">
        <v>3794</v>
      </c>
      <c r="D113">
        <v>6</v>
      </c>
      <c r="E113">
        <v>12</v>
      </c>
      <c r="F113">
        <v>3</v>
      </c>
      <c r="G113">
        <v>36</v>
      </c>
      <c r="H113">
        <v>52</v>
      </c>
      <c r="I113">
        <v>0.1</v>
      </c>
      <c r="J113">
        <v>1.99</v>
      </c>
      <c r="K113">
        <v>71.64</v>
      </c>
    </row>
    <row r="114" spans="1:11" x14ac:dyDescent="0.2">
      <c r="A114">
        <v>83052</v>
      </c>
      <c r="B114">
        <v>506</v>
      </c>
      <c r="C114" t="s">
        <v>3795</v>
      </c>
      <c r="D114">
        <v>8</v>
      </c>
      <c r="E114">
        <v>8</v>
      </c>
      <c r="F114">
        <v>310</v>
      </c>
      <c r="G114">
        <v>2480</v>
      </c>
      <c r="H114">
        <v>75</v>
      </c>
      <c r="I114">
        <v>4.0999999999999996</v>
      </c>
      <c r="J114">
        <v>1.59</v>
      </c>
      <c r="K114">
        <v>3943.2</v>
      </c>
    </row>
    <row r="115" spans="1:11" x14ac:dyDescent="0.2">
      <c r="A115">
        <v>82241</v>
      </c>
      <c r="B115">
        <v>511</v>
      </c>
      <c r="C115" t="s">
        <v>3796</v>
      </c>
      <c r="D115">
        <v>8</v>
      </c>
      <c r="E115">
        <v>26</v>
      </c>
      <c r="F115">
        <v>340</v>
      </c>
      <c r="G115">
        <v>8840</v>
      </c>
      <c r="H115">
        <v>100</v>
      </c>
      <c r="I115">
        <v>3.4</v>
      </c>
      <c r="J115">
        <v>1.79</v>
      </c>
      <c r="K115">
        <v>15823.6</v>
      </c>
    </row>
    <row r="116" spans="1:11" x14ac:dyDescent="0.2">
      <c r="B116">
        <v>513</v>
      </c>
      <c r="C116" t="s">
        <v>3797</v>
      </c>
      <c r="D116">
        <v>12</v>
      </c>
      <c r="E116">
        <v>12</v>
      </c>
      <c r="F116">
        <v>0</v>
      </c>
      <c r="G116">
        <v>0</v>
      </c>
      <c r="H116">
        <v>36</v>
      </c>
      <c r="I116">
        <v>0</v>
      </c>
      <c r="J116">
        <v>1.1499999999999999</v>
      </c>
      <c r="K116">
        <v>0</v>
      </c>
    </row>
    <row r="117" spans="1:11" x14ac:dyDescent="0.2">
      <c r="A117">
        <v>69259</v>
      </c>
      <c r="B117">
        <v>514</v>
      </c>
      <c r="C117" t="s">
        <v>3798</v>
      </c>
      <c r="D117">
        <v>8</v>
      </c>
      <c r="E117">
        <v>6</v>
      </c>
      <c r="F117">
        <v>92</v>
      </c>
      <c r="G117">
        <v>552</v>
      </c>
      <c r="H117">
        <v>45</v>
      </c>
      <c r="I117">
        <v>2</v>
      </c>
      <c r="J117">
        <v>10.19</v>
      </c>
      <c r="K117">
        <v>5624.88</v>
      </c>
    </row>
    <row r="118" spans="1:11" x14ac:dyDescent="0.2">
      <c r="A118">
        <v>85261</v>
      </c>
      <c r="B118">
        <v>515</v>
      </c>
      <c r="C118" t="s">
        <v>3799</v>
      </c>
      <c r="D118">
        <v>10</v>
      </c>
      <c r="E118">
        <v>10</v>
      </c>
      <c r="F118">
        <v>289</v>
      </c>
      <c r="G118">
        <v>2890</v>
      </c>
      <c r="H118">
        <v>96</v>
      </c>
      <c r="I118">
        <v>3</v>
      </c>
      <c r="J118">
        <v>1.99</v>
      </c>
      <c r="K118">
        <v>5751.1</v>
      </c>
    </row>
    <row r="119" spans="1:11" x14ac:dyDescent="0.2">
      <c r="A119">
        <v>84032</v>
      </c>
      <c r="B119">
        <v>524</v>
      </c>
      <c r="C119" t="s">
        <v>3800</v>
      </c>
      <c r="D119">
        <v>8</v>
      </c>
      <c r="E119">
        <v>8</v>
      </c>
      <c r="F119">
        <v>359</v>
      </c>
      <c r="G119">
        <v>2872</v>
      </c>
      <c r="H119">
        <v>54</v>
      </c>
      <c r="I119">
        <v>6.6</v>
      </c>
      <c r="J119">
        <v>1.69</v>
      </c>
      <c r="K119">
        <v>4853.68</v>
      </c>
    </row>
    <row r="120" spans="1:11" x14ac:dyDescent="0.2">
      <c r="A120">
        <v>50500</v>
      </c>
      <c r="B120">
        <v>525</v>
      </c>
      <c r="C120" t="s">
        <v>3801</v>
      </c>
      <c r="D120">
        <v>10</v>
      </c>
      <c r="E120">
        <v>8</v>
      </c>
      <c r="F120">
        <v>-6</v>
      </c>
      <c r="G120">
        <v>-48</v>
      </c>
      <c r="H120">
        <v>96</v>
      </c>
      <c r="I120">
        <v>-0.1</v>
      </c>
      <c r="J120">
        <v>13.99</v>
      </c>
      <c r="K120">
        <v>-671.52</v>
      </c>
    </row>
    <row r="121" spans="1:11" x14ac:dyDescent="0.2">
      <c r="A121">
        <v>82201</v>
      </c>
      <c r="B121">
        <v>526</v>
      </c>
      <c r="C121" t="s">
        <v>3802</v>
      </c>
      <c r="D121">
        <v>8</v>
      </c>
      <c r="E121">
        <v>8</v>
      </c>
      <c r="F121">
        <v>298</v>
      </c>
      <c r="G121">
        <v>2384</v>
      </c>
      <c r="H121">
        <v>96</v>
      </c>
      <c r="I121">
        <v>3.1</v>
      </c>
      <c r="J121">
        <v>0.89</v>
      </c>
      <c r="K121">
        <v>2121.7600000000002</v>
      </c>
    </row>
    <row r="122" spans="1:11" x14ac:dyDescent="0.2">
      <c r="A122">
        <v>82093</v>
      </c>
      <c r="B122">
        <v>528</v>
      </c>
      <c r="C122" t="s">
        <v>3803</v>
      </c>
      <c r="D122">
        <v>8</v>
      </c>
      <c r="E122">
        <v>15</v>
      </c>
      <c r="F122">
        <v>134</v>
      </c>
      <c r="G122">
        <v>2010</v>
      </c>
      <c r="H122">
        <v>48</v>
      </c>
      <c r="I122">
        <v>2.8</v>
      </c>
      <c r="J122">
        <v>1.59</v>
      </c>
      <c r="K122">
        <v>3195.9</v>
      </c>
    </row>
    <row r="123" spans="1:11" x14ac:dyDescent="0.2">
      <c r="A123">
        <v>83001</v>
      </c>
      <c r="B123">
        <v>534</v>
      </c>
      <c r="C123" t="s">
        <v>3804</v>
      </c>
      <c r="D123">
        <v>8</v>
      </c>
      <c r="E123">
        <v>12</v>
      </c>
      <c r="F123">
        <v>156</v>
      </c>
      <c r="G123">
        <v>1872</v>
      </c>
      <c r="H123">
        <v>84</v>
      </c>
      <c r="I123">
        <v>1.9</v>
      </c>
      <c r="J123">
        <v>2.99</v>
      </c>
      <c r="K123">
        <v>5597.28</v>
      </c>
    </row>
    <row r="124" spans="1:11" x14ac:dyDescent="0.2">
      <c r="A124">
        <v>83155</v>
      </c>
      <c r="B124">
        <v>535</v>
      </c>
      <c r="C124" t="s">
        <v>3805</v>
      </c>
      <c r="D124">
        <v>8</v>
      </c>
      <c r="E124">
        <v>6</v>
      </c>
      <c r="F124">
        <v>632</v>
      </c>
      <c r="G124">
        <v>3792</v>
      </c>
      <c r="H124">
        <v>99</v>
      </c>
      <c r="I124">
        <v>6.4</v>
      </c>
      <c r="J124">
        <v>2.85</v>
      </c>
      <c r="K124">
        <v>10807.2</v>
      </c>
    </row>
    <row r="125" spans="1:11" x14ac:dyDescent="0.2">
      <c r="A125">
        <v>0</v>
      </c>
      <c r="B125">
        <v>536</v>
      </c>
      <c r="C125" t="s">
        <v>3806</v>
      </c>
      <c r="D125">
        <v>10</v>
      </c>
      <c r="E125">
        <v>8</v>
      </c>
      <c r="F125">
        <v>0</v>
      </c>
      <c r="G125">
        <v>0</v>
      </c>
      <c r="H125">
        <v>56</v>
      </c>
      <c r="I125">
        <v>0</v>
      </c>
      <c r="J125">
        <v>1.99</v>
      </c>
      <c r="K125">
        <v>0</v>
      </c>
    </row>
    <row r="126" spans="1:11" x14ac:dyDescent="0.2">
      <c r="A126">
        <v>83038</v>
      </c>
      <c r="B126">
        <v>538</v>
      </c>
      <c r="C126" t="s">
        <v>3807</v>
      </c>
      <c r="D126">
        <v>8</v>
      </c>
      <c r="E126">
        <v>16</v>
      </c>
      <c r="F126">
        <v>131</v>
      </c>
      <c r="G126">
        <v>2096</v>
      </c>
      <c r="H126">
        <v>160</v>
      </c>
      <c r="I126">
        <v>0.8</v>
      </c>
      <c r="J126">
        <v>1.49</v>
      </c>
      <c r="K126">
        <v>3123.04</v>
      </c>
    </row>
    <row r="127" spans="1:11" x14ac:dyDescent="0.2">
      <c r="A127">
        <v>83030</v>
      </c>
      <c r="B127">
        <v>543</v>
      </c>
      <c r="C127" t="s">
        <v>3808</v>
      </c>
      <c r="D127">
        <v>8</v>
      </c>
      <c r="E127">
        <v>12</v>
      </c>
      <c r="F127">
        <v>218</v>
      </c>
      <c r="G127">
        <v>2616</v>
      </c>
      <c r="H127">
        <v>72</v>
      </c>
      <c r="I127">
        <v>3</v>
      </c>
      <c r="J127">
        <v>1.99</v>
      </c>
      <c r="K127">
        <v>5205.84</v>
      </c>
    </row>
    <row r="128" spans="1:11" x14ac:dyDescent="0.2">
      <c r="A128">
        <v>84226</v>
      </c>
      <c r="B128">
        <v>544</v>
      </c>
      <c r="C128" t="s">
        <v>3809</v>
      </c>
      <c r="D128">
        <v>8</v>
      </c>
      <c r="E128">
        <v>4</v>
      </c>
      <c r="F128">
        <v>232</v>
      </c>
      <c r="G128">
        <v>928</v>
      </c>
      <c r="H128">
        <v>120</v>
      </c>
      <c r="I128">
        <v>1.9</v>
      </c>
      <c r="J128">
        <v>1.99</v>
      </c>
      <c r="K128">
        <v>1846.72</v>
      </c>
    </row>
    <row r="129" spans="1:11" x14ac:dyDescent="0.2">
      <c r="A129">
        <v>84091</v>
      </c>
      <c r="B129">
        <v>551</v>
      </c>
      <c r="C129" t="s">
        <v>3810</v>
      </c>
      <c r="D129">
        <v>8</v>
      </c>
      <c r="E129">
        <v>6</v>
      </c>
      <c r="F129">
        <v>272</v>
      </c>
      <c r="G129">
        <v>1632</v>
      </c>
      <c r="H129">
        <v>56</v>
      </c>
      <c r="I129">
        <v>4.9000000000000004</v>
      </c>
      <c r="J129">
        <v>2.4500000000000002</v>
      </c>
      <c r="K129">
        <v>3998.4</v>
      </c>
    </row>
    <row r="130" spans="1:11" x14ac:dyDescent="0.2">
      <c r="A130">
        <v>84010</v>
      </c>
      <c r="B130">
        <v>554</v>
      </c>
      <c r="C130" t="s">
        <v>3811</v>
      </c>
      <c r="D130">
        <v>8</v>
      </c>
      <c r="E130">
        <v>6</v>
      </c>
      <c r="F130">
        <v>260</v>
      </c>
      <c r="G130">
        <v>1560</v>
      </c>
      <c r="H130">
        <v>70</v>
      </c>
      <c r="I130">
        <v>3.7</v>
      </c>
      <c r="J130">
        <v>1.89</v>
      </c>
      <c r="K130">
        <v>2948.4</v>
      </c>
    </row>
    <row r="131" spans="1:11" x14ac:dyDescent="0.2">
      <c r="A131">
        <v>84023</v>
      </c>
      <c r="B131">
        <v>556</v>
      </c>
      <c r="C131" t="s">
        <v>3812</v>
      </c>
      <c r="D131">
        <v>8</v>
      </c>
      <c r="E131">
        <v>6</v>
      </c>
      <c r="F131">
        <v>232</v>
      </c>
      <c r="G131">
        <v>1392</v>
      </c>
      <c r="H131">
        <v>70</v>
      </c>
      <c r="I131">
        <v>3.3</v>
      </c>
      <c r="J131">
        <v>1.89</v>
      </c>
      <c r="K131">
        <v>2630.88</v>
      </c>
    </row>
    <row r="132" spans="1:11" x14ac:dyDescent="0.2">
      <c r="A132">
        <v>82219</v>
      </c>
      <c r="B132">
        <v>558</v>
      </c>
      <c r="C132" t="s">
        <v>3813</v>
      </c>
      <c r="D132">
        <v>8</v>
      </c>
      <c r="E132">
        <v>20</v>
      </c>
      <c r="F132">
        <v>445</v>
      </c>
      <c r="G132">
        <v>8899</v>
      </c>
      <c r="H132">
        <v>102</v>
      </c>
      <c r="I132">
        <v>4.4000000000000004</v>
      </c>
      <c r="J132">
        <v>0.96</v>
      </c>
      <c r="K132">
        <v>8543.0400000000009</v>
      </c>
    </row>
    <row r="133" spans="1:11" x14ac:dyDescent="0.2">
      <c r="A133">
        <v>84065</v>
      </c>
      <c r="B133">
        <v>559</v>
      </c>
      <c r="C133" t="s">
        <v>3814</v>
      </c>
      <c r="D133">
        <v>8</v>
      </c>
      <c r="E133">
        <v>8</v>
      </c>
      <c r="F133">
        <v>338</v>
      </c>
      <c r="G133">
        <v>2704</v>
      </c>
      <c r="H133">
        <v>72</v>
      </c>
      <c r="I133">
        <v>4.7</v>
      </c>
      <c r="J133">
        <v>1.79</v>
      </c>
      <c r="K133">
        <v>4840.16</v>
      </c>
    </row>
    <row r="134" spans="1:11" x14ac:dyDescent="0.2">
      <c r="B134">
        <v>562</v>
      </c>
      <c r="C134" t="s">
        <v>3815</v>
      </c>
      <c r="D134">
        <v>10</v>
      </c>
      <c r="E134">
        <v>12</v>
      </c>
      <c r="F134">
        <v>0</v>
      </c>
      <c r="G134">
        <v>0</v>
      </c>
      <c r="H134">
        <v>32</v>
      </c>
      <c r="I134">
        <v>0</v>
      </c>
      <c r="J134">
        <v>1.55</v>
      </c>
      <c r="K134">
        <v>0</v>
      </c>
    </row>
    <row r="135" spans="1:11" x14ac:dyDescent="0.2">
      <c r="A135">
        <v>83159</v>
      </c>
      <c r="B135">
        <v>564</v>
      </c>
      <c r="C135" t="s">
        <v>3816</v>
      </c>
      <c r="D135">
        <v>8</v>
      </c>
      <c r="E135">
        <v>12</v>
      </c>
      <c r="F135">
        <v>71</v>
      </c>
      <c r="G135">
        <v>852</v>
      </c>
      <c r="H135">
        <v>64</v>
      </c>
      <c r="I135">
        <v>1.1000000000000001</v>
      </c>
      <c r="J135">
        <v>2.15</v>
      </c>
      <c r="K135">
        <v>1831.8</v>
      </c>
    </row>
    <row r="136" spans="1:11" x14ac:dyDescent="0.2">
      <c r="A136">
        <v>91113</v>
      </c>
      <c r="B136">
        <v>566</v>
      </c>
      <c r="C136" t="s">
        <v>3817</v>
      </c>
      <c r="D136">
        <v>8</v>
      </c>
      <c r="E136">
        <v>10</v>
      </c>
      <c r="F136">
        <v>586</v>
      </c>
      <c r="G136">
        <v>5860</v>
      </c>
      <c r="H136">
        <v>100</v>
      </c>
      <c r="I136">
        <v>5.9</v>
      </c>
      <c r="J136">
        <v>3.99</v>
      </c>
      <c r="K136">
        <v>23381.4</v>
      </c>
    </row>
    <row r="137" spans="1:11" x14ac:dyDescent="0.2">
      <c r="A137">
        <v>82182</v>
      </c>
      <c r="B137">
        <v>569</v>
      </c>
      <c r="C137" t="s">
        <v>3818</v>
      </c>
      <c r="D137">
        <v>8</v>
      </c>
      <c r="E137">
        <v>16</v>
      </c>
      <c r="F137">
        <v>743</v>
      </c>
      <c r="G137">
        <v>11888</v>
      </c>
      <c r="H137">
        <v>60</v>
      </c>
      <c r="I137">
        <v>12.4</v>
      </c>
      <c r="J137">
        <v>1.25</v>
      </c>
      <c r="K137">
        <v>14860</v>
      </c>
    </row>
    <row r="138" spans="1:11" x14ac:dyDescent="0.2">
      <c r="A138">
        <v>85252</v>
      </c>
      <c r="B138">
        <v>572</v>
      </c>
      <c r="C138" t="s">
        <v>3819</v>
      </c>
      <c r="D138">
        <v>10</v>
      </c>
      <c r="E138">
        <v>10</v>
      </c>
      <c r="F138">
        <v>669</v>
      </c>
      <c r="G138">
        <v>6690</v>
      </c>
      <c r="H138">
        <v>135</v>
      </c>
      <c r="I138">
        <v>5</v>
      </c>
      <c r="J138">
        <v>0.89</v>
      </c>
      <c r="K138">
        <v>5954.1</v>
      </c>
    </row>
    <row r="139" spans="1:11" x14ac:dyDescent="0.2">
      <c r="A139">
        <v>85259</v>
      </c>
      <c r="B139">
        <v>573</v>
      </c>
      <c r="C139" t="s">
        <v>3820</v>
      </c>
      <c r="D139">
        <v>10</v>
      </c>
      <c r="E139">
        <v>12</v>
      </c>
      <c r="F139">
        <v>434</v>
      </c>
      <c r="G139">
        <v>5208</v>
      </c>
      <c r="H139">
        <v>98</v>
      </c>
      <c r="I139">
        <v>4.4000000000000004</v>
      </c>
      <c r="J139">
        <v>0.89</v>
      </c>
      <c r="K139">
        <v>4635.12</v>
      </c>
    </row>
    <row r="140" spans="1:11" x14ac:dyDescent="0.2">
      <c r="A140">
        <v>83025</v>
      </c>
      <c r="B140">
        <v>575</v>
      </c>
      <c r="C140" t="s">
        <v>3821</v>
      </c>
      <c r="D140">
        <v>8</v>
      </c>
      <c r="E140">
        <v>10</v>
      </c>
      <c r="F140">
        <v>183</v>
      </c>
      <c r="G140">
        <v>1829</v>
      </c>
      <c r="H140">
        <v>90</v>
      </c>
      <c r="I140">
        <v>2</v>
      </c>
      <c r="J140">
        <v>1.79</v>
      </c>
      <c r="K140">
        <v>3273.91</v>
      </c>
    </row>
    <row r="141" spans="1:11" x14ac:dyDescent="0.2">
      <c r="A141">
        <v>83006</v>
      </c>
      <c r="B141">
        <v>577</v>
      </c>
      <c r="C141" t="s">
        <v>3822</v>
      </c>
      <c r="D141">
        <v>8</v>
      </c>
      <c r="E141">
        <v>18</v>
      </c>
      <c r="F141">
        <v>310</v>
      </c>
      <c r="G141">
        <v>5580</v>
      </c>
      <c r="H141">
        <v>84</v>
      </c>
      <c r="I141">
        <v>3.7</v>
      </c>
      <c r="J141">
        <v>1.45</v>
      </c>
      <c r="K141">
        <v>8091</v>
      </c>
    </row>
    <row r="142" spans="1:11" x14ac:dyDescent="0.2">
      <c r="A142">
        <v>85184</v>
      </c>
      <c r="B142">
        <v>578</v>
      </c>
      <c r="C142" t="s">
        <v>3823</v>
      </c>
      <c r="D142">
        <v>9</v>
      </c>
      <c r="E142">
        <v>12</v>
      </c>
      <c r="F142">
        <v>101</v>
      </c>
      <c r="G142">
        <v>1212</v>
      </c>
      <c r="H142">
        <v>114</v>
      </c>
      <c r="I142">
        <v>0.9</v>
      </c>
      <c r="J142">
        <v>1.39</v>
      </c>
      <c r="K142">
        <v>1684.68</v>
      </c>
    </row>
    <row r="143" spans="1:11" x14ac:dyDescent="0.2">
      <c r="B143">
        <v>579</v>
      </c>
      <c r="C143" t="s">
        <v>3824</v>
      </c>
      <c r="D143">
        <v>11</v>
      </c>
      <c r="E143">
        <v>1</v>
      </c>
      <c r="F143">
        <v>0</v>
      </c>
      <c r="G143">
        <v>0</v>
      </c>
      <c r="H143">
        <v>96</v>
      </c>
      <c r="I143">
        <v>0</v>
      </c>
      <c r="J143">
        <v>13.99</v>
      </c>
      <c r="K143">
        <v>0</v>
      </c>
    </row>
    <row r="144" spans="1:11" x14ac:dyDescent="0.2">
      <c r="A144">
        <v>85258</v>
      </c>
      <c r="B144">
        <v>581</v>
      </c>
      <c r="C144" t="s">
        <v>3825</v>
      </c>
      <c r="D144">
        <v>10</v>
      </c>
      <c r="E144">
        <v>12</v>
      </c>
      <c r="F144">
        <v>365</v>
      </c>
      <c r="G144">
        <v>4380</v>
      </c>
      <c r="H144">
        <v>114</v>
      </c>
      <c r="I144">
        <v>3.2</v>
      </c>
      <c r="J144">
        <v>1.0900000000000001</v>
      </c>
      <c r="K144">
        <v>4774.2</v>
      </c>
    </row>
    <row r="145" spans="1:11" x14ac:dyDescent="0.2">
      <c r="A145">
        <v>83047</v>
      </c>
      <c r="B145">
        <v>583</v>
      </c>
      <c r="C145" t="s">
        <v>3826</v>
      </c>
      <c r="D145">
        <v>8</v>
      </c>
      <c r="E145">
        <v>16</v>
      </c>
      <c r="F145">
        <v>229</v>
      </c>
      <c r="G145">
        <v>3664</v>
      </c>
      <c r="H145">
        <v>160</v>
      </c>
      <c r="I145">
        <v>1.4</v>
      </c>
      <c r="J145">
        <v>1.99</v>
      </c>
      <c r="K145">
        <v>7291.36</v>
      </c>
    </row>
    <row r="146" spans="1:11" x14ac:dyDescent="0.2">
      <c r="A146">
        <v>83021</v>
      </c>
      <c r="B146">
        <v>584</v>
      </c>
      <c r="C146" t="s">
        <v>3827</v>
      </c>
      <c r="D146">
        <v>8</v>
      </c>
      <c r="E146">
        <v>18</v>
      </c>
      <c r="F146">
        <v>285</v>
      </c>
      <c r="G146">
        <v>5130</v>
      </c>
      <c r="H146">
        <v>136</v>
      </c>
      <c r="I146">
        <v>2.1</v>
      </c>
      <c r="J146">
        <v>0.89</v>
      </c>
      <c r="K146">
        <v>4565.7</v>
      </c>
    </row>
    <row r="147" spans="1:11" x14ac:dyDescent="0.2">
      <c r="A147">
        <v>83032</v>
      </c>
      <c r="B147">
        <v>587</v>
      </c>
      <c r="C147" t="s">
        <v>3828</v>
      </c>
      <c r="D147">
        <v>8</v>
      </c>
      <c r="E147">
        <v>3</v>
      </c>
      <c r="F147">
        <v>197</v>
      </c>
      <c r="G147">
        <v>591</v>
      </c>
      <c r="H147">
        <v>102</v>
      </c>
      <c r="I147">
        <v>1.9</v>
      </c>
      <c r="J147">
        <v>11.49</v>
      </c>
      <c r="K147">
        <v>6790.59</v>
      </c>
    </row>
    <row r="148" spans="1:11" x14ac:dyDescent="0.2">
      <c r="A148">
        <v>82098</v>
      </c>
      <c r="B148">
        <v>589</v>
      </c>
      <c r="C148" t="s">
        <v>3829</v>
      </c>
      <c r="D148">
        <v>8</v>
      </c>
      <c r="E148">
        <v>6</v>
      </c>
      <c r="F148">
        <v>536</v>
      </c>
      <c r="G148">
        <v>3216</v>
      </c>
      <c r="H148">
        <v>80</v>
      </c>
      <c r="I148">
        <v>6.7</v>
      </c>
      <c r="J148">
        <v>1.74</v>
      </c>
      <c r="K148">
        <v>5595.84</v>
      </c>
    </row>
    <row r="149" spans="1:11" x14ac:dyDescent="0.2">
      <c r="A149">
        <v>85263</v>
      </c>
      <c r="B149">
        <v>590</v>
      </c>
      <c r="C149" t="s">
        <v>3830</v>
      </c>
      <c r="D149">
        <v>10</v>
      </c>
      <c r="E149">
        <v>8</v>
      </c>
      <c r="F149">
        <v>235</v>
      </c>
      <c r="G149">
        <v>1879</v>
      </c>
      <c r="H149">
        <v>40</v>
      </c>
      <c r="I149">
        <v>5.9</v>
      </c>
      <c r="J149">
        <v>3.29</v>
      </c>
      <c r="K149">
        <v>6181.91</v>
      </c>
    </row>
    <row r="150" spans="1:11" x14ac:dyDescent="0.2">
      <c r="A150">
        <v>83045</v>
      </c>
      <c r="B150">
        <v>591</v>
      </c>
      <c r="C150" t="s">
        <v>3831</v>
      </c>
      <c r="D150">
        <v>8</v>
      </c>
      <c r="E150">
        <v>12</v>
      </c>
      <c r="F150">
        <v>231</v>
      </c>
      <c r="G150">
        <v>2772</v>
      </c>
      <c r="H150">
        <v>76</v>
      </c>
      <c r="I150">
        <v>3</v>
      </c>
      <c r="J150">
        <v>1.89</v>
      </c>
      <c r="K150">
        <v>5239.08</v>
      </c>
    </row>
    <row r="151" spans="1:11" x14ac:dyDescent="0.2">
      <c r="A151">
        <v>85061</v>
      </c>
      <c r="B151">
        <v>594</v>
      </c>
      <c r="C151" t="s">
        <v>3832</v>
      </c>
      <c r="D151">
        <v>8</v>
      </c>
      <c r="E151">
        <v>10</v>
      </c>
      <c r="F151">
        <v>341</v>
      </c>
      <c r="G151">
        <v>3410</v>
      </c>
      <c r="H151">
        <v>36</v>
      </c>
      <c r="I151">
        <v>9.5</v>
      </c>
      <c r="J151">
        <v>0.79</v>
      </c>
      <c r="K151">
        <v>2693.9</v>
      </c>
    </row>
    <row r="152" spans="1:11" x14ac:dyDescent="0.2">
      <c r="A152">
        <v>85072</v>
      </c>
      <c r="B152">
        <v>595</v>
      </c>
      <c r="C152" t="s">
        <v>3833</v>
      </c>
      <c r="D152">
        <v>8</v>
      </c>
      <c r="E152">
        <v>10</v>
      </c>
      <c r="F152">
        <v>345</v>
      </c>
      <c r="G152">
        <v>3450</v>
      </c>
      <c r="H152">
        <v>36</v>
      </c>
      <c r="I152">
        <v>9.6</v>
      </c>
      <c r="J152">
        <v>0.79</v>
      </c>
      <c r="K152">
        <v>2725.5</v>
      </c>
    </row>
    <row r="153" spans="1:11" x14ac:dyDescent="0.2">
      <c r="A153">
        <v>85223</v>
      </c>
      <c r="B153">
        <v>597</v>
      </c>
      <c r="C153" t="s">
        <v>3834</v>
      </c>
      <c r="D153">
        <v>9</v>
      </c>
      <c r="E153">
        <v>12</v>
      </c>
      <c r="F153">
        <v>-2</v>
      </c>
      <c r="G153">
        <v>-24</v>
      </c>
      <c r="H153">
        <v>160</v>
      </c>
      <c r="I153">
        <v>0</v>
      </c>
      <c r="J153">
        <v>2.79</v>
      </c>
      <c r="K153">
        <v>-66.959999999999994</v>
      </c>
    </row>
    <row r="154" spans="1:11" x14ac:dyDescent="0.2">
      <c r="A154">
        <v>83072</v>
      </c>
      <c r="B154">
        <v>599</v>
      </c>
      <c r="C154" t="s">
        <v>3835</v>
      </c>
      <c r="D154">
        <v>8</v>
      </c>
      <c r="E154">
        <v>18</v>
      </c>
      <c r="F154">
        <v>297</v>
      </c>
      <c r="G154">
        <v>5346</v>
      </c>
      <c r="H154">
        <v>192</v>
      </c>
      <c r="I154">
        <v>1.5</v>
      </c>
      <c r="J154">
        <v>1.89</v>
      </c>
      <c r="K154">
        <v>10103.94</v>
      </c>
    </row>
    <row r="155" spans="1:11" x14ac:dyDescent="0.2">
      <c r="A155">
        <v>69212</v>
      </c>
      <c r="B155">
        <v>600</v>
      </c>
      <c r="C155" t="s">
        <v>3836</v>
      </c>
      <c r="D155">
        <v>8</v>
      </c>
      <c r="E155">
        <v>6</v>
      </c>
      <c r="F155">
        <v>5867</v>
      </c>
      <c r="G155">
        <v>35200</v>
      </c>
      <c r="H155">
        <v>140</v>
      </c>
      <c r="I155">
        <v>41.9</v>
      </c>
      <c r="J155">
        <v>0.85</v>
      </c>
      <c r="K155">
        <v>29920</v>
      </c>
    </row>
    <row r="156" spans="1:11" x14ac:dyDescent="0.2">
      <c r="A156">
        <v>95020</v>
      </c>
      <c r="B156">
        <v>601</v>
      </c>
      <c r="C156" t="s">
        <v>3837</v>
      </c>
      <c r="D156">
        <v>8</v>
      </c>
      <c r="E156">
        <v>6</v>
      </c>
      <c r="F156">
        <v>14870</v>
      </c>
      <c r="G156">
        <v>89220</v>
      </c>
      <c r="H156">
        <v>120</v>
      </c>
      <c r="I156">
        <v>123.9</v>
      </c>
      <c r="J156">
        <v>0.72</v>
      </c>
      <c r="K156">
        <v>64238.400000000001</v>
      </c>
    </row>
    <row r="157" spans="1:11" x14ac:dyDescent="0.2">
      <c r="B157">
        <v>602</v>
      </c>
      <c r="C157" t="s">
        <v>3838</v>
      </c>
      <c r="D157">
        <v>11</v>
      </c>
      <c r="E157">
        <v>27</v>
      </c>
      <c r="F157">
        <v>0</v>
      </c>
      <c r="G157">
        <v>0</v>
      </c>
      <c r="H157">
        <v>144</v>
      </c>
      <c r="I157">
        <v>0</v>
      </c>
      <c r="J157">
        <v>0.49</v>
      </c>
      <c r="K157">
        <v>0</v>
      </c>
    </row>
    <row r="158" spans="1:11" x14ac:dyDescent="0.2">
      <c r="B158">
        <v>603</v>
      </c>
      <c r="C158" t="s">
        <v>3839</v>
      </c>
      <c r="D158">
        <v>11</v>
      </c>
      <c r="E158">
        <v>5</v>
      </c>
      <c r="F158">
        <v>0</v>
      </c>
      <c r="G158">
        <v>0</v>
      </c>
      <c r="H158">
        <v>85</v>
      </c>
      <c r="I158">
        <v>0</v>
      </c>
      <c r="J158">
        <v>2.69</v>
      </c>
      <c r="K158">
        <v>0</v>
      </c>
    </row>
    <row r="159" spans="1:11" x14ac:dyDescent="0.2">
      <c r="A159">
        <v>81096</v>
      </c>
      <c r="B159">
        <v>604</v>
      </c>
      <c r="C159" t="s">
        <v>3840</v>
      </c>
      <c r="D159">
        <v>8</v>
      </c>
      <c r="E159">
        <v>16</v>
      </c>
      <c r="F159">
        <v>305</v>
      </c>
      <c r="G159">
        <v>4880</v>
      </c>
      <c r="H159">
        <v>80</v>
      </c>
      <c r="I159">
        <v>3.8</v>
      </c>
      <c r="J159">
        <v>1.0900000000000001</v>
      </c>
      <c r="K159">
        <v>5319.2</v>
      </c>
    </row>
    <row r="160" spans="1:11" x14ac:dyDescent="0.2">
      <c r="A160">
        <v>72269</v>
      </c>
      <c r="B160">
        <v>605</v>
      </c>
      <c r="C160" t="s">
        <v>3841</v>
      </c>
      <c r="D160">
        <v>8</v>
      </c>
      <c r="E160">
        <v>12</v>
      </c>
      <c r="F160">
        <v>566</v>
      </c>
      <c r="G160">
        <v>6793</v>
      </c>
      <c r="H160">
        <v>147</v>
      </c>
      <c r="I160">
        <v>3.9</v>
      </c>
      <c r="J160">
        <v>1.35</v>
      </c>
      <c r="K160">
        <v>9170.5499999999993</v>
      </c>
    </row>
    <row r="161" spans="1:11" x14ac:dyDescent="0.2">
      <c r="B161">
        <v>606</v>
      </c>
      <c r="C161" t="s">
        <v>3842</v>
      </c>
      <c r="D161">
        <v>10</v>
      </c>
      <c r="E161">
        <v>9</v>
      </c>
      <c r="F161">
        <v>0</v>
      </c>
      <c r="G161">
        <v>0</v>
      </c>
      <c r="H161">
        <v>120</v>
      </c>
      <c r="I161">
        <v>0</v>
      </c>
      <c r="J161">
        <v>1.45</v>
      </c>
      <c r="K161">
        <v>0</v>
      </c>
    </row>
    <row r="162" spans="1:11" x14ac:dyDescent="0.2">
      <c r="A162">
        <v>70005</v>
      </c>
      <c r="B162">
        <v>607</v>
      </c>
      <c r="C162" t="s">
        <v>3843</v>
      </c>
      <c r="D162">
        <v>8</v>
      </c>
      <c r="E162">
        <v>6</v>
      </c>
      <c r="F162">
        <v>-33</v>
      </c>
      <c r="G162">
        <v>-198</v>
      </c>
      <c r="H162">
        <v>221</v>
      </c>
      <c r="I162">
        <v>-0.1</v>
      </c>
      <c r="J162">
        <v>1.65</v>
      </c>
      <c r="K162">
        <v>-326.7</v>
      </c>
    </row>
    <row r="163" spans="1:11" x14ac:dyDescent="0.2">
      <c r="A163">
        <v>69269</v>
      </c>
      <c r="B163">
        <v>608</v>
      </c>
      <c r="C163" t="s">
        <v>3844</v>
      </c>
      <c r="D163">
        <v>8</v>
      </c>
      <c r="E163">
        <v>12</v>
      </c>
      <c r="F163">
        <v>101</v>
      </c>
      <c r="G163">
        <v>1212</v>
      </c>
      <c r="H163">
        <v>234</v>
      </c>
      <c r="I163">
        <v>0.4</v>
      </c>
      <c r="J163">
        <v>0.89</v>
      </c>
      <c r="K163">
        <v>1078.68</v>
      </c>
    </row>
    <row r="164" spans="1:11" x14ac:dyDescent="0.2">
      <c r="A164">
        <v>69214</v>
      </c>
      <c r="B164">
        <v>609</v>
      </c>
      <c r="C164" t="s">
        <v>3845</v>
      </c>
      <c r="D164">
        <v>8</v>
      </c>
      <c r="E164">
        <v>6</v>
      </c>
      <c r="F164">
        <v>3549</v>
      </c>
      <c r="G164">
        <v>21294</v>
      </c>
      <c r="H164">
        <v>120</v>
      </c>
      <c r="I164">
        <v>29.6</v>
      </c>
      <c r="J164">
        <v>0.71</v>
      </c>
      <c r="K164">
        <v>15118.74</v>
      </c>
    </row>
    <row r="165" spans="1:11" x14ac:dyDescent="0.2">
      <c r="A165">
        <v>69274</v>
      </c>
      <c r="B165">
        <v>610</v>
      </c>
      <c r="C165" t="s">
        <v>3846</v>
      </c>
      <c r="D165">
        <v>8</v>
      </c>
      <c r="E165">
        <v>12</v>
      </c>
      <c r="F165">
        <v>100</v>
      </c>
      <c r="G165">
        <v>1200</v>
      </c>
      <c r="H165">
        <v>234</v>
      </c>
      <c r="I165">
        <v>0.4</v>
      </c>
      <c r="J165">
        <v>0.89</v>
      </c>
      <c r="K165">
        <v>1068</v>
      </c>
    </row>
    <row r="166" spans="1:11" x14ac:dyDescent="0.2">
      <c r="A166">
        <v>69272</v>
      </c>
      <c r="B166">
        <v>611</v>
      </c>
      <c r="C166" t="s">
        <v>3847</v>
      </c>
      <c r="D166">
        <v>8</v>
      </c>
      <c r="E166">
        <v>12</v>
      </c>
      <c r="F166">
        <v>67</v>
      </c>
      <c r="G166">
        <v>804</v>
      </c>
      <c r="H166">
        <v>324</v>
      </c>
      <c r="I166">
        <v>0.2</v>
      </c>
      <c r="J166">
        <v>0.55000000000000004</v>
      </c>
      <c r="K166">
        <v>442.2</v>
      </c>
    </row>
    <row r="167" spans="1:11" x14ac:dyDescent="0.2">
      <c r="A167">
        <v>70006</v>
      </c>
      <c r="B167">
        <v>612</v>
      </c>
      <c r="C167" t="s">
        <v>3848</v>
      </c>
      <c r="D167">
        <v>8</v>
      </c>
      <c r="E167">
        <v>12</v>
      </c>
      <c r="F167">
        <v>93</v>
      </c>
      <c r="G167">
        <v>1116</v>
      </c>
      <c r="H167">
        <v>324</v>
      </c>
      <c r="I167">
        <v>0.3</v>
      </c>
      <c r="J167">
        <v>0.55000000000000004</v>
      </c>
      <c r="K167">
        <v>613.79999999999995</v>
      </c>
    </row>
    <row r="168" spans="1:11" x14ac:dyDescent="0.2">
      <c r="A168">
        <v>69261</v>
      </c>
      <c r="B168">
        <v>613</v>
      </c>
      <c r="C168" t="s">
        <v>3849</v>
      </c>
      <c r="D168">
        <v>8</v>
      </c>
      <c r="E168">
        <v>8</v>
      </c>
      <c r="F168">
        <v>147</v>
      </c>
      <c r="G168">
        <v>1175</v>
      </c>
      <c r="H168">
        <v>220</v>
      </c>
      <c r="I168">
        <v>0.7</v>
      </c>
      <c r="J168">
        <v>1.1499999999999999</v>
      </c>
      <c r="K168">
        <v>1351.25</v>
      </c>
    </row>
    <row r="169" spans="1:11" x14ac:dyDescent="0.2">
      <c r="A169">
        <v>69265</v>
      </c>
      <c r="B169">
        <v>614</v>
      </c>
      <c r="C169" t="s">
        <v>3850</v>
      </c>
      <c r="D169">
        <v>8</v>
      </c>
      <c r="E169">
        <v>8</v>
      </c>
      <c r="F169">
        <v>78</v>
      </c>
      <c r="G169">
        <v>624</v>
      </c>
      <c r="H169">
        <v>220</v>
      </c>
      <c r="I169">
        <v>0.4</v>
      </c>
      <c r="J169">
        <v>1.39</v>
      </c>
      <c r="K169">
        <v>867.36</v>
      </c>
    </row>
    <row r="170" spans="1:11" x14ac:dyDescent="0.2">
      <c r="A170">
        <v>69263</v>
      </c>
      <c r="B170">
        <v>616</v>
      </c>
      <c r="C170" t="s">
        <v>3851</v>
      </c>
      <c r="D170">
        <v>8</v>
      </c>
      <c r="E170">
        <v>8</v>
      </c>
      <c r="F170">
        <v>111</v>
      </c>
      <c r="G170">
        <v>889</v>
      </c>
      <c r="H170">
        <v>220</v>
      </c>
      <c r="I170">
        <v>0.5</v>
      </c>
      <c r="J170">
        <v>1.29</v>
      </c>
      <c r="K170">
        <v>1146.81</v>
      </c>
    </row>
    <row r="171" spans="1:11" x14ac:dyDescent="0.2">
      <c r="A171">
        <v>0</v>
      </c>
      <c r="B171">
        <v>617</v>
      </c>
      <c r="C171" t="s">
        <v>3852</v>
      </c>
      <c r="D171">
        <v>12</v>
      </c>
      <c r="E171">
        <v>10</v>
      </c>
      <c r="F171">
        <v>0</v>
      </c>
      <c r="G171">
        <v>0</v>
      </c>
      <c r="H171">
        <v>144</v>
      </c>
      <c r="I171">
        <v>0</v>
      </c>
      <c r="J171">
        <v>0.75</v>
      </c>
      <c r="K171">
        <v>0</v>
      </c>
    </row>
    <row r="172" spans="1:11" x14ac:dyDescent="0.2">
      <c r="A172">
        <v>83160</v>
      </c>
      <c r="B172">
        <v>617</v>
      </c>
      <c r="C172" t="s">
        <v>3852</v>
      </c>
      <c r="D172">
        <v>8</v>
      </c>
      <c r="E172">
        <v>22</v>
      </c>
      <c r="F172">
        <v>387</v>
      </c>
      <c r="G172">
        <v>8514</v>
      </c>
      <c r="H172">
        <v>90</v>
      </c>
      <c r="I172">
        <v>4.3</v>
      </c>
      <c r="J172">
        <v>0.75</v>
      </c>
      <c r="K172">
        <v>6385.5</v>
      </c>
    </row>
    <row r="173" spans="1:11" x14ac:dyDescent="0.2">
      <c r="A173">
        <v>0</v>
      </c>
      <c r="B173">
        <v>618</v>
      </c>
      <c r="C173" t="s">
        <v>3853</v>
      </c>
      <c r="D173">
        <v>12</v>
      </c>
      <c r="E173">
        <v>10</v>
      </c>
      <c r="F173">
        <v>-2</v>
      </c>
      <c r="G173">
        <v>-20</v>
      </c>
      <c r="H173">
        <v>144</v>
      </c>
      <c r="I173">
        <v>0</v>
      </c>
      <c r="J173">
        <v>0.75</v>
      </c>
      <c r="K173">
        <v>-15</v>
      </c>
    </row>
    <row r="174" spans="1:11" x14ac:dyDescent="0.2">
      <c r="A174">
        <v>83109</v>
      </c>
      <c r="B174">
        <v>618</v>
      </c>
      <c r="C174" t="s">
        <v>3853</v>
      </c>
      <c r="D174">
        <v>8</v>
      </c>
      <c r="E174">
        <v>22</v>
      </c>
      <c r="F174">
        <v>298</v>
      </c>
      <c r="G174">
        <v>6556</v>
      </c>
      <c r="H174">
        <v>66</v>
      </c>
      <c r="I174">
        <v>4.5</v>
      </c>
      <c r="J174">
        <v>0.75</v>
      </c>
      <c r="K174">
        <v>4917</v>
      </c>
    </row>
    <row r="175" spans="1:11" x14ac:dyDescent="0.2">
      <c r="A175">
        <v>84215</v>
      </c>
      <c r="B175">
        <v>624</v>
      </c>
      <c r="C175" t="s">
        <v>3854</v>
      </c>
      <c r="D175">
        <v>8</v>
      </c>
      <c r="E175">
        <v>4</v>
      </c>
      <c r="F175">
        <v>244</v>
      </c>
      <c r="G175">
        <v>976</v>
      </c>
      <c r="H175">
        <v>56</v>
      </c>
      <c r="I175">
        <v>4.4000000000000004</v>
      </c>
      <c r="J175">
        <v>1.99</v>
      </c>
      <c r="K175">
        <v>1942.24</v>
      </c>
    </row>
    <row r="176" spans="1:11" x14ac:dyDescent="0.2">
      <c r="A176">
        <v>85012</v>
      </c>
      <c r="B176">
        <v>625</v>
      </c>
      <c r="C176" t="s">
        <v>3855</v>
      </c>
      <c r="D176">
        <v>8</v>
      </c>
      <c r="E176">
        <v>10</v>
      </c>
      <c r="F176">
        <v>171</v>
      </c>
      <c r="G176">
        <v>1710</v>
      </c>
      <c r="H176">
        <v>36</v>
      </c>
      <c r="I176">
        <v>4.8</v>
      </c>
      <c r="J176">
        <v>1.19</v>
      </c>
      <c r="K176">
        <v>2034.9</v>
      </c>
    </row>
    <row r="177" spans="1:11" x14ac:dyDescent="0.2">
      <c r="A177">
        <v>69252</v>
      </c>
      <c r="B177">
        <v>626</v>
      </c>
      <c r="C177" t="s">
        <v>3856</v>
      </c>
      <c r="D177">
        <v>8</v>
      </c>
      <c r="E177">
        <v>9</v>
      </c>
      <c r="F177">
        <v>138</v>
      </c>
      <c r="G177">
        <v>1242</v>
      </c>
      <c r="H177">
        <v>108</v>
      </c>
      <c r="I177">
        <v>1.3</v>
      </c>
      <c r="J177">
        <v>1.55</v>
      </c>
      <c r="K177">
        <v>1925.1</v>
      </c>
    </row>
    <row r="178" spans="1:11" x14ac:dyDescent="0.2">
      <c r="A178">
        <v>69250</v>
      </c>
      <c r="B178">
        <v>627</v>
      </c>
      <c r="C178" t="s">
        <v>3857</v>
      </c>
      <c r="D178">
        <v>8</v>
      </c>
      <c r="E178">
        <v>9</v>
      </c>
      <c r="F178">
        <v>190</v>
      </c>
      <c r="G178">
        <v>1710</v>
      </c>
      <c r="H178">
        <v>108</v>
      </c>
      <c r="I178">
        <v>1.8</v>
      </c>
      <c r="J178">
        <v>1.59</v>
      </c>
      <c r="K178">
        <v>2718.9</v>
      </c>
    </row>
    <row r="179" spans="1:11" x14ac:dyDescent="0.2">
      <c r="A179">
        <v>69247</v>
      </c>
      <c r="B179">
        <v>628</v>
      </c>
      <c r="C179" t="s">
        <v>3858</v>
      </c>
      <c r="D179">
        <v>8</v>
      </c>
      <c r="E179">
        <v>9</v>
      </c>
      <c r="F179">
        <v>220</v>
      </c>
      <c r="G179">
        <v>1980</v>
      </c>
      <c r="H179">
        <v>108</v>
      </c>
      <c r="I179">
        <v>2</v>
      </c>
      <c r="J179">
        <v>1.55</v>
      </c>
      <c r="K179">
        <v>3069</v>
      </c>
    </row>
    <row r="180" spans="1:11" x14ac:dyDescent="0.2">
      <c r="B180">
        <v>633</v>
      </c>
      <c r="C180" t="s">
        <v>3859</v>
      </c>
      <c r="D180">
        <v>11</v>
      </c>
      <c r="E180">
        <v>16</v>
      </c>
      <c r="F180">
        <v>0</v>
      </c>
      <c r="G180">
        <v>0</v>
      </c>
      <c r="H180">
        <v>60</v>
      </c>
      <c r="I180">
        <v>0</v>
      </c>
      <c r="J180">
        <v>1.19</v>
      </c>
      <c r="K180">
        <v>0</v>
      </c>
    </row>
    <row r="181" spans="1:11" x14ac:dyDescent="0.2">
      <c r="B181">
        <v>634</v>
      </c>
      <c r="C181" t="s">
        <v>3860</v>
      </c>
      <c r="D181">
        <v>10</v>
      </c>
      <c r="E181">
        <v>16</v>
      </c>
      <c r="F181">
        <v>0</v>
      </c>
      <c r="G181">
        <v>0</v>
      </c>
      <c r="H181">
        <v>60</v>
      </c>
      <c r="I181">
        <v>0</v>
      </c>
      <c r="J181">
        <v>1.65</v>
      </c>
      <c r="K181">
        <v>0</v>
      </c>
    </row>
    <row r="182" spans="1:11" x14ac:dyDescent="0.2">
      <c r="A182">
        <v>69254</v>
      </c>
      <c r="B182">
        <v>635</v>
      </c>
      <c r="C182" t="s">
        <v>3861</v>
      </c>
      <c r="D182">
        <v>8</v>
      </c>
      <c r="E182">
        <v>8</v>
      </c>
      <c r="F182">
        <v>27</v>
      </c>
      <c r="G182">
        <v>216</v>
      </c>
      <c r="H182">
        <v>108</v>
      </c>
      <c r="I182">
        <v>0.3</v>
      </c>
      <c r="J182">
        <v>2.29</v>
      </c>
      <c r="K182">
        <v>494.64</v>
      </c>
    </row>
    <row r="183" spans="1:11" x14ac:dyDescent="0.2">
      <c r="A183">
        <v>69258</v>
      </c>
      <c r="B183">
        <v>636</v>
      </c>
      <c r="C183" t="s">
        <v>3862</v>
      </c>
      <c r="D183">
        <v>9</v>
      </c>
      <c r="E183">
        <v>8</v>
      </c>
      <c r="F183">
        <v>120</v>
      </c>
      <c r="G183">
        <v>960</v>
      </c>
      <c r="H183">
        <v>108</v>
      </c>
      <c r="I183">
        <v>1.1000000000000001</v>
      </c>
      <c r="J183">
        <v>2.15</v>
      </c>
      <c r="K183">
        <v>2064</v>
      </c>
    </row>
    <row r="184" spans="1:11" x14ac:dyDescent="0.2">
      <c r="A184">
        <v>70003</v>
      </c>
      <c r="B184">
        <v>637</v>
      </c>
      <c r="C184" t="s">
        <v>3863</v>
      </c>
      <c r="D184">
        <v>8</v>
      </c>
      <c r="E184">
        <v>6</v>
      </c>
      <c r="F184">
        <v>171</v>
      </c>
      <c r="G184">
        <v>1026</v>
      </c>
      <c r="H184">
        <v>378</v>
      </c>
      <c r="I184">
        <v>0.5</v>
      </c>
      <c r="J184">
        <v>0.69</v>
      </c>
      <c r="K184">
        <v>707.94</v>
      </c>
    </row>
    <row r="185" spans="1:11" x14ac:dyDescent="0.2">
      <c r="A185">
        <v>70001</v>
      </c>
      <c r="B185">
        <v>638</v>
      </c>
      <c r="C185" t="s">
        <v>3864</v>
      </c>
      <c r="D185">
        <v>8</v>
      </c>
      <c r="E185">
        <v>6</v>
      </c>
      <c r="F185">
        <v>168</v>
      </c>
      <c r="G185">
        <v>1008</v>
      </c>
      <c r="H185">
        <v>378</v>
      </c>
      <c r="I185">
        <v>0.4</v>
      </c>
      <c r="J185">
        <v>0.69</v>
      </c>
      <c r="K185">
        <v>695.52</v>
      </c>
    </row>
    <row r="186" spans="1:11" x14ac:dyDescent="0.2">
      <c r="A186">
        <v>70008</v>
      </c>
      <c r="B186">
        <v>639</v>
      </c>
      <c r="C186" t="s">
        <v>3865</v>
      </c>
      <c r="D186">
        <v>8</v>
      </c>
      <c r="E186">
        <v>6</v>
      </c>
      <c r="F186">
        <v>207</v>
      </c>
      <c r="G186">
        <v>1242</v>
      </c>
      <c r="H186">
        <v>378</v>
      </c>
      <c r="I186">
        <v>0.5</v>
      </c>
      <c r="J186">
        <v>0.69</v>
      </c>
      <c r="K186">
        <v>856.98</v>
      </c>
    </row>
    <row r="187" spans="1:11" x14ac:dyDescent="0.2">
      <c r="A187">
        <v>31500</v>
      </c>
      <c r="B187">
        <v>642</v>
      </c>
      <c r="C187" t="s">
        <v>3866</v>
      </c>
      <c r="D187">
        <v>10</v>
      </c>
      <c r="E187">
        <v>3</v>
      </c>
      <c r="F187">
        <v>0</v>
      </c>
      <c r="G187">
        <v>0</v>
      </c>
      <c r="H187">
        <v>60</v>
      </c>
      <c r="I187">
        <v>0</v>
      </c>
      <c r="J187">
        <v>2.19</v>
      </c>
      <c r="K187">
        <v>0</v>
      </c>
    </row>
    <row r="188" spans="1:11" x14ac:dyDescent="0.2">
      <c r="A188">
        <v>39500</v>
      </c>
      <c r="B188">
        <v>643</v>
      </c>
      <c r="C188" t="s">
        <v>3867</v>
      </c>
      <c r="D188">
        <v>10</v>
      </c>
      <c r="E188">
        <v>6</v>
      </c>
      <c r="F188">
        <v>3</v>
      </c>
      <c r="G188">
        <v>18</v>
      </c>
      <c r="H188">
        <v>144</v>
      </c>
      <c r="I188">
        <v>0</v>
      </c>
      <c r="J188">
        <v>2.19</v>
      </c>
      <c r="K188">
        <v>39.42</v>
      </c>
    </row>
    <row r="189" spans="1:11" x14ac:dyDescent="0.2">
      <c r="B189">
        <v>647</v>
      </c>
      <c r="C189" t="s">
        <v>3868</v>
      </c>
      <c r="D189">
        <v>11</v>
      </c>
      <c r="E189">
        <v>50</v>
      </c>
      <c r="F189">
        <v>0</v>
      </c>
      <c r="G189">
        <v>0</v>
      </c>
      <c r="H189">
        <v>33</v>
      </c>
      <c r="I189">
        <v>0</v>
      </c>
      <c r="J189">
        <v>4.99</v>
      </c>
      <c r="K189">
        <v>0</v>
      </c>
    </row>
    <row r="190" spans="1:11" x14ac:dyDescent="0.2">
      <c r="A190">
        <v>81146</v>
      </c>
      <c r="B190">
        <v>650</v>
      </c>
      <c r="C190" t="s">
        <v>3869</v>
      </c>
      <c r="D190">
        <v>8</v>
      </c>
      <c r="E190">
        <v>17</v>
      </c>
      <c r="F190">
        <v>271</v>
      </c>
      <c r="G190">
        <v>4607</v>
      </c>
      <c r="H190">
        <v>150</v>
      </c>
      <c r="I190">
        <v>1.8</v>
      </c>
      <c r="J190">
        <v>1.39</v>
      </c>
      <c r="K190">
        <v>6403.73</v>
      </c>
    </row>
    <row r="191" spans="1:11" x14ac:dyDescent="0.2">
      <c r="A191">
        <v>81127</v>
      </c>
      <c r="B191">
        <v>651</v>
      </c>
      <c r="C191" t="s">
        <v>3870</v>
      </c>
      <c r="D191">
        <v>8</v>
      </c>
      <c r="E191">
        <v>24</v>
      </c>
      <c r="F191">
        <v>199</v>
      </c>
      <c r="G191">
        <v>4776</v>
      </c>
      <c r="H191">
        <v>70</v>
      </c>
      <c r="I191">
        <v>2.8</v>
      </c>
      <c r="J191">
        <v>1.89</v>
      </c>
      <c r="K191">
        <v>9026.64</v>
      </c>
    </row>
    <row r="192" spans="1:11" x14ac:dyDescent="0.2">
      <c r="A192">
        <v>38650</v>
      </c>
      <c r="B192">
        <v>655</v>
      </c>
      <c r="C192" t="s">
        <v>3871</v>
      </c>
      <c r="D192">
        <v>10</v>
      </c>
      <c r="E192">
        <v>90</v>
      </c>
      <c r="F192">
        <v>1</v>
      </c>
      <c r="G192">
        <v>90</v>
      </c>
      <c r="H192">
        <v>4</v>
      </c>
      <c r="I192">
        <v>0.3</v>
      </c>
      <c r="J192">
        <v>5.59</v>
      </c>
      <c r="K192">
        <v>503.1</v>
      </c>
    </row>
    <row r="193" spans="1:11" x14ac:dyDescent="0.2">
      <c r="A193">
        <v>43659</v>
      </c>
      <c r="B193">
        <v>657</v>
      </c>
      <c r="C193" t="s">
        <v>3872</v>
      </c>
      <c r="D193">
        <v>10</v>
      </c>
      <c r="E193">
        <v>72</v>
      </c>
      <c r="F193">
        <v>0</v>
      </c>
      <c r="G193">
        <v>0</v>
      </c>
      <c r="H193">
        <v>4</v>
      </c>
      <c r="I193">
        <v>0</v>
      </c>
      <c r="J193">
        <v>4.99</v>
      </c>
      <c r="K193">
        <v>0</v>
      </c>
    </row>
    <row r="194" spans="1:11" x14ac:dyDescent="0.2">
      <c r="A194">
        <v>57654</v>
      </c>
      <c r="B194">
        <v>661</v>
      </c>
      <c r="C194" t="s">
        <v>3873</v>
      </c>
      <c r="D194">
        <v>10</v>
      </c>
      <c r="E194">
        <v>18</v>
      </c>
      <c r="F194">
        <v>1</v>
      </c>
      <c r="G194">
        <v>25</v>
      </c>
      <c r="H194">
        <v>28</v>
      </c>
      <c r="I194">
        <v>0</v>
      </c>
      <c r="J194">
        <v>2.59</v>
      </c>
      <c r="K194">
        <v>64.75</v>
      </c>
    </row>
    <row r="195" spans="1:11" x14ac:dyDescent="0.2">
      <c r="A195">
        <v>42681</v>
      </c>
      <c r="B195">
        <v>663</v>
      </c>
      <c r="C195" t="s">
        <v>3874</v>
      </c>
      <c r="D195">
        <v>10</v>
      </c>
      <c r="E195">
        <v>1</v>
      </c>
      <c r="F195">
        <v>80</v>
      </c>
      <c r="G195">
        <v>80</v>
      </c>
      <c r="H195">
        <v>48</v>
      </c>
      <c r="I195">
        <v>1.7</v>
      </c>
      <c r="J195">
        <v>5.5</v>
      </c>
      <c r="K195">
        <v>440</v>
      </c>
    </row>
    <row r="196" spans="1:11" x14ac:dyDescent="0.2">
      <c r="A196">
        <v>44638</v>
      </c>
      <c r="B196">
        <v>664</v>
      </c>
      <c r="C196" t="s">
        <v>3875</v>
      </c>
      <c r="D196">
        <v>6</v>
      </c>
      <c r="E196">
        <v>3</v>
      </c>
      <c r="F196">
        <v>0</v>
      </c>
      <c r="G196">
        <v>0</v>
      </c>
      <c r="H196">
        <v>84</v>
      </c>
      <c r="I196">
        <v>0</v>
      </c>
      <c r="J196">
        <v>5.35</v>
      </c>
      <c r="K196">
        <v>0</v>
      </c>
    </row>
    <row r="197" spans="1:11" x14ac:dyDescent="0.2">
      <c r="A197">
        <v>44639</v>
      </c>
      <c r="B197">
        <v>665</v>
      </c>
      <c r="C197" t="s">
        <v>3876</v>
      </c>
      <c r="D197">
        <v>6</v>
      </c>
      <c r="E197">
        <v>3</v>
      </c>
      <c r="F197">
        <v>0</v>
      </c>
      <c r="G197">
        <v>0</v>
      </c>
      <c r="H197">
        <v>84</v>
      </c>
      <c r="I197">
        <v>0</v>
      </c>
      <c r="J197">
        <v>5.19</v>
      </c>
      <c r="K197">
        <v>0</v>
      </c>
    </row>
    <row r="198" spans="1:11" x14ac:dyDescent="0.2">
      <c r="A198">
        <v>44635</v>
      </c>
      <c r="B198">
        <v>666</v>
      </c>
      <c r="C198" t="s">
        <v>3877</v>
      </c>
      <c r="D198">
        <v>6</v>
      </c>
      <c r="E198">
        <v>72</v>
      </c>
      <c r="F198">
        <v>0</v>
      </c>
      <c r="G198">
        <v>0</v>
      </c>
      <c r="H198">
        <v>4</v>
      </c>
      <c r="I198">
        <v>0</v>
      </c>
      <c r="J198">
        <v>6.99</v>
      </c>
      <c r="K198">
        <v>0</v>
      </c>
    </row>
    <row r="199" spans="1:11" x14ac:dyDescent="0.2">
      <c r="A199">
        <v>44636</v>
      </c>
      <c r="B199">
        <v>667</v>
      </c>
      <c r="C199" t="s">
        <v>3878</v>
      </c>
      <c r="D199">
        <v>6</v>
      </c>
      <c r="E199">
        <v>72</v>
      </c>
      <c r="F199">
        <v>0</v>
      </c>
      <c r="G199">
        <v>0</v>
      </c>
      <c r="H199">
        <v>4</v>
      </c>
      <c r="I199">
        <v>0</v>
      </c>
      <c r="J199">
        <v>5.15</v>
      </c>
      <c r="K199">
        <v>0</v>
      </c>
    </row>
    <row r="200" spans="1:11" x14ac:dyDescent="0.2">
      <c r="A200">
        <v>44637</v>
      </c>
      <c r="B200">
        <v>669</v>
      </c>
      <c r="C200" t="s">
        <v>3879</v>
      </c>
      <c r="D200">
        <v>10</v>
      </c>
      <c r="E200">
        <v>60</v>
      </c>
      <c r="F200">
        <v>-31</v>
      </c>
      <c r="G200">
        <v>-1860</v>
      </c>
      <c r="H200">
        <v>4</v>
      </c>
      <c r="I200">
        <v>-7.8</v>
      </c>
      <c r="J200">
        <v>6.49</v>
      </c>
      <c r="K200">
        <v>-12071.4</v>
      </c>
    </row>
    <row r="201" spans="1:11" x14ac:dyDescent="0.2">
      <c r="A201">
        <v>57333</v>
      </c>
      <c r="B201">
        <v>672</v>
      </c>
      <c r="C201" t="s">
        <v>3880</v>
      </c>
      <c r="D201">
        <v>11</v>
      </c>
      <c r="E201">
        <v>132</v>
      </c>
      <c r="F201">
        <v>0</v>
      </c>
      <c r="G201">
        <v>0</v>
      </c>
      <c r="H201">
        <v>2</v>
      </c>
      <c r="I201">
        <v>0</v>
      </c>
      <c r="J201">
        <v>1.8</v>
      </c>
      <c r="K201">
        <v>0</v>
      </c>
    </row>
    <row r="202" spans="1:11" x14ac:dyDescent="0.2">
      <c r="A202">
        <v>45687</v>
      </c>
      <c r="B202">
        <v>676</v>
      </c>
      <c r="C202" t="s">
        <v>3881</v>
      </c>
      <c r="D202">
        <v>10</v>
      </c>
      <c r="E202">
        <v>120</v>
      </c>
      <c r="F202">
        <v>0</v>
      </c>
      <c r="G202">
        <v>0</v>
      </c>
      <c r="H202">
        <v>4</v>
      </c>
      <c r="I202">
        <v>0</v>
      </c>
      <c r="J202">
        <v>4.09</v>
      </c>
      <c r="K202">
        <v>0</v>
      </c>
    </row>
    <row r="203" spans="1:11" x14ac:dyDescent="0.2">
      <c r="B203">
        <v>677</v>
      </c>
      <c r="C203" t="s">
        <v>3882</v>
      </c>
      <c r="D203">
        <v>11</v>
      </c>
      <c r="E203">
        <v>24</v>
      </c>
      <c r="F203">
        <v>0</v>
      </c>
      <c r="G203">
        <v>0</v>
      </c>
      <c r="H203">
        <v>70</v>
      </c>
      <c r="I203">
        <v>0</v>
      </c>
      <c r="J203">
        <v>9.99</v>
      </c>
      <c r="K203">
        <v>0</v>
      </c>
    </row>
    <row r="204" spans="1:11" x14ac:dyDescent="0.2">
      <c r="A204">
        <v>65107</v>
      </c>
      <c r="B204">
        <v>678</v>
      </c>
      <c r="C204" t="s">
        <v>3883</v>
      </c>
      <c r="D204">
        <v>8</v>
      </c>
      <c r="E204">
        <v>8</v>
      </c>
      <c r="F204">
        <v>716</v>
      </c>
      <c r="G204">
        <v>5725</v>
      </c>
      <c r="H204">
        <v>224</v>
      </c>
      <c r="I204">
        <v>3.2</v>
      </c>
      <c r="J204">
        <v>0.81</v>
      </c>
      <c r="K204">
        <v>4637.25</v>
      </c>
    </row>
    <row r="205" spans="1:11" x14ac:dyDescent="0.2">
      <c r="A205">
        <v>45600</v>
      </c>
      <c r="B205">
        <v>679</v>
      </c>
      <c r="C205" t="s">
        <v>3884</v>
      </c>
      <c r="D205">
        <v>10</v>
      </c>
      <c r="E205">
        <v>115</v>
      </c>
      <c r="F205">
        <v>0</v>
      </c>
      <c r="G205">
        <v>0</v>
      </c>
      <c r="H205">
        <v>4</v>
      </c>
      <c r="I205">
        <v>0</v>
      </c>
      <c r="J205">
        <v>2</v>
      </c>
      <c r="K205">
        <v>0</v>
      </c>
    </row>
    <row r="206" spans="1:11" x14ac:dyDescent="0.2">
      <c r="A206">
        <v>46667</v>
      </c>
      <c r="B206">
        <v>681</v>
      </c>
      <c r="C206" t="s">
        <v>3885</v>
      </c>
      <c r="D206">
        <v>10</v>
      </c>
      <c r="E206">
        <v>10</v>
      </c>
      <c r="F206">
        <v>0</v>
      </c>
      <c r="G206">
        <v>0</v>
      </c>
      <c r="H206">
        <v>75</v>
      </c>
      <c r="I206">
        <v>0</v>
      </c>
      <c r="J206">
        <v>1.35</v>
      </c>
      <c r="K206">
        <v>0</v>
      </c>
    </row>
    <row r="207" spans="1:11" x14ac:dyDescent="0.2">
      <c r="B207">
        <v>682</v>
      </c>
      <c r="C207" t="s">
        <v>3886</v>
      </c>
      <c r="D207">
        <v>10</v>
      </c>
      <c r="E207">
        <v>3</v>
      </c>
      <c r="F207">
        <v>16</v>
      </c>
      <c r="G207">
        <v>48</v>
      </c>
      <c r="H207">
        <v>80</v>
      </c>
      <c r="I207">
        <v>0.2</v>
      </c>
      <c r="J207">
        <v>2.89</v>
      </c>
      <c r="K207">
        <v>138.72</v>
      </c>
    </row>
    <row r="208" spans="1:11" x14ac:dyDescent="0.2">
      <c r="A208">
        <v>95109</v>
      </c>
      <c r="B208">
        <v>685</v>
      </c>
      <c r="C208" t="s">
        <v>3887</v>
      </c>
      <c r="D208">
        <v>8</v>
      </c>
      <c r="E208">
        <v>6</v>
      </c>
      <c r="F208">
        <v>6953</v>
      </c>
      <c r="G208">
        <v>41718</v>
      </c>
      <c r="H208">
        <v>100</v>
      </c>
      <c r="I208">
        <v>69.5</v>
      </c>
      <c r="J208">
        <v>0.8</v>
      </c>
      <c r="K208">
        <v>33374.400000000001</v>
      </c>
    </row>
    <row r="209" spans="1:11" x14ac:dyDescent="0.2">
      <c r="A209">
        <v>57463</v>
      </c>
      <c r="B209">
        <v>686</v>
      </c>
      <c r="C209" t="s">
        <v>3888</v>
      </c>
      <c r="D209">
        <v>10</v>
      </c>
      <c r="E209">
        <v>108</v>
      </c>
      <c r="F209">
        <v>0</v>
      </c>
      <c r="G209">
        <v>38</v>
      </c>
      <c r="H209">
        <v>4</v>
      </c>
      <c r="I209">
        <v>0.1</v>
      </c>
      <c r="J209">
        <v>2.15</v>
      </c>
      <c r="K209">
        <v>81.7</v>
      </c>
    </row>
    <row r="210" spans="1:11" x14ac:dyDescent="0.2">
      <c r="A210">
        <v>49682</v>
      </c>
      <c r="B210">
        <v>693</v>
      </c>
      <c r="C210" t="s">
        <v>3889</v>
      </c>
      <c r="D210">
        <v>10</v>
      </c>
      <c r="E210">
        <v>1</v>
      </c>
      <c r="F210">
        <v>0</v>
      </c>
      <c r="G210">
        <v>0</v>
      </c>
      <c r="H210">
        <v>84</v>
      </c>
      <c r="I210">
        <v>0</v>
      </c>
      <c r="J210">
        <v>2.85</v>
      </c>
      <c r="K210">
        <v>0</v>
      </c>
    </row>
    <row r="211" spans="1:11" x14ac:dyDescent="0.2">
      <c r="B211">
        <v>693</v>
      </c>
      <c r="C211" t="s">
        <v>3889</v>
      </c>
      <c r="D211">
        <v>12</v>
      </c>
      <c r="E211">
        <v>6</v>
      </c>
      <c r="F211">
        <v>0</v>
      </c>
      <c r="G211">
        <v>0</v>
      </c>
      <c r="H211">
        <v>84</v>
      </c>
      <c r="I211">
        <v>0</v>
      </c>
      <c r="J211">
        <v>2.85</v>
      </c>
      <c r="K211">
        <v>0</v>
      </c>
    </row>
    <row r="212" spans="1:11" x14ac:dyDescent="0.2">
      <c r="B212">
        <v>694</v>
      </c>
      <c r="C212" t="s">
        <v>3890</v>
      </c>
      <c r="D212">
        <v>11</v>
      </c>
      <c r="E212">
        <v>3</v>
      </c>
      <c r="F212">
        <v>0</v>
      </c>
      <c r="G212">
        <v>0</v>
      </c>
      <c r="H212">
        <v>48</v>
      </c>
      <c r="I212">
        <v>0</v>
      </c>
      <c r="J212">
        <v>4.1900000000000004</v>
      </c>
      <c r="K212">
        <v>0</v>
      </c>
    </row>
    <row r="213" spans="1:11" x14ac:dyDescent="0.2">
      <c r="A213">
        <v>48650</v>
      </c>
      <c r="B213">
        <v>695</v>
      </c>
      <c r="C213" t="s">
        <v>3891</v>
      </c>
      <c r="D213">
        <v>10</v>
      </c>
      <c r="E213">
        <v>6</v>
      </c>
      <c r="F213">
        <v>-4</v>
      </c>
      <c r="G213">
        <v>-24</v>
      </c>
      <c r="H213">
        <v>60</v>
      </c>
      <c r="I213">
        <v>-0.1</v>
      </c>
      <c r="J213">
        <v>4.3899999999999997</v>
      </c>
      <c r="K213">
        <v>-105.36</v>
      </c>
    </row>
    <row r="214" spans="1:11" x14ac:dyDescent="0.2">
      <c r="A214">
        <v>82080</v>
      </c>
      <c r="B214">
        <v>696</v>
      </c>
      <c r="C214" t="s">
        <v>3892</v>
      </c>
      <c r="D214">
        <v>8</v>
      </c>
      <c r="E214">
        <v>14</v>
      </c>
      <c r="F214">
        <v>293</v>
      </c>
      <c r="G214">
        <v>4102</v>
      </c>
      <c r="H214">
        <v>162</v>
      </c>
      <c r="I214">
        <v>1.8</v>
      </c>
      <c r="J214">
        <v>2.93</v>
      </c>
      <c r="K214">
        <v>12018.86</v>
      </c>
    </row>
    <row r="215" spans="1:11" x14ac:dyDescent="0.2">
      <c r="A215">
        <v>66118</v>
      </c>
      <c r="B215">
        <v>697</v>
      </c>
      <c r="C215" t="s">
        <v>3893</v>
      </c>
      <c r="D215">
        <v>8</v>
      </c>
      <c r="E215">
        <v>16</v>
      </c>
      <c r="F215">
        <v>275</v>
      </c>
      <c r="G215">
        <v>4400</v>
      </c>
      <c r="H215">
        <v>56</v>
      </c>
      <c r="I215">
        <v>4.9000000000000004</v>
      </c>
      <c r="J215">
        <v>0.82</v>
      </c>
      <c r="K215">
        <v>3608</v>
      </c>
    </row>
    <row r="216" spans="1:11" x14ac:dyDescent="0.2">
      <c r="A216">
        <v>76036</v>
      </c>
      <c r="B216">
        <v>701</v>
      </c>
      <c r="C216" t="s">
        <v>3894</v>
      </c>
      <c r="D216">
        <v>8</v>
      </c>
      <c r="E216">
        <v>13</v>
      </c>
      <c r="F216">
        <v>189</v>
      </c>
      <c r="G216">
        <v>2457</v>
      </c>
      <c r="H216">
        <v>80</v>
      </c>
      <c r="I216">
        <v>2.4</v>
      </c>
      <c r="J216">
        <v>2.09</v>
      </c>
      <c r="K216">
        <v>5135.13</v>
      </c>
    </row>
    <row r="217" spans="1:11" x14ac:dyDescent="0.2">
      <c r="A217">
        <v>76037</v>
      </c>
      <c r="B217">
        <v>702</v>
      </c>
      <c r="C217" t="s">
        <v>3895</v>
      </c>
      <c r="D217">
        <v>8</v>
      </c>
      <c r="E217">
        <v>30</v>
      </c>
      <c r="F217">
        <v>81</v>
      </c>
      <c r="G217">
        <v>2430</v>
      </c>
      <c r="H217">
        <v>64</v>
      </c>
      <c r="I217">
        <v>1.3</v>
      </c>
      <c r="J217">
        <v>1.75</v>
      </c>
      <c r="K217">
        <v>4252.5</v>
      </c>
    </row>
    <row r="218" spans="1:11" x14ac:dyDescent="0.2">
      <c r="A218">
        <v>85248</v>
      </c>
      <c r="B218">
        <v>705</v>
      </c>
      <c r="C218" t="s">
        <v>3896</v>
      </c>
      <c r="D218">
        <v>10</v>
      </c>
      <c r="E218">
        <v>12</v>
      </c>
      <c r="F218">
        <v>358</v>
      </c>
      <c r="G218">
        <v>4296</v>
      </c>
      <c r="H218">
        <v>105</v>
      </c>
      <c r="I218">
        <v>3.4</v>
      </c>
      <c r="J218">
        <v>1.75</v>
      </c>
      <c r="K218">
        <v>7518</v>
      </c>
    </row>
    <row r="219" spans="1:11" x14ac:dyDescent="0.2">
      <c r="A219">
        <v>83019</v>
      </c>
      <c r="B219">
        <v>707</v>
      </c>
      <c r="C219" t="s">
        <v>3897</v>
      </c>
      <c r="D219">
        <v>8</v>
      </c>
      <c r="E219">
        <v>16</v>
      </c>
      <c r="F219">
        <v>363</v>
      </c>
      <c r="G219">
        <v>5808</v>
      </c>
      <c r="H219">
        <v>140</v>
      </c>
      <c r="I219">
        <v>2.6</v>
      </c>
      <c r="J219">
        <v>1.29</v>
      </c>
      <c r="K219">
        <v>7492.32</v>
      </c>
    </row>
    <row r="220" spans="1:11" x14ac:dyDescent="0.2">
      <c r="A220">
        <v>76030</v>
      </c>
      <c r="B220">
        <v>711</v>
      </c>
      <c r="C220" t="s">
        <v>3898</v>
      </c>
      <c r="D220">
        <v>8</v>
      </c>
      <c r="E220">
        <v>30</v>
      </c>
      <c r="F220">
        <v>137</v>
      </c>
      <c r="G220">
        <v>4106</v>
      </c>
      <c r="H220">
        <v>40</v>
      </c>
      <c r="I220">
        <v>3.4</v>
      </c>
      <c r="J220">
        <v>1.88</v>
      </c>
      <c r="K220">
        <v>7719.28</v>
      </c>
    </row>
    <row r="221" spans="1:11" x14ac:dyDescent="0.2">
      <c r="A221">
        <v>82214</v>
      </c>
      <c r="B221">
        <v>717</v>
      </c>
      <c r="C221" t="s">
        <v>3899</v>
      </c>
      <c r="D221">
        <v>8</v>
      </c>
      <c r="E221">
        <v>10</v>
      </c>
      <c r="F221">
        <v>184</v>
      </c>
      <c r="G221">
        <v>1840</v>
      </c>
      <c r="H221">
        <v>96</v>
      </c>
      <c r="I221">
        <v>1.9</v>
      </c>
      <c r="J221">
        <v>0.89</v>
      </c>
      <c r="K221">
        <v>1637.6</v>
      </c>
    </row>
    <row r="222" spans="1:11" x14ac:dyDescent="0.2">
      <c r="A222">
        <v>82199</v>
      </c>
      <c r="B222">
        <v>718</v>
      </c>
      <c r="C222" t="s">
        <v>3900</v>
      </c>
      <c r="D222">
        <v>8</v>
      </c>
      <c r="E222">
        <v>10</v>
      </c>
      <c r="F222">
        <v>185</v>
      </c>
      <c r="G222">
        <v>1850</v>
      </c>
      <c r="H222">
        <v>96</v>
      </c>
      <c r="I222">
        <v>1.9</v>
      </c>
      <c r="J222">
        <v>0.89</v>
      </c>
      <c r="K222">
        <v>1646.5</v>
      </c>
    </row>
    <row r="223" spans="1:11" x14ac:dyDescent="0.2">
      <c r="A223">
        <v>82215</v>
      </c>
      <c r="B223">
        <v>719</v>
      </c>
      <c r="C223" t="s">
        <v>3901</v>
      </c>
      <c r="D223">
        <v>8</v>
      </c>
      <c r="E223">
        <v>10</v>
      </c>
      <c r="F223">
        <v>307</v>
      </c>
      <c r="G223">
        <v>3068</v>
      </c>
      <c r="H223">
        <v>96</v>
      </c>
      <c r="I223">
        <v>3.2</v>
      </c>
      <c r="J223">
        <v>1.0900000000000001</v>
      </c>
      <c r="K223">
        <v>3344.12</v>
      </c>
    </row>
    <row r="224" spans="1:11" x14ac:dyDescent="0.2">
      <c r="A224">
        <v>82223</v>
      </c>
      <c r="B224">
        <v>721</v>
      </c>
      <c r="C224" t="s">
        <v>3902</v>
      </c>
      <c r="D224">
        <v>8</v>
      </c>
      <c r="E224">
        <v>26</v>
      </c>
      <c r="F224">
        <v>403</v>
      </c>
      <c r="G224">
        <v>10478</v>
      </c>
      <c r="H224">
        <v>100</v>
      </c>
      <c r="I224">
        <v>4</v>
      </c>
      <c r="J224">
        <v>1.99</v>
      </c>
      <c r="K224">
        <v>20851.22</v>
      </c>
    </row>
    <row r="225" spans="1:11" x14ac:dyDescent="0.2">
      <c r="A225">
        <v>83061</v>
      </c>
      <c r="B225">
        <v>726</v>
      </c>
      <c r="C225" t="s">
        <v>3903</v>
      </c>
      <c r="D225">
        <v>8</v>
      </c>
      <c r="E225">
        <v>9</v>
      </c>
      <c r="F225">
        <v>181</v>
      </c>
      <c r="G225">
        <v>1629</v>
      </c>
      <c r="H225">
        <v>96</v>
      </c>
      <c r="I225">
        <v>1.9</v>
      </c>
      <c r="J225">
        <v>2.99</v>
      </c>
      <c r="K225">
        <v>4870.71</v>
      </c>
    </row>
    <row r="226" spans="1:11" x14ac:dyDescent="0.2">
      <c r="B226">
        <v>732</v>
      </c>
      <c r="C226" t="s">
        <v>3904</v>
      </c>
      <c r="D226">
        <v>10</v>
      </c>
      <c r="E226">
        <v>16</v>
      </c>
      <c r="F226">
        <v>0</v>
      </c>
      <c r="G226">
        <v>0</v>
      </c>
      <c r="H226">
        <v>60</v>
      </c>
      <c r="I226">
        <v>0</v>
      </c>
      <c r="J226">
        <v>1.19</v>
      </c>
      <c r="K226">
        <v>0</v>
      </c>
    </row>
    <row r="227" spans="1:11" x14ac:dyDescent="0.2">
      <c r="A227">
        <v>83058</v>
      </c>
      <c r="B227">
        <v>742</v>
      </c>
      <c r="C227" t="s">
        <v>3905</v>
      </c>
      <c r="D227">
        <v>8</v>
      </c>
      <c r="E227">
        <v>12</v>
      </c>
      <c r="F227">
        <v>72</v>
      </c>
      <c r="G227">
        <v>864</v>
      </c>
      <c r="H227">
        <v>48</v>
      </c>
      <c r="I227">
        <v>1.5</v>
      </c>
      <c r="J227">
        <v>1.99</v>
      </c>
      <c r="K227">
        <v>1719.36</v>
      </c>
    </row>
    <row r="228" spans="1:11" x14ac:dyDescent="0.2">
      <c r="A228">
        <v>82016</v>
      </c>
      <c r="B228">
        <v>745</v>
      </c>
      <c r="C228" t="s">
        <v>3906</v>
      </c>
      <c r="D228">
        <v>8</v>
      </c>
      <c r="E228">
        <v>12</v>
      </c>
      <c r="F228">
        <v>210</v>
      </c>
      <c r="G228">
        <v>2520</v>
      </c>
      <c r="H228">
        <v>48</v>
      </c>
      <c r="I228">
        <v>4.4000000000000004</v>
      </c>
      <c r="J228">
        <v>2.95</v>
      </c>
      <c r="K228">
        <v>7434</v>
      </c>
    </row>
    <row r="229" spans="1:11" x14ac:dyDescent="0.2">
      <c r="A229">
        <v>82083</v>
      </c>
      <c r="B229">
        <v>747</v>
      </c>
      <c r="C229" t="s">
        <v>3907</v>
      </c>
      <c r="D229">
        <v>8</v>
      </c>
      <c r="E229">
        <v>8</v>
      </c>
      <c r="F229">
        <v>244</v>
      </c>
      <c r="G229">
        <v>1952</v>
      </c>
      <c r="H229">
        <v>76</v>
      </c>
      <c r="I229">
        <v>3.2</v>
      </c>
      <c r="J229">
        <v>1.89</v>
      </c>
      <c r="K229">
        <v>3689.28</v>
      </c>
    </row>
    <row r="230" spans="1:11" x14ac:dyDescent="0.2">
      <c r="A230">
        <v>82237</v>
      </c>
      <c r="B230">
        <v>750</v>
      </c>
      <c r="C230" t="s">
        <v>3908</v>
      </c>
      <c r="D230">
        <v>8</v>
      </c>
      <c r="E230">
        <v>8</v>
      </c>
      <c r="F230">
        <v>364</v>
      </c>
      <c r="G230">
        <v>2912</v>
      </c>
      <c r="H230">
        <v>84</v>
      </c>
      <c r="I230">
        <v>4.3</v>
      </c>
      <c r="J230">
        <v>1.59</v>
      </c>
      <c r="K230">
        <v>4630.08</v>
      </c>
    </row>
    <row r="231" spans="1:11" x14ac:dyDescent="0.2">
      <c r="A231">
        <v>82160</v>
      </c>
      <c r="B231">
        <v>752</v>
      </c>
      <c r="C231" t="s">
        <v>3909</v>
      </c>
      <c r="D231">
        <v>8</v>
      </c>
      <c r="E231">
        <v>6</v>
      </c>
      <c r="F231">
        <v>158</v>
      </c>
      <c r="G231">
        <v>948</v>
      </c>
      <c r="H231">
        <v>72</v>
      </c>
      <c r="I231">
        <v>2.2000000000000002</v>
      </c>
      <c r="J231">
        <v>3.09</v>
      </c>
      <c r="K231">
        <v>2929.32</v>
      </c>
    </row>
    <row r="232" spans="1:11" x14ac:dyDescent="0.2">
      <c r="B232">
        <v>752</v>
      </c>
      <c r="C232" t="s">
        <v>3909</v>
      </c>
      <c r="D232">
        <v>12</v>
      </c>
      <c r="E232">
        <v>8</v>
      </c>
      <c r="F232">
        <v>-5</v>
      </c>
      <c r="G232">
        <v>-40</v>
      </c>
      <c r="H232">
        <v>64</v>
      </c>
      <c r="I232">
        <v>-0.1</v>
      </c>
      <c r="J232">
        <v>3.09</v>
      </c>
      <c r="K232">
        <v>-123.6</v>
      </c>
    </row>
    <row r="233" spans="1:11" x14ac:dyDescent="0.2">
      <c r="A233">
        <v>83056</v>
      </c>
      <c r="B233">
        <v>756</v>
      </c>
      <c r="C233" t="s">
        <v>3910</v>
      </c>
      <c r="D233">
        <v>8</v>
      </c>
      <c r="E233">
        <v>11</v>
      </c>
      <c r="F233">
        <v>222</v>
      </c>
      <c r="G233">
        <v>2442</v>
      </c>
      <c r="H233">
        <v>120</v>
      </c>
      <c r="I233">
        <v>1.9</v>
      </c>
      <c r="J233">
        <v>1.99</v>
      </c>
      <c r="K233">
        <v>4859.58</v>
      </c>
    </row>
    <row r="234" spans="1:11" x14ac:dyDescent="0.2">
      <c r="A234">
        <v>84182</v>
      </c>
      <c r="B234">
        <v>757</v>
      </c>
      <c r="C234" t="s">
        <v>3911</v>
      </c>
      <c r="D234">
        <v>8</v>
      </c>
      <c r="E234">
        <v>8</v>
      </c>
      <c r="F234">
        <v>533</v>
      </c>
      <c r="G234">
        <v>4264</v>
      </c>
      <c r="H234">
        <v>72</v>
      </c>
      <c r="I234">
        <v>7.4</v>
      </c>
      <c r="J234">
        <v>0.89</v>
      </c>
      <c r="K234">
        <v>3794.96</v>
      </c>
    </row>
    <row r="235" spans="1:11" x14ac:dyDescent="0.2">
      <c r="A235">
        <v>84171</v>
      </c>
      <c r="B235">
        <v>759</v>
      </c>
      <c r="C235" t="s">
        <v>3912</v>
      </c>
      <c r="D235">
        <v>8</v>
      </c>
      <c r="E235">
        <v>8</v>
      </c>
      <c r="F235">
        <v>746</v>
      </c>
      <c r="G235">
        <v>5968</v>
      </c>
      <c r="H235">
        <v>108</v>
      </c>
      <c r="I235">
        <v>6.9</v>
      </c>
      <c r="J235">
        <v>1.0900000000000001</v>
      </c>
      <c r="K235">
        <v>6505.12</v>
      </c>
    </row>
    <row r="236" spans="1:11" x14ac:dyDescent="0.2">
      <c r="A236">
        <v>85221</v>
      </c>
      <c r="B236">
        <v>760</v>
      </c>
      <c r="C236" t="s">
        <v>3913</v>
      </c>
      <c r="D236">
        <v>9</v>
      </c>
      <c r="E236">
        <v>12</v>
      </c>
      <c r="F236">
        <v>-20</v>
      </c>
      <c r="G236">
        <v>-240</v>
      </c>
      <c r="H236">
        <v>72</v>
      </c>
      <c r="I236">
        <v>-0.3</v>
      </c>
      <c r="J236">
        <v>6.29</v>
      </c>
      <c r="K236">
        <v>-1509.6</v>
      </c>
    </row>
    <row r="237" spans="1:11" x14ac:dyDescent="0.2">
      <c r="B237">
        <v>761</v>
      </c>
      <c r="C237" t="s">
        <v>3914</v>
      </c>
      <c r="D237">
        <v>11</v>
      </c>
      <c r="E237">
        <v>8</v>
      </c>
      <c r="F237">
        <v>-10</v>
      </c>
      <c r="G237">
        <v>-80</v>
      </c>
      <c r="H237">
        <v>84</v>
      </c>
      <c r="I237">
        <v>-0.1</v>
      </c>
      <c r="J237">
        <v>1.59</v>
      </c>
      <c r="K237">
        <v>-127.2</v>
      </c>
    </row>
    <row r="238" spans="1:11" x14ac:dyDescent="0.2">
      <c r="A238">
        <v>83017</v>
      </c>
      <c r="B238">
        <v>765</v>
      </c>
      <c r="C238" t="s">
        <v>3915</v>
      </c>
      <c r="D238">
        <v>8</v>
      </c>
      <c r="E238">
        <v>10</v>
      </c>
      <c r="F238">
        <v>113</v>
      </c>
      <c r="G238">
        <v>1130</v>
      </c>
      <c r="H238">
        <v>72</v>
      </c>
      <c r="I238">
        <v>1.6</v>
      </c>
      <c r="J238">
        <v>2.25</v>
      </c>
      <c r="K238">
        <v>2542.5</v>
      </c>
    </row>
    <row r="239" spans="1:11" x14ac:dyDescent="0.2">
      <c r="A239">
        <v>84166</v>
      </c>
      <c r="B239">
        <v>767</v>
      </c>
      <c r="C239" t="s">
        <v>3916</v>
      </c>
      <c r="D239">
        <v>8</v>
      </c>
      <c r="E239">
        <v>8</v>
      </c>
      <c r="F239">
        <v>333</v>
      </c>
      <c r="G239">
        <v>2664</v>
      </c>
      <c r="H239">
        <v>99</v>
      </c>
      <c r="I239">
        <v>3.4</v>
      </c>
      <c r="J239">
        <v>1.75</v>
      </c>
      <c r="K239">
        <v>4662</v>
      </c>
    </row>
    <row r="240" spans="1:11" x14ac:dyDescent="0.2">
      <c r="A240">
        <v>82232</v>
      </c>
      <c r="B240">
        <v>770</v>
      </c>
      <c r="C240" t="s">
        <v>3917</v>
      </c>
      <c r="D240">
        <v>8</v>
      </c>
      <c r="E240">
        <v>12</v>
      </c>
      <c r="F240">
        <v>154</v>
      </c>
      <c r="G240">
        <v>1848</v>
      </c>
      <c r="H240">
        <v>110</v>
      </c>
      <c r="I240">
        <v>1.4</v>
      </c>
      <c r="J240">
        <v>1.29</v>
      </c>
      <c r="K240">
        <v>2383.92</v>
      </c>
    </row>
    <row r="241" spans="1:11" x14ac:dyDescent="0.2">
      <c r="A241">
        <v>27500</v>
      </c>
      <c r="B241">
        <v>778</v>
      </c>
      <c r="C241" t="s">
        <v>3918</v>
      </c>
      <c r="D241">
        <v>10</v>
      </c>
      <c r="E241">
        <v>12</v>
      </c>
      <c r="F241">
        <v>0</v>
      </c>
      <c r="G241">
        <v>0</v>
      </c>
      <c r="H241">
        <v>112</v>
      </c>
      <c r="I241">
        <v>0</v>
      </c>
      <c r="J241">
        <v>2.19</v>
      </c>
      <c r="K241">
        <v>0</v>
      </c>
    </row>
    <row r="242" spans="1:11" x14ac:dyDescent="0.2">
      <c r="A242">
        <v>83210</v>
      </c>
      <c r="B242">
        <v>779</v>
      </c>
      <c r="C242" t="s">
        <v>3919</v>
      </c>
      <c r="D242">
        <v>8</v>
      </c>
      <c r="E242">
        <v>12</v>
      </c>
      <c r="F242">
        <v>341</v>
      </c>
      <c r="G242">
        <v>4092</v>
      </c>
      <c r="H242">
        <v>84</v>
      </c>
      <c r="I242">
        <v>4.0999999999999996</v>
      </c>
      <c r="J242">
        <v>1.99</v>
      </c>
      <c r="K242">
        <v>8143.08</v>
      </c>
    </row>
    <row r="243" spans="1:11" x14ac:dyDescent="0.2">
      <c r="A243">
        <v>84197</v>
      </c>
      <c r="B243">
        <v>786</v>
      </c>
      <c r="C243" t="s">
        <v>3920</v>
      </c>
      <c r="D243">
        <v>8</v>
      </c>
      <c r="E243">
        <v>8</v>
      </c>
      <c r="F243">
        <v>267</v>
      </c>
      <c r="G243">
        <v>2136</v>
      </c>
      <c r="H243">
        <v>72</v>
      </c>
      <c r="I243">
        <v>3.7</v>
      </c>
      <c r="J243">
        <v>2.29</v>
      </c>
      <c r="K243">
        <v>4891.4399999999996</v>
      </c>
    </row>
    <row r="244" spans="1:11" x14ac:dyDescent="0.2">
      <c r="A244">
        <v>48501</v>
      </c>
      <c r="B244">
        <v>791</v>
      </c>
      <c r="C244" t="s">
        <v>3921</v>
      </c>
      <c r="D244">
        <v>10</v>
      </c>
      <c r="E244">
        <v>8</v>
      </c>
      <c r="F244">
        <v>-22</v>
      </c>
      <c r="G244">
        <v>-176</v>
      </c>
      <c r="H244">
        <v>110</v>
      </c>
      <c r="I244">
        <v>-0.2</v>
      </c>
      <c r="J244">
        <v>7.99</v>
      </c>
      <c r="K244">
        <v>-1406.24</v>
      </c>
    </row>
    <row r="245" spans="1:11" x14ac:dyDescent="0.2">
      <c r="A245">
        <v>84083</v>
      </c>
      <c r="B245">
        <v>792</v>
      </c>
      <c r="C245" t="s">
        <v>3922</v>
      </c>
      <c r="D245">
        <v>8</v>
      </c>
      <c r="E245">
        <v>6</v>
      </c>
      <c r="F245">
        <v>349</v>
      </c>
      <c r="G245">
        <v>2094</v>
      </c>
      <c r="H245">
        <v>60</v>
      </c>
      <c r="I245">
        <v>5.8</v>
      </c>
      <c r="J245">
        <v>1.85</v>
      </c>
      <c r="K245">
        <v>3873.9</v>
      </c>
    </row>
    <row r="246" spans="1:11" x14ac:dyDescent="0.2">
      <c r="A246">
        <v>83104</v>
      </c>
      <c r="B246">
        <v>793</v>
      </c>
      <c r="C246" t="s">
        <v>3923</v>
      </c>
      <c r="D246">
        <v>8</v>
      </c>
      <c r="E246">
        <v>15</v>
      </c>
      <c r="F246">
        <v>115</v>
      </c>
      <c r="G246">
        <v>1725</v>
      </c>
      <c r="H246">
        <v>64</v>
      </c>
      <c r="I246">
        <v>1.8</v>
      </c>
      <c r="J246">
        <v>2.89</v>
      </c>
      <c r="K246">
        <v>4985.25</v>
      </c>
    </row>
    <row r="247" spans="1:11" x14ac:dyDescent="0.2">
      <c r="A247">
        <v>76039</v>
      </c>
      <c r="B247">
        <v>795</v>
      </c>
      <c r="C247" t="s">
        <v>3924</v>
      </c>
      <c r="D247">
        <v>8</v>
      </c>
      <c r="E247">
        <v>15</v>
      </c>
      <c r="F247">
        <v>192</v>
      </c>
      <c r="G247">
        <v>2880</v>
      </c>
      <c r="H247">
        <v>80</v>
      </c>
      <c r="I247">
        <v>2.4</v>
      </c>
      <c r="J247">
        <v>2.59</v>
      </c>
      <c r="K247">
        <v>7459.2</v>
      </c>
    </row>
    <row r="248" spans="1:11" x14ac:dyDescent="0.2">
      <c r="B248">
        <v>796</v>
      </c>
      <c r="C248" t="s">
        <v>3925</v>
      </c>
      <c r="D248">
        <v>10</v>
      </c>
      <c r="E248">
        <v>30</v>
      </c>
      <c r="F248">
        <v>3</v>
      </c>
      <c r="G248">
        <v>90</v>
      </c>
      <c r="H248">
        <v>40</v>
      </c>
      <c r="I248">
        <v>0.1</v>
      </c>
      <c r="J248">
        <v>1.37</v>
      </c>
      <c r="K248">
        <v>123.3</v>
      </c>
    </row>
    <row r="249" spans="1:11" x14ac:dyDescent="0.2">
      <c r="A249">
        <v>76048</v>
      </c>
      <c r="B249">
        <v>797</v>
      </c>
      <c r="C249" t="s">
        <v>3926</v>
      </c>
      <c r="D249">
        <v>8</v>
      </c>
      <c r="E249">
        <v>18</v>
      </c>
      <c r="F249">
        <v>259</v>
      </c>
      <c r="G249">
        <v>4662</v>
      </c>
      <c r="H249">
        <v>108</v>
      </c>
      <c r="I249">
        <v>2.4</v>
      </c>
      <c r="J249">
        <v>0.92</v>
      </c>
      <c r="K249">
        <v>4289.04</v>
      </c>
    </row>
    <row r="250" spans="1:11" x14ac:dyDescent="0.2">
      <c r="A250">
        <v>76032</v>
      </c>
      <c r="B250">
        <v>798</v>
      </c>
      <c r="C250" t="s">
        <v>3927</v>
      </c>
      <c r="D250">
        <v>8</v>
      </c>
      <c r="E250">
        <v>10</v>
      </c>
      <c r="F250">
        <v>119</v>
      </c>
      <c r="G250">
        <v>1190</v>
      </c>
      <c r="H250">
        <v>64</v>
      </c>
      <c r="I250">
        <v>1.9</v>
      </c>
      <c r="J250">
        <v>2.4900000000000002</v>
      </c>
      <c r="K250">
        <v>2963.1</v>
      </c>
    </row>
    <row r="251" spans="1:11" x14ac:dyDescent="0.2">
      <c r="A251">
        <v>0</v>
      </c>
      <c r="B251">
        <v>798</v>
      </c>
      <c r="C251" t="s">
        <v>3927</v>
      </c>
      <c r="D251">
        <v>12</v>
      </c>
      <c r="E251">
        <v>15</v>
      </c>
      <c r="F251">
        <v>-3</v>
      </c>
      <c r="G251">
        <v>-45</v>
      </c>
      <c r="H251">
        <v>48</v>
      </c>
      <c r="I251">
        <v>-0.1</v>
      </c>
      <c r="J251">
        <v>2.4900000000000002</v>
      </c>
      <c r="K251">
        <v>-112.05</v>
      </c>
    </row>
    <row r="252" spans="1:11" x14ac:dyDescent="0.2">
      <c r="A252">
        <v>84006</v>
      </c>
      <c r="B252">
        <v>799</v>
      </c>
      <c r="C252" t="s">
        <v>3928</v>
      </c>
      <c r="D252">
        <v>8</v>
      </c>
      <c r="E252">
        <v>12</v>
      </c>
      <c r="F252">
        <v>245</v>
      </c>
      <c r="G252">
        <v>2940</v>
      </c>
      <c r="H252">
        <v>63</v>
      </c>
      <c r="I252">
        <v>3.9</v>
      </c>
      <c r="J252">
        <v>1.49</v>
      </c>
      <c r="K252">
        <v>4380.6000000000004</v>
      </c>
    </row>
    <row r="253" spans="1:11" x14ac:dyDescent="0.2">
      <c r="A253">
        <v>87007</v>
      </c>
      <c r="B253">
        <v>807</v>
      </c>
      <c r="C253" t="s">
        <v>3929</v>
      </c>
      <c r="D253">
        <v>8</v>
      </c>
      <c r="E253">
        <v>4</v>
      </c>
      <c r="F253">
        <v>756</v>
      </c>
      <c r="G253">
        <v>3024</v>
      </c>
      <c r="H253">
        <v>84</v>
      </c>
      <c r="I253">
        <v>9</v>
      </c>
      <c r="J253">
        <v>2.09</v>
      </c>
      <c r="K253">
        <v>6320.16</v>
      </c>
    </row>
    <row r="254" spans="1:11" x14ac:dyDescent="0.2">
      <c r="B254">
        <v>809</v>
      </c>
      <c r="C254" t="s">
        <v>3930</v>
      </c>
      <c r="D254">
        <v>11</v>
      </c>
      <c r="E254">
        <v>24</v>
      </c>
      <c r="F254">
        <v>0</v>
      </c>
      <c r="G254">
        <v>0</v>
      </c>
      <c r="H254">
        <v>32</v>
      </c>
      <c r="I254">
        <v>0</v>
      </c>
      <c r="J254">
        <v>1.75</v>
      </c>
      <c r="K254">
        <v>0</v>
      </c>
    </row>
    <row r="255" spans="1:11" x14ac:dyDescent="0.2">
      <c r="B255">
        <v>817</v>
      </c>
      <c r="C255" t="s">
        <v>3931</v>
      </c>
      <c r="D255">
        <v>11</v>
      </c>
      <c r="E255">
        <v>10</v>
      </c>
      <c r="F255">
        <v>0</v>
      </c>
      <c r="G255">
        <v>0</v>
      </c>
      <c r="H255">
        <v>72</v>
      </c>
      <c r="I255">
        <v>0</v>
      </c>
      <c r="J255">
        <v>2.99</v>
      </c>
      <c r="K255">
        <v>0</v>
      </c>
    </row>
    <row r="256" spans="1:11" x14ac:dyDescent="0.2">
      <c r="A256">
        <v>87037</v>
      </c>
      <c r="B256">
        <v>818</v>
      </c>
      <c r="C256" t="s">
        <v>3932</v>
      </c>
      <c r="D256">
        <v>8</v>
      </c>
      <c r="E256">
        <v>22</v>
      </c>
      <c r="F256">
        <v>900</v>
      </c>
      <c r="G256">
        <v>19800</v>
      </c>
      <c r="H256">
        <v>60</v>
      </c>
      <c r="I256">
        <v>15</v>
      </c>
      <c r="J256">
        <v>2.15</v>
      </c>
      <c r="K256">
        <v>42570</v>
      </c>
    </row>
    <row r="257" spans="1:11" x14ac:dyDescent="0.2">
      <c r="A257">
        <v>86056</v>
      </c>
      <c r="B257">
        <v>819</v>
      </c>
      <c r="C257" t="s">
        <v>3933</v>
      </c>
      <c r="D257">
        <v>8</v>
      </c>
      <c r="E257">
        <v>4</v>
      </c>
      <c r="F257">
        <v>756</v>
      </c>
      <c r="G257">
        <v>3024</v>
      </c>
      <c r="H257">
        <v>63</v>
      </c>
      <c r="I257">
        <v>12</v>
      </c>
      <c r="J257">
        <v>2.25</v>
      </c>
      <c r="K257">
        <v>6804</v>
      </c>
    </row>
    <row r="258" spans="1:11" x14ac:dyDescent="0.2">
      <c r="B258">
        <v>828</v>
      </c>
      <c r="C258" t="s">
        <v>3934</v>
      </c>
      <c r="D258">
        <v>11</v>
      </c>
      <c r="E258">
        <v>10</v>
      </c>
      <c r="F258">
        <v>0</v>
      </c>
      <c r="G258">
        <v>0</v>
      </c>
      <c r="H258">
        <v>72</v>
      </c>
      <c r="I258">
        <v>0</v>
      </c>
      <c r="J258">
        <v>2.69</v>
      </c>
      <c r="K258">
        <v>0</v>
      </c>
    </row>
    <row r="259" spans="1:11" x14ac:dyDescent="0.2">
      <c r="A259">
        <v>35501</v>
      </c>
      <c r="B259">
        <v>831</v>
      </c>
      <c r="C259" t="s">
        <v>3935</v>
      </c>
      <c r="D259">
        <v>10</v>
      </c>
      <c r="E259">
        <v>2</v>
      </c>
      <c r="F259">
        <v>0</v>
      </c>
      <c r="G259">
        <v>0</v>
      </c>
      <c r="H259">
        <v>42</v>
      </c>
      <c r="I259">
        <v>0</v>
      </c>
      <c r="J259">
        <v>3.79</v>
      </c>
      <c r="K259">
        <v>0</v>
      </c>
    </row>
    <row r="260" spans="1:11" x14ac:dyDescent="0.2">
      <c r="A260">
        <v>88036</v>
      </c>
      <c r="B260">
        <v>839</v>
      </c>
      <c r="C260" t="s">
        <v>3936</v>
      </c>
      <c r="D260">
        <v>8</v>
      </c>
      <c r="E260">
        <v>25</v>
      </c>
      <c r="F260">
        <v>0</v>
      </c>
      <c r="G260">
        <v>0</v>
      </c>
      <c r="H260">
        <v>72</v>
      </c>
      <c r="I260">
        <v>0</v>
      </c>
      <c r="J260">
        <v>3.99</v>
      </c>
      <c r="K260">
        <v>0</v>
      </c>
    </row>
    <row r="261" spans="1:11" x14ac:dyDescent="0.2">
      <c r="B261">
        <v>839</v>
      </c>
      <c r="C261" t="s">
        <v>3936</v>
      </c>
      <c r="D261">
        <v>12</v>
      </c>
      <c r="E261">
        <v>30</v>
      </c>
      <c r="F261">
        <v>0</v>
      </c>
      <c r="G261">
        <v>0</v>
      </c>
      <c r="H261">
        <v>20</v>
      </c>
      <c r="I261">
        <v>0</v>
      </c>
      <c r="J261">
        <v>3.99</v>
      </c>
      <c r="K261">
        <v>0</v>
      </c>
    </row>
    <row r="262" spans="1:11" x14ac:dyDescent="0.2">
      <c r="A262">
        <v>99241</v>
      </c>
      <c r="B262">
        <v>844</v>
      </c>
      <c r="C262" t="s">
        <v>3937</v>
      </c>
      <c r="D262">
        <v>10</v>
      </c>
      <c r="E262">
        <v>12</v>
      </c>
      <c r="F262">
        <v>0</v>
      </c>
      <c r="G262">
        <v>0</v>
      </c>
      <c r="H262">
        <v>143</v>
      </c>
      <c r="I262">
        <v>0</v>
      </c>
      <c r="J262">
        <v>2.4900000000000002</v>
      </c>
      <c r="K262">
        <v>0</v>
      </c>
    </row>
    <row r="263" spans="1:11" x14ac:dyDescent="0.2">
      <c r="A263">
        <v>87069</v>
      </c>
      <c r="B263">
        <v>854</v>
      </c>
      <c r="C263" t="s">
        <v>3938</v>
      </c>
      <c r="D263">
        <v>8</v>
      </c>
      <c r="E263">
        <v>6</v>
      </c>
      <c r="F263">
        <v>0</v>
      </c>
      <c r="G263">
        <v>0</v>
      </c>
      <c r="H263">
        <v>48</v>
      </c>
      <c r="I263">
        <v>0</v>
      </c>
      <c r="J263">
        <v>3.65</v>
      </c>
      <c r="K263">
        <v>0</v>
      </c>
    </row>
    <row r="264" spans="1:11" x14ac:dyDescent="0.2">
      <c r="A264">
        <v>89033</v>
      </c>
      <c r="B264">
        <v>861</v>
      </c>
      <c r="C264" t="s">
        <v>3939</v>
      </c>
      <c r="D264">
        <v>8</v>
      </c>
      <c r="E264">
        <v>9</v>
      </c>
      <c r="F264">
        <v>0</v>
      </c>
      <c r="G264">
        <v>0</v>
      </c>
      <c r="H264">
        <v>64</v>
      </c>
      <c r="I264">
        <v>0</v>
      </c>
      <c r="J264">
        <v>2.09</v>
      </c>
      <c r="K264">
        <v>0</v>
      </c>
    </row>
    <row r="265" spans="1:11" x14ac:dyDescent="0.2">
      <c r="A265">
        <v>50501</v>
      </c>
      <c r="B265">
        <v>865</v>
      </c>
      <c r="C265" t="s">
        <v>3940</v>
      </c>
      <c r="D265">
        <v>10</v>
      </c>
      <c r="E265">
        <v>6</v>
      </c>
      <c r="F265">
        <v>3</v>
      </c>
      <c r="G265">
        <v>18</v>
      </c>
      <c r="H265">
        <v>30</v>
      </c>
      <c r="I265">
        <v>0.1</v>
      </c>
      <c r="J265">
        <v>4.79</v>
      </c>
      <c r="K265">
        <v>86.22</v>
      </c>
    </row>
    <row r="266" spans="1:11" x14ac:dyDescent="0.2">
      <c r="B266">
        <v>869</v>
      </c>
      <c r="C266" t="s">
        <v>3941</v>
      </c>
      <c r="D266">
        <v>11</v>
      </c>
      <c r="E266">
        <v>10</v>
      </c>
      <c r="F266">
        <v>0</v>
      </c>
      <c r="G266">
        <v>0</v>
      </c>
      <c r="H266">
        <v>42</v>
      </c>
      <c r="I266">
        <v>0</v>
      </c>
      <c r="J266">
        <v>3.99</v>
      </c>
      <c r="K266">
        <v>0</v>
      </c>
    </row>
    <row r="267" spans="1:11" x14ac:dyDescent="0.2">
      <c r="B267">
        <v>873</v>
      </c>
      <c r="C267" t="s">
        <v>3942</v>
      </c>
      <c r="D267">
        <v>11</v>
      </c>
      <c r="E267">
        <v>12</v>
      </c>
      <c r="F267">
        <v>0</v>
      </c>
      <c r="G267">
        <v>0</v>
      </c>
      <c r="H267">
        <v>70</v>
      </c>
      <c r="I267">
        <v>0</v>
      </c>
      <c r="J267">
        <v>18.989999999999998</v>
      </c>
      <c r="K267">
        <v>0</v>
      </c>
    </row>
    <row r="268" spans="1:11" x14ac:dyDescent="0.2">
      <c r="A268">
        <v>51620</v>
      </c>
      <c r="B268">
        <v>875</v>
      </c>
      <c r="C268" t="s">
        <v>3943</v>
      </c>
      <c r="D268">
        <v>10</v>
      </c>
      <c r="E268">
        <v>1</v>
      </c>
      <c r="F268">
        <v>0</v>
      </c>
      <c r="G268">
        <v>0</v>
      </c>
      <c r="H268">
        <v>150</v>
      </c>
      <c r="I268">
        <v>0</v>
      </c>
      <c r="J268">
        <v>6.93</v>
      </c>
      <c r="K268">
        <v>0</v>
      </c>
    </row>
    <row r="269" spans="1:11" x14ac:dyDescent="0.2">
      <c r="A269">
        <v>95245</v>
      </c>
      <c r="B269">
        <v>877</v>
      </c>
      <c r="C269" t="s">
        <v>3944</v>
      </c>
      <c r="D269">
        <v>8</v>
      </c>
      <c r="E269">
        <v>6</v>
      </c>
      <c r="F269">
        <v>4170</v>
      </c>
      <c r="G269">
        <v>25020</v>
      </c>
      <c r="H269">
        <v>96</v>
      </c>
      <c r="I269">
        <v>43.4</v>
      </c>
      <c r="J269">
        <v>0.37</v>
      </c>
      <c r="K269">
        <v>9257.4</v>
      </c>
    </row>
    <row r="270" spans="1:11" x14ac:dyDescent="0.2">
      <c r="A270">
        <v>51621</v>
      </c>
      <c r="B270">
        <v>878</v>
      </c>
      <c r="C270" t="s">
        <v>3945</v>
      </c>
      <c r="D270">
        <v>10</v>
      </c>
      <c r="E270">
        <v>1</v>
      </c>
      <c r="F270">
        <v>2187</v>
      </c>
      <c r="G270">
        <v>2187</v>
      </c>
      <c r="H270">
        <v>150</v>
      </c>
      <c r="I270">
        <v>14.6</v>
      </c>
      <c r="J270">
        <v>6.6</v>
      </c>
      <c r="K270">
        <v>14434.2</v>
      </c>
    </row>
    <row r="271" spans="1:11" x14ac:dyDescent="0.2">
      <c r="A271">
        <v>87053</v>
      </c>
      <c r="B271">
        <v>886</v>
      </c>
      <c r="C271" t="s">
        <v>3946</v>
      </c>
      <c r="D271">
        <v>8</v>
      </c>
      <c r="E271">
        <v>9</v>
      </c>
      <c r="F271">
        <v>405</v>
      </c>
      <c r="G271">
        <v>3645</v>
      </c>
      <c r="H271">
        <v>81</v>
      </c>
      <c r="I271">
        <v>5</v>
      </c>
      <c r="J271">
        <v>2.99</v>
      </c>
      <c r="K271">
        <v>10898.55</v>
      </c>
    </row>
    <row r="272" spans="1:11" x14ac:dyDescent="0.2">
      <c r="B272">
        <v>890</v>
      </c>
      <c r="C272" t="s">
        <v>3947</v>
      </c>
      <c r="D272">
        <v>11</v>
      </c>
      <c r="E272">
        <v>12</v>
      </c>
      <c r="F272">
        <v>0</v>
      </c>
      <c r="G272">
        <v>0</v>
      </c>
      <c r="H272">
        <v>63</v>
      </c>
      <c r="I272">
        <v>0</v>
      </c>
      <c r="J272">
        <v>3.29</v>
      </c>
      <c r="K272">
        <v>0</v>
      </c>
    </row>
    <row r="273" spans="1:11" x14ac:dyDescent="0.2">
      <c r="B273">
        <v>891</v>
      </c>
      <c r="C273" t="s">
        <v>3948</v>
      </c>
      <c r="D273">
        <v>6</v>
      </c>
      <c r="E273">
        <v>12</v>
      </c>
      <c r="F273">
        <v>0</v>
      </c>
      <c r="G273">
        <v>0</v>
      </c>
      <c r="H273">
        <v>63</v>
      </c>
      <c r="I273">
        <v>0</v>
      </c>
      <c r="J273">
        <v>3.39</v>
      </c>
      <c r="K273">
        <v>0</v>
      </c>
    </row>
    <row r="274" spans="1:11" x14ac:dyDescent="0.2">
      <c r="A274">
        <v>88021</v>
      </c>
      <c r="B274">
        <v>893</v>
      </c>
      <c r="C274" t="s">
        <v>3949</v>
      </c>
      <c r="D274">
        <v>8</v>
      </c>
      <c r="E274">
        <v>24</v>
      </c>
      <c r="F274">
        <v>288</v>
      </c>
      <c r="G274">
        <v>6912</v>
      </c>
      <c r="H274">
        <v>72</v>
      </c>
      <c r="I274">
        <v>4</v>
      </c>
      <c r="J274">
        <v>1.75</v>
      </c>
      <c r="K274">
        <v>12096</v>
      </c>
    </row>
    <row r="275" spans="1:11" x14ac:dyDescent="0.2">
      <c r="A275">
        <v>99038</v>
      </c>
      <c r="B275">
        <v>894</v>
      </c>
      <c r="C275" t="s">
        <v>3950</v>
      </c>
      <c r="D275">
        <v>12</v>
      </c>
      <c r="E275">
        <v>28</v>
      </c>
      <c r="F275">
        <v>0</v>
      </c>
      <c r="G275">
        <v>0</v>
      </c>
      <c r="H275">
        <v>28</v>
      </c>
      <c r="I275">
        <v>0</v>
      </c>
      <c r="J275">
        <v>0.59</v>
      </c>
      <c r="K275">
        <v>0</v>
      </c>
    </row>
    <row r="276" spans="1:11" x14ac:dyDescent="0.2">
      <c r="A276">
        <v>29800</v>
      </c>
      <c r="B276">
        <v>897</v>
      </c>
      <c r="C276" t="s">
        <v>3951</v>
      </c>
      <c r="D276">
        <v>10</v>
      </c>
      <c r="E276">
        <v>1</v>
      </c>
      <c r="F276">
        <v>0</v>
      </c>
      <c r="G276">
        <v>0</v>
      </c>
      <c r="H276">
        <v>240</v>
      </c>
      <c r="I276">
        <v>0</v>
      </c>
      <c r="J276">
        <v>2.99</v>
      </c>
      <c r="K276">
        <v>0</v>
      </c>
    </row>
    <row r="277" spans="1:11" x14ac:dyDescent="0.2">
      <c r="B277">
        <v>898</v>
      </c>
      <c r="C277" t="s">
        <v>3952</v>
      </c>
      <c r="D277">
        <v>12</v>
      </c>
      <c r="E277">
        <v>20</v>
      </c>
      <c r="F277">
        <v>0</v>
      </c>
      <c r="G277">
        <v>0</v>
      </c>
      <c r="H277">
        <v>70</v>
      </c>
      <c r="I277">
        <v>0</v>
      </c>
      <c r="J277">
        <v>3.49</v>
      </c>
      <c r="K277">
        <v>0</v>
      </c>
    </row>
    <row r="278" spans="1:11" x14ac:dyDescent="0.2">
      <c r="A278">
        <v>88032</v>
      </c>
      <c r="B278">
        <v>898</v>
      </c>
      <c r="C278" t="s">
        <v>3952</v>
      </c>
      <c r="D278">
        <v>8</v>
      </c>
      <c r="E278">
        <v>24</v>
      </c>
      <c r="F278">
        <v>0</v>
      </c>
      <c r="G278">
        <v>0</v>
      </c>
      <c r="H278">
        <v>56</v>
      </c>
      <c r="I278">
        <v>0</v>
      </c>
      <c r="J278">
        <v>3.49</v>
      </c>
      <c r="K278">
        <v>0</v>
      </c>
    </row>
    <row r="279" spans="1:11" x14ac:dyDescent="0.2">
      <c r="A279">
        <v>91079</v>
      </c>
      <c r="B279">
        <v>899</v>
      </c>
      <c r="C279" t="s">
        <v>3953</v>
      </c>
      <c r="D279">
        <v>8</v>
      </c>
      <c r="E279">
        <v>1</v>
      </c>
      <c r="F279">
        <v>564</v>
      </c>
      <c r="G279">
        <v>564</v>
      </c>
      <c r="H279">
        <v>80</v>
      </c>
      <c r="I279">
        <v>7.1</v>
      </c>
      <c r="J279">
        <v>2.99</v>
      </c>
      <c r="K279">
        <v>1686.36</v>
      </c>
    </row>
    <row r="280" spans="1:11" x14ac:dyDescent="0.2">
      <c r="A280">
        <v>91038</v>
      </c>
      <c r="B280">
        <v>901</v>
      </c>
      <c r="C280" t="s">
        <v>3954</v>
      </c>
      <c r="D280">
        <v>8</v>
      </c>
      <c r="E280">
        <v>1</v>
      </c>
      <c r="F280">
        <v>1064</v>
      </c>
      <c r="G280">
        <v>1064</v>
      </c>
      <c r="H280">
        <v>48</v>
      </c>
      <c r="I280">
        <v>22.2</v>
      </c>
      <c r="J280">
        <v>3.29</v>
      </c>
      <c r="K280">
        <v>3500.56</v>
      </c>
    </row>
    <row r="281" spans="1:11" x14ac:dyDescent="0.2">
      <c r="A281">
        <v>91074</v>
      </c>
      <c r="B281">
        <v>906</v>
      </c>
      <c r="C281" t="s">
        <v>3955</v>
      </c>
      <c r="D281">
        <v>8</v>
      </c>
      <c r="E281">
        <v>1</v>
      </c>
      <c r="F281">
        <v>1463</v>
      </c>
      <c r="G281">
        <v>1463</v>
      </c>
      <c r="H281">
        <v>81</v>
      </c>
      <c r="I281">
        <v>18.100000000000001</v>
      </c>
      <c r="J281">
        <v>3.5</v>
      </c>
      <c r="K281">
        <v>5120.5</v>
      </c>
    </row>
    <row r="282" spans="1:11" x14ac:dyDescent="0.2">
      <c r="A282">
        <v>91007</v>
      </c>
      <c r="B282">
        <v>910</v>
      </c>
      <c r="C282" t="s">
        <v>3956</v>
      </c>
      <c r="D282">
        <v>8</v>
      </c>
      <c r="E282">
        <v>1</v>
      </c>
      <c r="F282">
        <v>-116</v>
      </c>
      <c r="G282">
        <v>-116</v>
      </c>
      <c r="H282">
        <v>40</v>
      </c>
      <c r="I282">
        <v>-2.9</v>
      </c>
      <c r="J282">
        <v>3.59</v>
      </c>
      <c r="K282">
        <v>-416.44</v>
      </c>
    </row>
    <row r="283" spans="1:11" x14ac:dyDescent="0.2">
      <c r="A283">
        <v>91041</v>
      </c>
      <c r="B283">
        <v>913</v>
      </c>
      <c r="C283" t="s">
        <v>3957</v>
      </c>
      <c r="D283">
        <v>8</v>
      </c>
      <c r="E283">
        <v>1</v>
      </c>
      <c r="F283">
        <v>960</v>
      </c>
      <c r="G283">
        <v>960</v>
      </c>
      <c r="H283">
        <v>96</v>
      </c>
      <c r="I283">
        <v>10</v>
      </c>
      <c r="J283">
        <v>3.09</v>
      </c>
      <c r="K283">
        <v>2966.4</v>
      </c>
    </row>
    <row r="284" spans="1:11" x14ac:dyDescent="0.2">
      <c r="A284">
        <v>91088</v>
      </c>
      <c r="B284">
        <v>914</v>
      </c>
      <c r="C284" t="s">
        <v>3958</v>
      </c>
      <c r="D284">
        <v>8</v>
      </c>
      <c r="E284">
        <v>1</v>
      </c>
      <c r="F284">
        <v>960</v>
      </c>
      <c r="G284">
        <v>960</v>
      </c>
      <c r="H284">
        <v>56</v>
      </c>
      <c r="I284">
        <v>17.100000000000001</v>
      </c>
      <c r="J284">
        <v>2.5499999999999998</v>
      </c>
      <c r="K284">
        <v>2448</v>
      </c>
    </row>
    <row r="285" spans="1:11" x14ac:dyDescent="0.2">
      <c r="A285">
        <v>91013</v>
      </c>
      <c r="B285">
        <v>915</v>
      </c>
      <c r="C285" t="s">
        <v>3959</v>
      </c>
      <c r="D285">
        <v>8</v>
      </c>
      <c r="E285">
        <v>1</v>
      </c>
      <c r="F285">
        <v>1232</v>
      </c>
      <c r="G285">
        <v>1232</v>
      </c>
      <c r="H285">
        <v>96</v>
      </c>
      <c r="I285">
        <v>12.8</v>
      </c>
      <c r="J285">
        <v>2.89</v>
      </c>
      <c r="K285">
        <v>3560.48</v>
      </c>
    </row>
    <row r="286" spans="1:11" x14ac:dyDescent="0.2">
      <c r="A286">
        <v>91042</v>
      </c>
      <c r="B286">
        <v>917</v>
      </c>
      <c r="C286" t="s">
        <v>3960</v>
      </c>
      <c r="D286">
        <v>8</v>
      </c>
      <c r="E286">
        <v>1</v>
      </c>
      <c r="F286">
        <v>1168</v>
      </c>
      <c r="G286">
        <v>1168</v>
      </c>
      <c r="H286">
        <v>56</v>
      </c>
      <c r="I286">
        <v>20.9</v>
      </c>
      <c r="J286">
        <v>2.4900000000000002</v>
      </c>
      <c r="K286">
        <v>2908.32</v>
      </c>
    </row>
    <row r="287" spans="1:11" x14ac:dyDescent="0.2">
      <c r="A287">
        <v>91021</v>
      </c>
      <c r="B287">
        <v>920</v>
      </c>
      <c r="C287" t="s">
        <v>3961</v>
      </c>
      <c r="D287">
        <v>8</v>
      </c>
      <c r="E287">
        <v>1</v>
      </c>
      <c r="F287">
        <v>859</v>
      </c>
      <c r="G287">
        <v>859</v>
      </c>
      <c r="H287">
        <v>40</v>
      </c>
      <c r="I287">
        <v>21.5</v>
      </c>
      <c r="J287">
        <v>3.69</v>
      </c>
      <c r="K287">
        <v>3169.71</v>
      </c>
    </row>
    <row r="288" spans="1:11" x14ac:dyDescent="0.2">
      <c r="A288">
        <v>91035</v>
      </c>
      <c r="B288">
        <v>925</v>
      </c>
      <c r="C288" t="s">
        <v>3962</v>
      </c>
      <c r="D288">
        <v>8</v>
      </c>
      <c r="E288">
        <v>1</v>
      </c>
      <c r="F288">
        <v>279</v>
      </c>
      <c r="G288">
        <v>279</v>
      </c>
      <c r="H288">
        <v>32</v>
      </c>
      <c r="I288">
        <v>8.6999999999999993</v>
      </c>
      <c r="J288">
        <v>11.49</v>
      </c>
      <c r="K288">
        <v>3205.71</v>
      </c>
    </row>
    <row r="289" spans="1:11" x14ac:dyDescent="0.2">
      <c r="A289">
        <v>91055</v>
      </c>
      <c r="B289">
        <v>927</v>
      </c>
      <c r="C289" t="s">
        <v>3963</v>
      </c>
      <c r="D289">
        <v>8</v>
      </c>
      <c r="E289">
        <v>1</v>
      </c>
      <c r="F289">
        <v>520</v>
      </c>
      <c r="G289">
        <v>520</v>
      </c>
      <c r="H289">
        <v>32</v>
      </c>
      <c r="I289">
        <v>16.3</v>
      </c>
      <c r="J289">
        <v>4.49</v>
      </c>
      <c r="K289">
        <v>2334.8000000000002</v>
      </c>
    </row>
    <row r="290" spans="1:11" x14ac:dyDescent="0.2">
      <c r="A290">
        <v>91003</v>
      </c>
      <c r="B290">
        <v>933</v>
      </c>
      <c r="C290" t="s">
        <v>3964</v>
      </c>
      <c r="D290">
        <v>8</v>
      </c>
      <c r="E290">
        <v>1</v>
      </c>
      <c r="F290">
        <v>1107</v>
      </c>
      <c r="G290">
        <v>1107</v>
      </c>
      <c r="H290">
        <v>40</v>
      </c>
      <c r="I290">
        <v>27.7</v>
      </c>
      <c r="J290">
        <v>4.79</v>
      </c>
      <c r="K290">
        <v>5302.53</v>
      </c>
    </row>
    <row r="291" spans="1:11" x14ac:dyDescent="0.2">
      <c r="A291">
        <v>91018</v>
      </c>
      <c r="B291">
        <v>937</v>
      </c>
      <c r="C291" t="s">
        <v>3965</v>
      </c>
      <c r="D291">
        <v>8</v>
      </c>
      <c r="E291">
        <v>1</v>
      </c>
      <c r="F291">
        <v>2040</v>
      </c>
      <c r="G291">
        <v>2040</v>
      </c>
      <c r="H291">
        <v>48</v>
      </c>
      <c r="I291">
        <v>42.5</v>
      </c>
      <c r="J291">
        <v>4.79</v>
      </c>
      <c r="K291">
        <v>9771.6</v>
      </c>
    </row>
    <row r="292" spans="1:11" x14ac:dyDescent="0.2">
      <c r="A292">
        <v>83193</v>
      </c>
      <c r="B292">
        <v>955</v>
      </c>
      <c r="C292" t="s">
        <v>3966</v>
      </c>
      <c r="D292">
        <v>8</v>
      </c>
      <c r="E292">
        <v>4.5999999999999996</v>
      </c>
      <c r="F292">
        <v>75</v>
      </c>
      <c r="G292">
        <v>345</v>
      </c>
      <c r="H292">
        <v>30</v>
      </c>
      <c r="I292">
        <v>2.5</v>
      </c>
      <c r="J292">
        <v>4.99</v>
      </c>
      <c r="K292">
        <v>1721.55</v>
      </c>
    </row>
    <row r="293" spans="1:11" x14ac:dyDescent="0.2">
      <c r="A293">
        <v>91033</v>
      </c>
      <c r="B293">
        <v>959</v>
      </c>
      <c r="C293" t="s">
        <v>3967</v>
      </c>
      <c r="D293">
        <v>8</v>
      </c>
      <c r="E293">
        <v>1</v>
      </c>
      <c r="F293">
        <v>1350</v>
      </c>
      <c r="G293">
        <v>1350</v>
      </c>
      <c r="H293">
        <v>60</v>
      </c>
      <c r="I293">
        <v>22.5</v>
      </c>
      <c r="J293">
        <v>3.89</v>
      </c>
      <c r="K293">
        <v>5251.5</v>
      </c>
    </row>
    <row r="294" spans="1:11" x14ac:dyDescent="0.2">
      <c r="A294">
        <v>91034</v>
      </c>
      <c r="B294">
        <v>960</v>
      </c>
      <c r="C294" t="s">
        <v>3968</v>
      </c>
      <c r="D294">
        <v>8</v>
      </c>
      <c r="E294">
        <v>1</v>
      </c>
      <c r="F294">
        <v>455</v>
      </c>
      <c r="G294">
        <v>455</v>
      </c>
      <c r="H294">
        <v>40</v>
      </c>
      <c r="I294">
        <v>11.4</v>
      </c>
      <c r="J294">
        <v>4.3899999999999997</v>
      </c>
      <c r="K294">
        <v>1997.45</v>
      </c>
    </row>
    <row r="295" spans="1:11" x14ac:dyDescent="0.2">
      <c r="A295">
        <v>91056</v>
      </c>
      <c r="B295">
        <v>966</v>
      </c>
      <c r="C295" t="s">
        <v>3969</v>
      </c>
      <c r="D295">
        <v>8</v>
      </c>
      <c r="E295">
        <v>1</v>
      </c>
      <c r="F295">
        <v>549</v>
      </c>
      <c r="G295">
        <v>549</v>
      </c>
      <c r="H295">
        <v>35</v>
      </c>
      <c r="I295">
        <v>15.7</v>
      </c>
      <c r="J295">
        <v>5.19</v>
      </c>
      <c r="K295">
        <v>2849.31</v>
      </c>
    </row>
    <row r="296" spans="1:11" x14ac:dyDescent="0.2">
      <c r="B296">
        <v>967</v>
      </c>
      <c r="C296" t="s">
        <v>3970</v>
      </c>
      <c r="D296">
        <v>11</v>
      </c>
      <c r="E296">
        <v>1</v>
      </c>
      <c r="F296">
        <v>-9</v>
      </c>
      <c r="G296">
        <v>-9</v>
      </c>
      <c r="H296">
        <v>40</v>
      </c>
      <c r="I296">
        <v>-0.2</v>
      </c>
      <c r="J296">
        <v>4.6900000000000004</v>
      </c>
      <c r="K296">
        <v>-42.21</v>
      </c>
    </row>
    <row r="297" spans="1:11" x14ac:dyDescent="0.2">
      <c r="A297">
        <v>84098</v>
      </c>
      <c r="B297">
        <v>978</v>
      </c>
      <c r="C297" t="s">
        <v>3971</v>
      </c>
      <c r="D297">
        <v>8</v>
      </c>
      <c r="E297">
        <v>12</v>
      </c>
      <c r="F297">
        <v>309</v>
      </c>
      <c r="G297">
        <v>3708</v>
      </c>
      <c r="H297">
        <v>45</v>
      </c>
      <c r="I297">
        <v>6.9</v>
      </c>
      <c r="J297">
        <v>1.85</v>
      </c>
      <c r="K297">
        <v>6859.8</v>
      </c>
    </row>
    <row r="298" spans="1:11" x14ac:dyDescent="0.2">
      <c r="A298">
        <v>91081</v>
      </c>
      <c r="B298">
        <v>979</v>
      </c>
      <c r="C298" t="s">
        <v>3972</v>
      </c>
      <c r="D298">
        <v>8</v>
      </c>
      <c r="E298">
        <v>1</v>
      </c>
      <c r="F298">
        <v>522</v>
      </c>
      <c r="G298">
        <v>522</v>
      </c>
      <c r="H298">
        <v>42</v>
      </c>
      <c r="I298">
        <v>12.4</v>
      </c>
      <c r="J298">
        <v>3.79</v>
      </c>
      <c r="K298">
        <v>1978.38</v>
      </c>
    </row>
    <row r="299" spans="1:11" x14ac:dyDescent="0.2">
      <c r="A299">
        <v>91036</v>
      </c>
      <c r="B299">
        <v>982</v>
      </c>
      <c r="C299" t="s">
        <v>3973</v>
      </c>
      <c r="D299">
        <v>8</v>
      </c>
      <c r="E299">
        <v>1</v>
      </c>
      <c r="F299">
        <v>255</v>
      </c>
      <c r="G299">
        <v>255</v>
      </c>
      <c r="H299">
        <v>20</v>
      </c>
      <c r="I299">
        <v>12.8</v>
      </c>
      <c r="J299">
        <v>7.49</v>
      </c>
      <c r="K299">
        <v>1909.95</v>
      </c>
    </row>
    <row r="300" spans="1:11" x14ac:dyDescent="0.2">
      <c r="A300">
        <v>91075</v>
      </c>
      <c r="B300">
        <v>985</v>
      </c>
      <c r="C300" t="s">
        <v>3974</v>
      </c>
      <c r="D300">
        <v>8</v>
      </c>
      <c r="E300">
        <v>1</v>
      </c>
      <c r="F300">
        <v>252</v>
      </c>
      <c r="G300">
        <v>252</v>
      </c>
      <c r="H300">
        <v>96</v>
      </c>
      <c r="I300">
        <v>2.6</v>
      </c>
      <c r="J300">
        <v>5.99</v>
      </c>
      <c r="K300">
        <v>1509.48</v>
      </c>
    </row>
    <row r="301" spans="1:11" x14ac:dyDescent="0.2">
      <c r="A301">
        <v>91080</v>
      </c>
      <c r="B301">
        <v>998</v>
      </c>
      <c r="C301" t="s">
        <v>3975</v>
      </c>
      <c r="D301">
        <v>8</v>
      </c>
      <c r="E301">
        <v>1</v>
      </c>
      <c r="F301">
        <v>720</v>
      </c>
      <c r="G301">
        <v>720</v>
      </c>
      <c r="H301">
        <v>80</v>
      </c>
      <c r="I301">
        <v>9</v>
      </c>
      <c r="J301">
        <v>5.15</v>
      </c>
      <c r="K301">
        <v>3708</v>
      </c>
    </row>
    <row r="302" spans="1:11" x14ac:dyDescent="0.2">
      <c r="A302">
        <v>95210</v>
      </c>
      <c r="B302">
        <v>1004</v>
      </c>
      <c r="C302" t="s">
        <v>3976</v>
      </c>
      <c r="D302">
        <v>8</v>
      </c>
      <c r="E302">
        <v>1</v>
      </c>
      <c r="F302">
        <v>10867</v>
      </c>
      <c r="G302">
        <v>10867</v>
      </c>
      <c r="H302">
        <v>836</v>
      </c>
      <c r="I302">
        <v>13</v>
      </c>
      <c r="J302">
        <v>0.75</v>
      </c>
      <c r="K302">
        <v>8150.25</v>
      </c>
    </row>
    <row r="303" spans="1:11" x14ac:dyDescent="0.2">
      <c r="B303">
        <v>1005</v>
      </c>
      <c r="C303" t="s">
        <v>3977</v>
      </c>
      <c r="D303">
        <v>11</v>
      </c>
      <c r="E303">
        <v>364</v>
      </c>
      <c r="F303">
        <v>-3</v>
      </c>
      <c r="G303">
        <v>-1092</v>
      </c>
      <c r="H303">
        <v>2</v>
      </c>
      <c r="I303">
        <v>-1.5</v>
      </c>
      <c r="J303">
        <v>0.49</v>
      </c>
      <c r="K303">
        <v>-535.08000000000004</v>
      </c>
    </row>
    <row r="304" spans="1:11" x14ac:dyDescent="0.2">
      <c r="A304">
        <v>91070</v>
      </c>
      <c r="B304">
        <v>1007</v>
      </c>
      <c r="C304" t="s">
        <v>3978</v>
      </c>
      <c r="D304">
        <v>8</v>
      </c>
      <c r="E304">
        <v>1</v>
      </c>
      <c r="F304">
        <v>232</v>
      </c>
      <c r="G304">
        <v>232</v>
      </c>
      <c r="H304">
        <v>40</v>
      </c>
      <c r="I304">
        <v>5.8</v>
      </c>
      <c r="J304">
        <v>4.58</v>
      </c>
      <c r="K304">
        <v>1062.56</v>
      </c>
    </row>
    <row r="305" spans="1:11" x14ac:dyDescent="0.2">
      <c r="A305">
        <v>91028</v>
      </c>
      <c r="B305">
        <v>1024</v>
      </c>
      <c r="C305" t="s">
        <v>3979</v>
      </c>
      <c r="D305">
        <v>8</v>
      </c>
      <c r="E305">
        <v>1</v>
      </c>
      <c r="F305">
        <v>1485</v>
      </c>
      <c r="G305">
        <v>1485</v>
      </c>
      <c r="H305">
        <v>120</v>
      </c>
      <c r="I305">
        <v>12.4</v>
      </c>
      <c r="J305">
        <v>2.69</v>
      </c>
      <c r="K305">
        <v>3994.65</v>
      </c>
    </row>
    <row r="306" spans="1:11" x14ac:dyDescent="0.2">
      <c r="B306">
        <v>1025</v>
      </c>
      <c r="C306" t="s">
        <v>3980</v>
      </c>
      <c r="D306">
        <v>10</v>
      </c>
      <c r="E306">
        <v>28</v>
      </c>
      <c r="F306">
        <v>-1</v>
      </c>
      <c r="G306">
        <v>-28</v>
      </c>
      <c r="H306">
        <v>40</v>
      </c>
      <c r="I306">
        <v>0</v>
      </c>
      <c r="J306">
        <v>1.99</v>
      </c>
      <c r="K306">
        <v>-55.72</v>
      </c>
    </row>
    <row r="307" spans="1:11" x14ac:dyDescent="0.2">
      <c r="A307">
        <v>37684</v>
      </c>
      <c r="B307">
        <v>1027</v>
      </c>
      <c r="C307" t="s">
        <v>3981</v>
      </c>
      <c r="D307">
        <v>10</v>
      </c>
      <c r="E307">
        <v>60</v>
      </c>
      <c r="F307">
        <v>0</v>
      </c>
      <c r="G307">
        <v>0</v>
      </c>
      <c r="H307">
        <v>4</v>
      </c>
      <c r="I307">
        <v>0</v>
      </c>
      <c r="J307">
        <v>4.49</v>
      </c>
      <c r="K307">
        <v>0</v>
      </c>
    </row>
    <row r="308" spans="1:11" x14ac:dyDescent="0.2">
      <c r="A308">
        <v>38651</v>
      </c>
      <c r="B308">
        <v>1029</v>
      </c>
      <c r="C308" t="s">
        <v>3982</v>
      </c>
      <c r="D308">
        <v>10</v>
      </c>
      <c r="E308">
        <v>112</v>
      </c>
      <c r="F308">
        <v>0</v>
      </c>
      <c r="G308">
        <v>0</v>
      </c>
      <c r="H308">
        <v>4</v>
      </c>
      <c r="I308">
        <v>0</v>
      </c>
      <c r="J308">
        <v>1.19</v>
      </c>
      <c r="K308">
        <v>0</v>
      </c>
    </row>
    <row r="309" spans="1:11" x14ac:dyDescent="0.2">
      <c r="B309">
        <v>1032</v>
      </c>
      <c r="C309" t="s">
        <v>3983</v>
      </c>
      <c r="D309">
        <v>11</v>
      </c>
      <c r="E309">
        <v>1</v>
      </c>
      <c r="F309">
        <v>0</v>
      </c>
      <c r="G309">
        <v>0</v>
      </c>
      <c r="H309">
        <v>112</v>
      </c>
      <c r="I309">
        <v>0</v>
      </c>
      <c r="J309">
        <v>4.29</v>
      </c>
      <c r="K309">
        <v>0</v>
      </c>
    </row>
    <row r="310" spans="1:11" x14ac:dyDescent="0.2">
      <c r="A310">
        <v>57655</v>
      </c>
      <c r="B310">
        <v>1033</v>
      </c>
      <c r="C310" t="s">
        <v>3984</v>
      </c>
      <c r="D310">
        <v>10</v>
      </c>
      <c r="E310">
        <v>12</v>
      </c>
      <c r="F310">
        <v>18</v>
      </c>
      <c r="G310">
        <v>221</v>
      </c>
      <c r="H310">
        <v>187</v>
      </c>
      <c r="I310">
        <v>0.1</v>
      </c>
      <c r="J310">
        <v>1.0900000000000001</v>
      </c>
      <c r="K310">
        <v>240.89</v>
      </c>
    </row>
    <row r="311" spans="1:11" x14ac:dyDescent="0.2">
      <c r="A311">
        <v>82162</v>
      </c>
      <c r="B311">
        <v>1035</v>
      </c>
      <c r="C311" t="s">
        <v>3985</v>
      </c>
      <c r="D311">
        <v>8</v>
      </c>
      <c r="E311">
        <v>4</v>
      </c>
      <c r="F311">
        <v>267</v>
      </c>
      <c r="G311">
        <v>1068</v>
      </c>
      <c r="H311">
        <v>80</v>
      </c>
      <c r="I311">
        <v>3.3</v>
      </c>
      <c r="J311">
        <v>3.79</v>
      </c>
      <c r="K311">
        <v>4047.72</v>
      </c>
    </row>
    <row r="312" spans="1:11" x14ac:dyDescent="0.2">
      <c r="A312">
        <v>57656</v>
      </c>
      <c r="B312">
        <v>1036</v>
      </c>
      <c r="C312" t="s">
        <v>3986</v>
      </c>
      <c r="D312">
        <v>10</v>
      </c>
      <c r="E312">
        <v>12</v>
      </c>
      <c r="F312">
        <v>9</v>
      </c>
      <c r="G312">
        <v>111</v>
      </c>
      <c r="H312">
        <v>187</v>
      </c>
      <c r="I312">
        <v>0</v>
      </c>
      <c r="J312">
        <v>1.0900000000000001</v>
      </c>
      <c r="K312">
        <v>120.99</v>
      </c>
    </row>
    <row r="313" spans="1:11" x14ac:dyDescent="0.2">
      <c r="A313">
        <v>81098</v>
      </c>
      <c r="B313">
        <v>1039</v>
      </c>
      <c r="C313" t="s">
        <v>3987</v>
      </c>
      <c r="D313">
        <v>8</v>
      </c>
      <c r="E313">
        <v>20</v>
      </c>
      <c r="F313">
        <v>307</v>
      </c>
      <c r="G313">
        <v>6140</v>
      </c>
      <c r="H313">
        <v>78</v>
      </c>
      <c r="I313">
        <v>3.9</v>
      </c>
      <c r="J313">
        <v>2.25</v>
      </c>
      <c r="K313">
        <v>13815</v>
      </c>
    </row>
    <row r="314" spans="1:11" x14ac:dyDescent="0.2">
      <c r="A314">
        <v>81100</v>
      </c>
      <c r="B314">
        <v>1042</v>
      </c>
      <c r="C314" t="s">
        <v>3988</v>
      </c>
      <c r="D314">
        <v>8</v>
      </c>
      <c r="E314">
        <v>40</v>
      </c>
      <c r="F314">
        <v>222</v>
      </c>
      <c r="G314">
        <v>8880</v>
      </c>
      <c r="H314">
        <v>66</v>
      </c>
      <c r="I314">
        <v>3.4</v>
      </c>
      <c r="J314">
        <v>1.99</v>
      </c>
      <c r="K314">
        <v>17671.2</v>
      </c>
    </row>
    <row r="315" spans="1:11" x14ac:dyDescent="0.2">
      <c r="A315">
        <v>88007</v>
      </c>
      <c r="B315">
        <v>1048</v>
      </c>
      <c r="C315" t="s">
        <v>3989</v>
      </c>
      <c r="D315">
        <v>8</v>
      </c>
      <c r="E315">
        <v>8</v>
      </c>
      <c r="F315">
        <v>0</v>
      </c>
      <c r="G315">
        <v>0</v>
      </c>
      <c r="H315">
        <v>77</v>
      </c>
      <c r="I315">
        <v>0</v>
      </c>
      <c r="J315">
        <v>4.87</v>
      </c>
      <c r="K315">
        <v>0</v>
      </c>
    </row>
    <row r="316" spans="1:11" x14ac:dyDescent="0.2">
      <c r="A316">
        <v>67160</v>
      </c>
      <c r="B316">
        <v>1049</v>
      </c>
      <c r="C316" t="s">
        <v>3990</v>
      </c>
      <c r="D316">
        <v>8</v>
      </c>
      <c r="E316">
        <v>3</v>
      </c>
      <c r="F316">
        <v>2351</v>
      </c>
      <c r="G316">
        <v>7053</v>
      </c>
      <c r="H316">
        <v>64</v>
      </c>
      <c r="I316">
        <v>36.700000000000003</v>
      </c>
      <c r="J316">
        <v>8</v>
      </c>
      <c r="K316">
        <v>56424</v>
      </c>
    </row>
    <row r="317" spans="1:11" x14ac:dyDescent="0.2">
      <c r="A317">
        <v>91037</v>
      </c>
      <c r="B317">
        <v>1053</v>
      </c>
      <c r="C317" t="s">
        <v>3991</v>
      </c>
      <c r="D317">
        <v>8</v>
      </c>
      <c r="E317">
        <v>1</v>
      </c>
      <c r="F317">
        <v>79</v>
      </c>
      <c r="G317">
        <v>79</v>
      </c>
      <c r="H317">
        <v>64</v>
      </c>
      <c r="I317">
        <v>1.2</v>
      </c>
      <c r="J317">
        <v>4.6900000000000004</v>
      </c>
      <c r="K317">
        <v>368.17</v>
      </c>
    </row>
    <row r="318" spans="1:11" x14ac:dyDescent="0.2">
      <c r="B318">
        <v>1062</v>
      </c>
      <c r="C318" t="s">
        <v>3992</v>
      </c>
      <c r="D318">
        <v>11</v>
      </c>
      <c r="E318">
        <v>1</v>
      </c>
      <c r="F318">
        <v>0</v>
      </c>
      <c r="G318">
        <v>0</v>
      </c>
      <c r="H318">
        <v>90</v>
      </c>
      <c r="I318">
        <v>0</v>
      </c>
      <c r="J318">
        <v>4.49</v>
      </c>
      <c r="K318">
        <v>0</v>
      </c>
    </row>
    <row r="319" spans="1:11" x14ac:dyDescent="0.2">
      <c r="A319">
        <v>84014</v>
      </c>
      <c r="B319">
        <v>1068</v>
      </c>
      <c r="C319" t="s">
        <v>3993</v>
      </c>
      <c r="D319">
        <v>8</v>
      </c>
      <c r="E319">
        <v>6</v>
      </c>
      <c r="F319">
        <v>237</v>
      </c>
      <c r="G319">
        <v>1422</v>
      </c>
      <c r="H319">
        <v>70</v>
      </c>
      <c r="I319">
        <v>3.4</v>
      </c>
      <c r="J319">
        <v>1.89</v>
      </c>
      <c r="K319">
        <v>2687.58</v>
      </c>
    </row>
    <row r="320" spans="1:11" x14ac:dyDescent="0.2">
      <c r="A320">
        <v>83083</v>
      </c>
      <c r="B320">
        <v>1069</v>
      </c>
      <c r="C320" t="s">
        <v>3994</v>
      </c>
      <c r="D320">
        <v>8</v>
      </c>
      <c r="E320">
        <v>10</v>
      </c>
      <c r="F320">
        <v>456</v>
      </c>
      <c r="G320">
        <v>4560</v>
      </c>
      <c r="H320">
        <v>108</v>
      </c>
      <c r="I320">
        <v>4.2</v>
      </c>
      <c r="J320">
        <v>3.35</v>
      </c>
      <c r="K320">
        <v>15276</v>
      </c>
    </row>
    <row r="321" spans="1:11" x14ac:dyDescent="0.2">
      <c r="A321">
        <v>72111</v>
      </c>
      <c r="B321">
        <v>1072</v>
      </c>
      <c r="C321" t="s">
        <v>3995</v>
      </c>
      <c r="D321">
        <v>8</v>
      </c>
      <c r="E321">
        <v>8</v>
      </c>
      <c r="F321">
        <v>731</v>
      </c>
      <c r="G321">
        <v>5848</v>
      </c>
      <c r="H321">
        <v>84</v>
      </c>
      <c r="I321">
        <v>8.6999999999999993</v>
      </c>
      <c r="J321">
        <v>5.7</v>
      </c>
      <c r="K321">
        <v>33333.599999999999</v>
      </c>
    </row>
    <row r="322" spans="1:11" x14ac:dyDescent="0.2">
      <c r="A322">
        <v>39661</v>
      </c>
      <c r="B322">
        <v>1076</v>
      </c>
      <c r="C322" t="s">
        <v>3996</v>
      </c>
      <c r="D322">
        <v>6</v>
      </c>
      <c r="E322">
        <v>21</v>
      </c>
      <c r="F322">
        <v>1</v>
      </c>
      <c r="G322">
        <v>18</v>
      </c>
      <c r="H322">
        <v>32</v>
      </c>
      <c r="I322">
        <v>0</v>
      </c>
      <c r="J322">
        <v>3.19</v>
      </c>
      <c r="K322">
        <v>57.42</v>
      </c>
    </row>
    <row r="323" spans="1:11" x14ac:dyDescent="0.2">
      <c r="A323">
        <v>34800</v>
      </c>
      <c r="B323">
        <v>1078</v>
      </c>
      <c r="C323" t="s">
        <v>3997</v>
      </c>
      <c r="D323">
        <v>10</v>
      </c>
      <c r="E323">
        <v>20</v>
      </c>
      <c r="F323">
        <v>0</v>
      </c>
      <c r="G323">
        <v>0</v>
      </c>
      <c r="H323">
        <v>92</v>
      </c>
      <c r="I323">
        <v>0</v>
      </c>
      <c r="J323">
        <v>14.95</v>
      </c>
      <c r="K323">
        <v>0</v>
      </c>
    </row>
    <row r="324" spans="1:11" x14ac:dyDescent="0.2">
      <c r="A324">
        <v>47500</v>
      </c>
      <c r="B324">
        <v>1082</v>
      </c>
      <c r="C324" t="s">
        <v>3998</v>
      </c>
      <c r="D324">
        <v>10</v>
      </c>
      <c r="E324">
        <v>8</v>
      </c>
      <c r="F324">
        <v>-6</v>
      </c>
      <c r="G324">
        <v>-48</v>
      </c>
      <c r="H324">
        <v>128</v>
      </c>
      <c r="I324">
        <v>0</v>
      </c>
      <c r="J324">
        <v>2.9</v>
      </c>
      <c r="K324">
        <v>-139.19999999999999</v>
      </c>
    </row>
    <row r="325" spans="1:11" x14ac:dyDescent="0.2">
      <c r="B325">
        <v>1089</v>
      </c>
      <c r="C325" t="s">
        <v>3999</v>
      </c>
      <c r="D325">
        <v>11</v>
      </c>
      <c r="E325">
        <v>12</v>
      </c>
      <c r="F325">
        <v>0</v>
      </c>
      <c r="G325">
        <v>0</v>
      </c>
      <c r="H325">
        <v>132</v>
      </c>
      <c r="I325">
        <v>0</v>
      </c>
      <c r="J325">
        <v>2.33</v>
      </c>
      <c r="K325">
        <v>0</v>
      </c>
    </row>
    <row r="326" spans="1:11" x14ac:dyDescent="0.2">
      <c r="A326">
        <v>91077</v>
      </c>
      <c r="B326">
        <v>1090</v>
      </c>
      <c r="C326" t="s">
        <v>4000</v>
      </c>
      <c r="D326">
        <v>8</v>
      </c>
      <c r="E326">
        <v>1</v>
      </c>
      <c r="F326">
        <v>387</v>
      </c>
      <c r="G326">
        <v>387</v>
      </c>
      <c r="H326">
        <v>160</v>
      </c>
      <c r="I326">
        <v>2.4</v>
      </c>
      <c r="J326">
        <v>5.19</v>
      </c>
      <c r="K326">
        <v>2008.53</v>
      </c>
    </row>
    <row r="327" spans="1:11" x14ac:dyDescent="0.2">
      <c r="A327">
        <v>62052</v>
      </c>
      <c r="B327">
        <v>1098</v>
      </c>
      <c r="C327" t="s">
        <v>4001</v>
      </c>
      <c r="D327">
        <v>8</v>
      </c>
      <c r="E327">
        <v>2</v>
      </c>
      <c r="F327">
        <v>1017</v>
      </c>
      <c r="G327">
        <v>2034</v>
      </c>
      <c r="H327">
        <v>64</v>
      </c>
      <c r="I327">
        <v>15.9</v>
      </c>
      <c r="J327">
        <v>8.99</v>
      </c>
      <c r="K327">
        <v>18285.66</v>
      </c>
    </row>
    <row r="328" spans="1:11" x14ac:dyDescent="0.2">
      <c r="A328">
        <v>49025</v>
      </c>
      <c r="B328">
        <v>1099</v>
      </c>
      <c r="C328" t="s">
        <v>4002</v>
      </c>
      <c r="D328">
        <v>10</v>
      </c>
      <c r="E328">
        <v>10</v>
      </c>
      <c r="F328">
        <v>3</v>
      </c>
      <c r="G328">
        <v>30</v>
      </c>
      <c r="H328">
        <v>100</v>
      </c>
      <c r="I328">
        <v>0</v>
      </c>
      <c r="J328">
        <v>6.99</v>
      </c>
      <c r="K328">
        <v>209.7</v>
      </c>
    </row>
    <row r="329" spans="1:11" x14ac:dyDescent="0.2">
      <c r="A329">
        <v>40612</v>
      </c>
      <c r="B329">
        <v>1101</v>
      </c>
      <c r="C329" t="s">
        <v>4003</v>
      </c>
      <c r="D329">
        <v>10</v>
      </c>
      <c r="E329">
        <v>72</v>
      </c>
      <c r="F329">
        <v>0</v>
      </c>
      <c r="G329">
        <v>0</v>
      </c>
      <c r="H329">
        <v>4</v>
      </c>
      <c r="I329">
        <v>0</v>
      </c>
      <c r="J329">
        <v>7.69</v>
      </c>
      <c r="K329">
        <v>0</v>
      </c>
    </row>
    <row r="330" spans="1:11" x14ac:dyDescent="0.2">
      <c r="A330">
        <v>95167</v>
      </c>
      <c r="B330">
        <v>1102</v>
      </c>
      <c r="C330" t="s">
        <v>4004</v>
      </c>
      <c r="D330">
        <v>8</v>
      </c>
      <c r="E330">
        <v>380</v>
      </c>
      <c r="F330">
        <v>108</v>
      </c>
      <c r="G330">
        <v>41040</v>
      </c>
      <c r="H330">
        <v>2</v>
      </c>
      <c r="I330">
        <v>54</v>
      </c>
      <c r="J330">
        <v>1.59</v>
      </c>
      <c r="K330">
        <v>65253.599999999999</v>
      </c>
    </row>
    <row r="331" spans="1:11" x14ac:dyDescent="0.2">
      <c r="A331">
        <v>57595</v>
      </c>
      <c r="B331">
        <v>1103</v>
      </c>
      <c r="C331" t="s">
        <v>4005</v>
      </c>
      <c r="D331">
        <v>11</v>
      </c>
      <c r="E331">
        <v>120</v>
      </c>
      <c r="F331">
        <v>1</v>
      </c>
      <c r="G331">
        <v>107</v>
      </c>
      <c r="H331">
        <v>4</v>
      </c>
      <c r="I331">
        <v>0.2</v>
      </c>
      <c r="J331">
        <v>3.4</v>
      </c>
      <c r="K331">
        <v>363.8</v>
      </c>
    </row>
    <row r="332" spans="1:11" x14ac:dyDescent="0.2">
      <c r="A332">
        <v>65204</v>
      </c>
      <c r="B332">
        <v>1105</v>
      </c>
      <c r="C332" t="s">
        <v>4006</v>
      </c>
      <c r="D332">
        <v>8</v>
      </c>
      <c r="E332">
        <v>15</v>
      </c>
      <c r="F332">
        <v>1055</v>
      </c>
      <c r="G332">
        <v>15824</v>
      </c>
      <c r="H332">
        <v>50</v>
      </c>
      <c r="I332">
        <v>21.1</v>
      </c>
      <c r="J332">
        <v>1.1499999999999999</v>
      </c>
      <c r="K332">
        <v>18197.599999999999</v>
      </c>
    </row>
    <row r="333" spans="1:11" x14ac:dyDescent="0.2">
      <c r="A333">
        <v>57596</v>
      </c>
      <c r="B333">
        <v>1110</v>
      </c>
      <c r="C333" t="s">
        <v>4007</v>
      </c>
      <c r="D333">
        <v>10</v>
      </c>
      <c r="E333">
        <v>12</v>
      </c>
      <c r="F333">
        <v>7</v>
      </c>
      <c r="G333">
        <v>84</v>
      </c>
      <c r="H333">
        <v>108</v>
      </c>
      <c r="I333">
        <v>0.1</v>
      </c>
      <c r="J333">
        <v>1.35</v>
      </c>
      <c r="K333">
        <v>113.4</v>
      </c>
    </row>
    <row r="334" spans="1:11" x14ac:dyDescent="0.2">
      <c r="A334">
        <v>85243</v>
      </c>
      <c r="B334">
        <v>1120</v>
      </c>
      <c r="C334" t="s">
        <v>4008</v>
      </c>
      <c r="D334">
        <v>10</v>
      </c>
      <c r="E334">
        <v>6</v>
      </c>
      <c r="F334">
        <v>521</v>
      </c>
      <c r="G334">
        <v>3126</v>
      </c>
      <c r="H334">
        <v>126</v>
      </c>
      <c r="I334">
        <v>4.0999999999999996</v>
      </c>
      <c r="J334">
        <v>1.29</v>
      </c>
      <c r="K334">
        <v>4032.54</v>
      </c>
    </row>
    <row r="335" spans="1:11" x14ac:dyDescent="0.2">
      <c r="A335">
        <v>57597</v>
      </c>
      <c r="B335">
        <v>1122</v>
      </c>
      <c r="C335" t="s">
        <v>4009</v>
      </c>
      <c r="D335">
        <v>10</v>
      </c>
      <c r="E335">
        <v>12</v>
      </c>
      <c r="F335">
        <v>5</v>
      </c>
      <c r="G335">
        <v>63</v>
      </c>
      <c r="H335">
        <v>108</v>
      </c>
      <c r="I335">
        <v>0</v>
      </c>
      <c r="J335">
        <v>1.35</v>
      </c>
      <c r="K335">
        <v>85.05</v>
      </c>
    </row>
    <row r="336" spans="1:11" x14ac:dyDescent="0.2">
      <c r="A336">
        <v>99914</v>
      </c>
      <c r="B336">
        <v>1123</v>
      </c>
      <c r="C336" t="s">
        <v>4010</v>
      </c>
      <c r="D336">
        <v>10</v>
      </c>
      <c r="E336">
        <v>7</v>
      </c>
      <c r="F336">
        <v>0</v>
      </c>
      <c r="G336">
        <v>0</v>
      </c>
      <c r="H336">
        <v>108</v>
      </c>
      <c r="I336">
        <v>0</v>
      </c>
      <c r="J336">
        <v>2.15</v>
      </c>
      <c r="K336">
        <v>0</v>
      </c>
    </row>
    <row r="337" spans="1:11" x14ac:dyDescent="0.2">
      <c r="A337">
        <v>40616</v>
      </c>
      <c r="B337">
        <v>1124</v>
      </c>
      <c r="C337" t="s">
        <v>4011</v>
      </c>
      <c r="D337">
        <v>10</v>
      </c>
      <c r="E337">
        <v>1</v>
      </c>
      <c r="F337">
        <v>0</v>
      </c>
      <c r="G337">
        <v>0</v>
      </c>
      <c r="H337">
        <v>84</v>
      </c>
      <c r="I337">
        <v>0</v>
      </c>
      <c r="J337">
        <v>3.89</v>
      </c>
      <c r="K337">
        <v>0</v>
      </c>
    </row>
    <row r="338" spans="1:11" x14ac:dyDescent="0.2">
      <c r="A338">
        <v>69232</v>
      </c>
      <c r="B338">
        <v>1125</v>
      </c>
      <c r="C338" t="s">
        <v>4012</v>
      </c>
      <c r="D338">
        <v>8</v>
      </c>
      <c r="E338">
        <v>7</v>
      </c>
      <c r="F338">
        <v>953</v>
      </c>
      <c r="G338">
        <v>6671</v>
      </c>
      <c r="H338">
        <v>108</v>
      </c>
      <c r="I338">
        <v>8.8000000000000007</v>
      </c>
      <c r="J338">
        <v>2.15</v>
      </c>
      <c r="K338">
        <v>14342.65</v>
      </c>
    </row>
    <row r="339" spans="1:11" x14ac:dyDescent="0.2">
      <c r="B339">
        <v>1127</v>
      </c>
      <c r="C339" t="s">
        <v>4013</v>
      </c>
      <c r="D339">
        <v>11</v>
      </c>
      <c r="E339">
        <v>1</v>
      </c>
      <c r="F339">
        <v>0</v>
      </c>
      <c r="G339">
        <v>0</v>
      </c>
      <c r="H339">
        <v>310</v>
      </c>
      <c r="I339">
        <v>0</v>
      </c>
      <c r="J339">
        <v>2.6</v>
      </c>
      <c r="K339">
        <v>0</v>
      </c>
    </row>
    <row r="340" spans="1:11" x14ac:dyDescent="0.2">
      <c r="A340">
        <v>74105</v>
      </c>
      <c r="B340">
        <v>1129</v>
      </c>
      <c r="C340" t="s">
        <v>4014</v>
      </c>
      <c r="D340">
        <v>8</v>
      </c>
      <c r="E340">
        <v>11</v>
      </c>
      <c r="F340">
        <v>758</v>
      </c>
      <c r="G340">
        <v>8336</v>
      </c>
      <c r="H340">
        <v>80</v>
      </c>
      <c r="I340">
        <v>9.5</v>
      </c>
      <c r="J340">
        <v>1.25</v>
      </c>
      <c r="K340">
        <v>10420</v>
      </c>
    </row>
    <row r="341" spans="1:11" x14ac:dyDescent="0.2">
      <c r="A341">
        <v>84036</v>
      </c>
      <c r="B341">
        <v>1147</v>
      </c>
      <c r="C341" t="s">
        <v>4015</v>
      </c>
      <c r="D341">
        <v>8</v>
      </c>
      <c r="E341">
        <v>12</v>
      </c>
      <c r="F341">
        <v>396</v>
      </c>
      <c r="G341">
        <v>4752</v>
      </c>
      <c r="H341">
        <v>96</v>
      </c>
      <c r="I341">
        <v>4.0999999999999996</v>
      </c>
      <c r="J341">
        <v>1.25</v>
      </c>
      <c r="K341">
        <v>5940</v>
      </c>
    </row>
    <row r="342" spans="1:11" x14ac:dyDescent="0.2">
      <c r="A342">
        <v>84056</v>
      </c>
      <c r="B342">
        <v>1154</v>
      </c>
      <c r="C342" t="s">
        <v>4016</v>
      </c>
      <c r="D342">
        <v>8</v>
      </c>
      <c r="E342">
        <v>8</v>
      </c>
      <c r="F342">
        <v>169</v>
      </c>
      <c r="G342">
        <v>1352</v>
      </c>
      <c r="H342">
        <v>40</v>
      </c>
      <c r="I342">
        <v>4.2</v>
      </c>
      <c r="J342">
        <v>1.25</v>
      </c>
      <c r="K342">
        <v>1690</v>
      </c>
    </row>
    <row r="343" spans="1:11" x14ac:dyDescent="0.2">
      <c r="A343">
        <v>82212</v>
      </c>
      <c r="B343">
        <v>1166</v>
      </c>
      <c r="C343" t="s">
        <v>4017</v>
      </c>
      <c r="D343">
        <v>8</v>
      </c>
      <c r="E343">
        <v>8</v>
      </c>
      <c r="F343">
        <v>198</v>
      </c>
      <c r="G343">
        <v>1584</v>
      </c>
      <c r="H343">
        <v>96</v>
      </c>
      <c r="I343">
        <v>2.1</v>
      </c>
      <c r="J343">
        <v>1.35</v>
      </c>
      <c r="K343">
        <v>2138.4</v>
      </c>
    </row>
    <row r="344" spans="1:11" x14ac:dyDescent="0.2">
      <c r="A344">
        <v>82226</v>
      </c>
      <c r="B344">
        <v>1168</v>
      </c>
      <c r="C344" t="s">
        <v>4018</v>
      </c>
      <c r="D344">
        <v>8</v>
      </c>
      <c r="E344">
        <v>14</v>
      </c>
      <c r="F344">
        <v>740</v>
      </c>
      <c r="G344">
        <v>10360</v>
      </c>
      <c r="H344">
        <v>100</v>
      </c>
      <c r="I344">
        <v>7.4</v>
      </c>
      <c r="J344">
        <v>2.19</v>
      </c>
      <c r="K344">
        <v>22688.400000000001</v>
      </c>
    </row>
    <row r="345" spans="1:11" x14ac:dyDescent="0.2">
      <c r="A345">
        <v>82091</v>
      </c>
      <c r="B345">
        <v>1170</v>
      </c>
      <c r="C345" t="s">
        <v>4019</v>
      </c>
      <c r="D345">
        <v>8</v>
      </c>
      <c r="E345">
        <v>8</v>
      </c>
      <c r="F345">
        <v>109</v>
      </c>
      <c r="G345">
        <v>871</v>
      </c>
      <c r="H345">
        <v>56</v>
      </c>
      <c r="I345">
        <v>1.9</v>
      </c>
      <c r="J345">
        <v>4.49</v>
      </c>
      <c r="K345">
        <v>3910.79</v>
      </c>
    </row>
    <row r="346" spans="1:11" x14ac:dyDescent="0.2">
      <c r="A346">
        <v>0</v>
      </c>
      <c r="B346">
        <v>1170</v>
      </c>
      <c r="C346" t="s">
        <v>4019</v>
      </c>
      <c r="D346">
        <v>12</v>
      </c>
      <c r="E346">
        <v>12</v>
      </c>
      <c r="F346">
        <v>0</v>
      </c>
      <c r="G346">
        <v>0</v>
      </c>
      <c r="H346">
        <v>50</v>
      </c>
      <c r="I346">
        <v>0</v>
      </c>
      <c r="J346">
        <v>4.49</v>
      </c>
      <c r="K346">
        <v>0</v>
      </c>
    </row>
    <row r="347" spans="1:11" x14ac:dyDescent="0.2">
      <c r="A347">
        <v>82164</v>
      </c>
      <c r="B347">
        <v>1171</v>
      </c>
      <c r="C347" t="s">
        <v>4020</v>
      </c>
      <c r="D347">
        <v>8</v>
      </c>
      <c r="E347">
        <v>10</v>
      </c>
      <c r="F347">
        <v>79</v>
      </c>
      <c r="G347">
        <v>790</v>
      </c>
      <c r="H347">
        <v>64</v>
      </c>
      <c r="I347">
        <v>1.2</v>
      </c>
      <c r="J347">
        <v>2.79</v>
      </c>
      <c r="K347">
        <v>2204.1</v>
      </c>
    </row>
    <row r="348" spans="1:11" x14ac:dyDescent="0.2">
      <c r="A348">
        <v>82171</v>
      </c>
      <c r="B348">
        <v>1172</v>
      </c>
      <c r="C348" t="s">
        <v>4021</v>
      </c>
      <c r="D348">
        <v>8</v>
      </c>
      <c r="E348">
        <v>12</v>
      </c>
      <c r="F348">
        <v>74</v>
      </c>
      <c r="G348">
        <v>888</v>
      </c>
      <c r="H348">
        <v>60</v>
      </c>
      <c r="I348">
        <v>1.2</v>
      </c>
      <c r="J348">
        <v>3.09</v>
      </c>
      <c r="K348">
        <v>2743.92</v>
      </c>
    </row>
    <row r="349" spans="1:11" x14ac:dyDescent="0.2">
      <c r="A349">
        <v>84019</v>
      </c>
      <c r="B349">
        <v>1180</v>
      </c>
      <c r="C349" t="s">
        <v>4022</v>
      </c>
      <c r="D349">
        <v>8</v>
      </c>
      <c r="E349">
        <v>8</v>
      </c>
      <c r="F349">
        <v>221</v>
      </c>
      <c r="G349">
        <v>1771</v>
      </c>
      <c r="H349">
        <v>54</v>
      </c>
      <c r="I349">
        <v>4.0999999999999996</v>
      </c>
      <c r="J349">
        <v>2.59</v>
      </c>
      <c r="K349">
        <v>4586.8900000000003</v>
      </c>
    </row>
    <row r="350" spans="1:11" x14ac:dyDescent="0.2">
      <c r="A350">
        <v>83125</v>
      </c>
      <c r="B350">
        <v>1183</v>
      </c>
      <c r="C350" t="s">
        <v>4023</v>
      </c>
      <c r="D350">
        <v>8</v>
      </c>
      <c r="E350">
        <v>8</v>
      </c>
      <c r="F350">
        <v>134</v>
      </c>
      <c r="G350">
        <v>1072</v>
      </c>
      <c r="H350">
        <v>30</v>
      </c>
      <c r="I350">
        <v>4.5</v>
      </c>
      <c r="J350">
        <v>2.35</v>
      </c>
      <c r="K350">
        <v>2519.1999999999998</v>
      </c>
    </row>
    <row r="351" spans="1:11" x14ac:dyDescent="0.2">
      <c r="A351">
        <v>83094</v>
      </c>
      <c r="B351">
        <v>1184</v>
      </c>
      <c r="C351" t="s">
        <v>4024</v>
      </c>
      <c r="D351">
        <v>11</v>
      </c>
      <c r="E351">
        <v>8</v>
      </c>
      <c r="F351">
        <v>1</v>
      </c>
      <c r="G351">
        <v>8</v>
      </c>
      <c r="H351">
        <v>45</v>
      </c>
      <c r="I351">
        <v>0</v>
      </c>
      <c r="J351">
        <v>1.99</v>
      </c>
      <c r="K351">
        <v>15.92</v>
      </c>
    </row>
    <row r="352" spans="1:11" x14ac:dyDescent="0.2">
      <c r="A352">
        <v>85028</v>
      </c>
      <c r="B352">
        <v>1191</v>
      </c>
      <c r="C352" t="s">
        <v>4025</v>
      </c>
      <c r="D352">
        <v>8</v>
      </c>
      <c r="E352">
        <v>6</v>
      </c>
      <c r="F352">
        <v>228</v>
      </c>
      <c r="G352">
        <v>1368</v>
      </c>
      <c r="H352">
        <v>77</v>
      </c>
      <c r="I352">
        <v>3</v>
      </c>
      <c r="J352">
        <v>1.65</v>
      </c>
      <c r="K352">
        <v>2257.1999999999998</v>
      </c>
    </row>
    <row r="353" spans="1:11" x14ac:dyDescent="0.2">
      <c r="A353">
        <v>80201</v>
      </c>
      <c r="B353">
        <v>1192</v>
      </c>
      <c r="C353" t="s">
        <v>4026</v>
      </c>
      <c r="D353">
        <v>8</v>
      </c>
      <c r="E353">
        <v>4</v>
      </c>
      <c r="F353">
        <v>484</v>
      </c>
      <c r="G353">
        <v>1936</v>
      </c>
      <c r="H353">
        <v>91</v>
      </c>
      <c r="I353">
        <v>5.3</v>
      </c>
      <c r="J353">
        <v>1.65</v>
      </c>
      <c r="K353">
        <v>3194.4</v>
      </c>
    </row>
    <row r="354" spans="1:11" x14ac:dyDescent="0.2">
      <c r="A354">
        <v>83010</v>
      </c>
      <c r="B354">
        <v>1194</v>
      </c>
      <c r="C354" t="s">
        <v>4027</v>
      </c>
      <c r="D354">
        <v>8</v>
      </c>
      <c r="E354">
        <v>18</v>
      </c>
      <c r="F354">
        <v>192</v>
      </c>
      <c r="G354">
        <v>3456</v>
      </c>
      <c r="H354">
        <v>84</v>
      </c>
      <c r="I354">
        <v>2.2999999999999998</v>
      </c>
      <c r="J354">
        <v>1.69</v>
      </c>
      <c r="K354">
        <v>5840.64</v>
      </c>
    </row>
    <row r="355" spans="1:11" x14ac:dyDescent="0.2">
      <c r="A355">
        <v>87080</v>
      </c>
      <c r="B355">
        <v>1200</v>
      </c>
      <c r="C355" t="s">
        <v>4028</v>
      </c>
      <c r="D355">
        <v>8</v>
      </c>
      <c r="E355">
        <v>8</v>
      </c>
      <c r="F355">
        <v>0</v>
      </c>
      <c r="G355">
        <v>0</v>
      </c>
      <c r="H355">
        <v>77</v>
      </c>
      <c r="I355">
        <v>0</v>
      </c>
      <c r="J355">
        <v>3.74</v>
      </c>
      <c r="K355">
        <v>0</v>
      </c>
    </row>
    <row r="356" spans="1:11" x14ac:dyDescent="0.2">
      <c r="A356">
        <v>65272</v>
      </c>
      <c r="B356">
        <v>1201</v>
      </c>
      <c r="C356" t="s">
        <v>4029</v>
      </c>
      <c r="D356">
        <v>8</v>
      </c>
      <c r="E356">
        <v>12</v>
      </c>
      <c r="F356">
        <v>1129</v>
      </c>
      <c r="G356">
        <v>13542</v>
      </c>
      <c r="H356">
        <v>90</v>
      </c>
      <c r="I356">
        <v>12.5</v>
      </c>
      <c r="J356">
        <v>0.99</v>
      </c>
      <c r="K356">
        <v>13406.58</v>
      </c>
    </row>
    <row r="357" spans="1:11" x14ac:dyDescent="0.2">
      <c r="A357">
        <v>65050</v>
      </c>
      <c r="B357">
        <v>1209</v>
      </c>
      <c r="C357" t="s">
        <v>4030</v>
      </c>
      <c r="D357">
        <v>8</v>
      </c>
      <c r="E357">
        <v>12</v>
      </c>
      <c r="F357">
        <v>815</v>
      </c>
      <c r="G357">
        <v>9777</v>
      </c>
      <c r="H357">
        <v>190</v>
      </c>
      <c r="I357">
        <v>4.3</v>
      </c>
      <c r="J357">
        <v>1.1200000000000001</v>
      </c>
      <c r="K357">
        <v>10950.24</v>
      </c>
    </row>
    <row r="358" spans="1:11" x14ac:dyDescent="0.2">
      <c r="A358">
        <v>1609</v>
      </c>
      <c r="B358">
        <v>1214</v>
      </c>
      <c r="C358" t="s">
        <v>4031</v>
      </c>
      <c r="D358">
        <v>6</v>
      </c>
      <c r="E358">
        <v>24</v>
      </c>
      <c r="F358">
        <v>0</v>
      </c>
      <c r="G358">
        <v>0</v>
      </c>
      <c r="H358">
        <v>192</v>
      </c>
      <c r="I358">
        <v>0</v>
      </c>
      <c r="J358">
        <v>0.69</v>
      </c>
      <c r="K358">
        <v>0</v>
      </c>
    </row>
    <row r="359" spans="1:11" x14ac:dyDescent="0.2">
      <c r="A359">
        <v>65236</v>
      </c>
      <c r="B359">
        <v>1217</v>
      </c>
      <c r="C359" t="s">
        <v>4032</v>
      </c>
      <c r="D359">
        <v>8</v>
      </c>
      <c r="E359">
        <v>12</v>
      </c>
      <c r="F359">
        <v>217</v>
      </c>
      <c r="G359">
        <v>2607</v>
      </c>
      <c r="H359">
        <v>105</v>
      </c>
      <c r="I359">
        <v>2.1</v>
      </c>
      <c r="J359">
        <v>1.19</v>
      </c>
      <c r="K359">
        <v>3102.33</v>
      </c>
    </row>
    <row r="360" spans="1:11" x14ac:dyDescent="0.2">
      <c r="A360">
        <v>65223</v>
      </c>
      <c r="B360">
        <v>1219</v>
      </c>
      <c r="C360" t="s">
        <v>4033</v>
      </c>
      <c r="D360">
        <v>8</v>
      </c>
      <c r="E360">
        <v>8</v>
      </c>
      <c r="F360">
        <v>247</v>
      </c>
      <c r="G360">
        <v>1976</v>
      </c>
      <c r="H360">
        <v>85</v>
      </c>
      <c r="I360">
        <v>2.9</v>
      </c>
      <c r="J360">
        <v>1.05</v>
      </c>
      <c r="K360">
        <v>2074.8000000000002</v>
      </c>
    </row>
    <row r="361" spans="1:11" x14ac:dyDescent="0.2">
      <c r="B361">
        <v>1222</v>
      </c>
      <c r="C361" t="s">
        <v>4034</v>
      </c>
      <c r="D361">
        <v>12</v>
      </c>
      <c r="E361">
        <v>16</v>
      </c>
      <c r="F361">
        <v>0</v>
      </c>
      <c r="G361">
        <v>0</v>
      </c>
      <c r="H361">
        <v>105</v>
      </c>
      <c r="I361">
        <v>0</v>
      </c>
      <c r="J361">
        <v>0.45</v>
      </c>
      <c r="K361">
        <v>0</v>
      </c>
    </row>
    <row r="362" spans="1:11" x14ac:dyDescent="0.2">
      <c r="A362">
        <v>67120</v>
      </c>
      <c r="B362">
        <v>1222</v>
      </c>
      <c r="C362" t="s">
        <v>4034</v>
      </c>
      <c r="D362">
        <v>8</v>
      </c>
      <c r="E362">
        <v>20</v>
      </c>
      <c r="F362">
        <v>201</v>
      </c>
      <c r="G362">
        <v>4018</v>
      </c>
      <c r="H362">
        <v>84</v>
      </c>
      <c r="I362">
        <v>2.4</v>
      </c>
      <c r="J362">
        <v>0.45</v>
      </c>
      <c r="K362">
        <v>1808.1</v>
      </c>
    </row>
    <row r="363" spans="1:11" x14ac:dyDescent="0.2">
      <c r="A363">
        <v>65234</v>
      </c>
      <c r="B363">
        <v>1226</v>
      </c>
      <c r="C363" t="s">
        <v>4035</v>
      </c>
      <c r="D363">
        <v>8</v>
      </c>
      <c r="E363">
        <v>12</v>
      </c>
      <c r="F363">
        <v>237</v>
      </c>
      <c r="G363">
        <v>2844</v>
      </c>
      <c r="H363">
        <v>102</v>
      </c>
      <c r="I363">
        <v>2.2999999999999998</v>
      </c>
      <c r="J363">
        <v>0.89</v>
      </c>
      <c r="K363">
        <v>2531.16</v>
      </c>
    </row>
    <row r="364" spans="1:11" x14ac:dyDescent="0.2">
      <c r="B364">
        <v>1239</v>
      </c>
      <c r="C364" t="s">
        <v>4036</v>
      </c>
      <c r="D364">
        <v>12</v>
      </c>
      <c r="E364">
        <v>18</v>
      </c>
      <c r="F364">
        <v>0</v>
      </c>
      <c r="G364">
        <v>0</v>
      </c>
      <c r="H364">
        <v>144</v>
      </c>
      <c r="I364">
        <v>0</v>
      </c>
      <c r="J364">
        <v>0.49</v>
      </c>
      <c r="K364">
        <v>0</v>
      </c>
    </row>
    <row r="365" spans="1:11" x14ac:dyDescent="0.2">
      <c r="A365">
        <v>70096</v>
      </c>
      <c r="B365">
        <v>1247</v>
      </c>
      <c r="C365" t="s">
        <v>4037</v>
      </c>
      <c r="D365">
        <v>8</v>
      </c>
      <c r="E365">
        <v>16</v>
      </c>
      <c r="F365">
        <v>471</v>
      </c>
      <c r="G365">
        <v>7536</v>
      </c>
      <c r="H365">
        <v>85</v>
      </c>
      <c r="I365">
        <v>5.5</v>
      </c>
      <c r="J365">
        <v>2.59</v>
      </c>
      <c r="K365">
        <v>19518.240000000002</v>
      </c>
    </row>
    <row r="366" spans="1:11" x14ac:dyDescent="0.2">
      <c r="A366">
        <v>65017</v>
      </c>
      <c r="B366">
        <v>1251</v>
      </c>
      <c r="C366" t="s">
        <v>4038</v>
      </c>
      <c r="D366">
        <v>8</v>
      </c>
      <c r="E366">
        <v>15</v>
      </c>
      <c r="F366">
        <v>948</v>
      </c>
      <c r="G366">
        <v>14217</v>
      </c>
      <c r="H366">
        <v>120</v>
      </c>
      <c r="I366">
        <v>7.9</v>
      </c>
      <c r="J366">
        <v>1.0900000000000001</v>
      </c>
      <c r="K366">
        <v>15496.53</v>
      </c>
    </row>
    <row r="367" spans="1:11" x14ac:dyDescent="0.2">
      <c r="A367">
        <v>65025</v>
      </c>
      <c r="B367">
        <v>1252</v>
      </c>
      <c r="C367" t="s">
        <v>4039</v>
      </c>
      <c r="D367">
        <v>8</v>
      </c>
      <c r="E367">
        <v>15</v>
      </c>
      <c r="F367">
        <v>637</v>
      </c>
      <c r="G367">
        <v>9562</v>
      </c>
      <c r="H367">
        <v>120</v>
      </c>
      <c r="I367">
        <v>5.3</v>
      </c>
      <c r="J367">
        <v>0.99</v>
      </c>
      <c r="K367">
        <v>9466.3799999999992</v>
      </c>
    </row>
    <row r="368" spans="1:11" x14ac:dyDescent="0.2">
      <c r="A368">
        <v>67006</v>
      </c>
      <c r="B368">
        <v>1253</v>
      </c>
      <c r="C368" t="s">
        <v>4040</v>
      </c>
      <c r="D368">
        <v>8</v>
      </c>
      <c r="E368">
        <v>12</v>
      </c>
      <c r="F368">
        <v>1820</v>
      </c>
      <c r="G368">
        <v>21844</v>
      </c>
      <c r="H368">
        <v>104</v>
      </c>
      <c r="I368">
        <v>17.5</v>
      </c>
      <c r="J368">
        <v>0.88</v>
      </c>
      <c r="K368">
        <v>19222.72</v>
      </c>
    </row>
    <row r="369" spans="1:11" x14ac:dyDescent="0.2">
      <c r="A369">
        <v>67014</v>
      </c>
      <c r="B369">
        <v>1254</v>
      </c>
      <c r="C369" t="s">
        <v>4041</v>
      </c>
      <c r="D369">
        <v>8</v>
      </c>
      <c r="E369">
        <v>12</v>
      </c>
      <c r="F369">
        <v>2236</v>
      </c>
      <c r="G369">
        <v>26831</v>
      </c>
      <c r="H369">
        <v>104</v>
      </c>
      <c r="I369">
        <v>21.5</v>
      </c>
      <c r="J369">
        <v>0.87</v>
      </c>
      <c r="K369">
        <v>23342.97</v>
      </c>
    </row>
    <row r="370" spans="1:11" x14ac:dyDescent="0.2">
      <c r="A370">
        <v>65028</v>
      </c>
      <c r="B370">
        <v>1256</v>
      </c>
      <c r="C370" t="s">
        <v>4042</v>
      </c>
      <c r="D370">
        <v>8</v>
      </c>
      <c r="E370">
        <v>6</v>
      </c>
      <c r="F370">
        <v>1539</v>
      </c>
      <c r="G370">
        <v>9236</v>
      </c>
      <c r="H370">
        <v>96</v>
      </c>
      <c r="I370">
        <v>16</v>
      </c>
      <c r="J370">
        <v>2.09</v>
      </c>
      <c r="K370">
        <v>19303.240000000002</v>
      </c>
    </row>
    <row r="371" spans="1:11" x14ac:dyDescent="0.2">
      <c r="A371">
        <v>65021</v>
      </c>
      <c r="B371">
        <v>1257</v>
      </c>
      <c r="C371" t="s">
        <v>4043</v>
      </c>
      <c r="D371">
        <v>8</v>
      </c>
      <c r="E371">
        <v>15</v>
      </c>
      <c r="F371">
        <v>783</v>
      </c>
      <c r="G371">
        <v>11744</v>
      </c>
      <c r="H371">
        <v>120</v>
      </c>
      <c r="I371">
        <v>6.5</v>
      </c>
      <c r="J371">
        <v>0.82</v>
      </c>
      <c r="K371">
        <v>9630.08</v>
      </c>
    </row>
    <row r="372" spans="1:11" x14ac:dyDescent="0.2">
      <c r="A372">
        <v>67124</v>
      </c>
      <c r="B372">
        <v>1266</v>
      </c>
      <c r="C372" t="s">
        <v>4044</v>
      </c>
      <c r="D372">
        <v>8</v>
      </c>
      <c r="E372">
        <v>12</v>
      </c>
      <c r="F372">
        <v>227</v>
      </c>
      <c r="G372">
        <v>2724</v>
      </c>
      <c r="H372">
        <v>88</v>
      </c>
      <c r="I372">
        <v>2.6</v>
      </c>
      <c r="J372">
        <v>1.02</v>
      </c>
      <c r="K372">
        <v>2778.48</v>
      </c>
    </row>
    <row r="373" spans="1:11" x14ac:dyDescent="0.2">
      <c r="A373">
        <v>67001</v>
      </c>
      <c r="B373">
        <v>1268</v>
      </c>
      <c r="C373" t="s">
        <v>4045</v>
      </c>
      <c r="D373">
        <v>8</v>
      </c>
      <c r="E373">
        <v>12</v>
      </c>
      <c r="F373">
        <v>1752</v>
      </c>
      <c r="G373">
        <v>21024</v>
      </c>
      <c r="H373">
        <v>104</v>
      </c>
      <c r="I373">
        <v>16.8</v>
      </c>
      <c r="J373">
        <v>0.95</v>
      </c>
      <c r="K373">
        <v>19972.8</v>
      </c>
    </row>
    <row r="374" spans="1:11" x14ac:dyDescent="0.2">
      <c r="A374">
        <v>66056</v>
      </c>
      <c r="B374">
        <v>1272</v>
      </c>
      <c r="C374" t="s">
        <v>4046</v>
      </c>
      <c r="D374">
        <v>8</v>
      </c>
      <c r="E374">
        <v>9</v>
      </c>
      <c r="F374">
        <v>255</v>
      </c>
      <c r="G374">
        <v>2295</v>
      </c>
      <c r="H374">
        <v>126</v>
      </c>
      <c r="I374">
        <v>2</v>
      </c>
      <c r="J374">
        <v>1.65</v>
      </c>
      <c r="K374">
        <v>3786.75</v>
      </c>
    </row>
    <row r="375" spans="1:11" x14ac:dyDescent="0.2">
      <c r="A375">
        <v>66034</v>
      </c>
      <c r="B375">
        <v>1275</v>
      </c>
      <c r="C375" t="s">
        <v>4047</v>
      </c>
      <c r="D375">
        <v>8</v>
      </c>
      <c r="E375">
        <v>18</v>
      </c>
      <c r="F375">
        <v>353</v>
      </c>
      <c r="G375">
        <v>6354</v>
      </c>
      <c r="H375">
        <v>144</v>
      </c>
      <c r="I375">
        <v>2.5</v>
      </c>
      <c r="J375">
        <v>1.79</v>
      </c>
      <c r="K375">
        <v>11373.66</v>
      </c>
    </row>
    <row r="376" spans="1:11" x14ac:dyDescent="0.2">
      <c r="A376">
        <v>40500</v>
      </c>
      <c r="B376">
        <v>1277</v>
      </c>
      <c r="C376" t="s">
        <v>4048</v>
      </c>
      <c r="D376">
        <v>10</v>
      </c>
      <c r="E376">
        <v>3</v>
      </c>
      <c r="F376">
        <v>9</v>
      </c>
      <c r="G376">
        <v>27</v>
      </c>
      <c r="H376">
        <v>84</v>
      </c>
      <c r="I376">
        <v>0.1</v>
      </c>
      <c r="J376">
        <v>2.99</v>
      </c>
      <c r="K376">
        <v>80.73</v>
      </c>
    </row>
    <row r="377" spans="1:11" x14ac:dyDescent="0.2">
      <c r="A377">
        <v>72245</v>
      </c>
      <c r="B377">
        <v>1291</v>
      </c>
      <c r="C377" t="s">
        <v>4049</v>
      </c>
      <c r="D377">
        <v>8</v>
      </c>
      <c r="E377">
        <v>6</v>
      </c>
      <c r="F377">
        <v>308</v>
      </c>
      <c r="G377">
        <v>1848</v>
      </c>
      <c r="H377">
        <v>264</v>
      </c>
      <c r="I377">
        <v>1.2</v>
      </c>
      <c r="J377">
        <v>4.1900000000000004</v>
      </c>
      <c r="K377">
        <v>7743.12</v>
      </c>
    </row>
    <row r="378" spans="1:11" x14ac:dyDescent="0.2">
      <c r="A378">
        <v>72248</v>
      </c>
      <c r="B378">
        <v>1292</v>
      </c>
      <c r="C378" t="s">
        <v>4050</v>
      </c>
      <c r="D378">
        <v>8</v>
      </c>
      <c r="E378">
        <v>12</v>
      </c>
      <c r="F378">
        <v>201</v>
      </c>
      <c r="G378">
        <v>2412</v>
      </c>
      <c r="H378">
        <v>168</v>
      </c>
      <c r="I378">
        <v>1.2</v>
      </c>
      <c r="J378">
        <v>2.33</v>
      </c>
      <c r="K378">
        <v>5619.96</v>
      </c>
    </row>
    <row r="379" spans="1:11" x14ac:dyDescent="0.2">
      <c r="A379">
        <v>57365</v>
      </c>
      <c r="B379">
        <v>1293</v>
      </c>
      <c r="C379" t="s">
        <v>4051</v>
      </c>
      <c r="D379">
        <v>11</v>
      </c>
      <c r="E379">
        <v>1</v>
      </c>
      <c r="F379">
        <v>0</v>
      </c>
      <c r="G379">
        <v>0</v>
      </c>
      <c r="H379">
        <v>176</v>
      </c>
      <c r="I379">
        <v>0</v>
      </c>
      <c r="J379">
        <v>4.4000000000000004</v>
      </c>
      <c r="K379">
        <v>0</v>
      </c>
    </row>
    <row r="380" spans="1:11" x14ac:dyDescent="0.2">
      <c r="A380">
        <v>57244</v>
      </c>
      <c r="B380">
        <v>1295</v>
      </c>
      <c r="C380" t="s">
        <v>4052</v>
      </c>
      <c r="D380">
        <v>11</v>
      </c>
      <c r="E380">
        <v>1</v>
      </c>
      <c r="F380">
        <v>0</v>
      </c>
      <c r="G380">
        <v>0</v>
      </c>
      <c r="H380">
        <v>176</v>
      </c>
      <c r="I380">
        <v>0</v>
      </c>
      <c r="J380">
        <v>4.4000000000000004</v>
      </c>
      <c r="K380">
        <v>0</v>
      </c>
    </row>
    <row r="381" spans="1:11" x14ac:dyDescent="0.2">
      <c r="A381">
        <v>57000</v>
      </c>
      <c r="B381">
        <v>1296</v>
      </c>
      <c r="C381" t="s">
        <v>4053</v>
      </c>
      <c r="D381">
        <v>11</v>
      </c>
      <c r="E381">
        <v>3</v>
      </c>
      <c r="F381">
        <v>0</v>
      </c>
      <c r="G381">
        <v>0</v>
      </c>
      <c r="H381">
        <v>119</v>
      </c>
      <c r="I381">
        <v>0</v>
      </c>
      <c r="J381">
        <v>1.95</v>
      </c>
      <c r="K381">
        <v>0</v>
      </c>
    </row>
    <row r="382" spans="1:11" x14ac:dyDescent="0.2">
      <c r="A382">
        <v>57142</v>
      </c>
      <c r="B382">
        <v>1297</v>
      </c>
      <c r="C382" t="s">
        <v>4054</v>
      </c>
      <c r="D382">
        <v>10</v>
      </c>
      <c r="E382">
        <v>36</v>
      </c>
      <c r="F382">
        <v>0</v>
      </c>
      <c r="G382">
        <v>0</v>
      </c>
      <c r="H382">
        <v>40</v>
      </c>
      <c r="I382">
        <v>0</v>
      </c>
      <c r="J382">
        <v>0.89</v>
      </c>
      <c r="K382">
        <v>0</v>
      </c>
    </row>
    <row r="383" spans="1:11" x14ac:dyDescent="0.2">
      <c r="A383">
        <v>67089</v>
      </c>
      <c r="B383">
        <v>1303</v>
      </c>
      <c r="C383" t="s">
        <v>4055</v>
      </c>
      <c r="D383">
        <v>8</v>
      </c>
      <c r="E383">
        <v>12</v>
      </c>
      <c r="F383">
        <v>420</v>
      </c>
      <c r="G383">
        <v>5040</v>
      </c>
      <c r="H383">
        <v>42</v>
      </c>
      <c r="I383">
        <v>10</v>
      </c>
      <c r="J383">
        <v>1.0900000000000001</v>
      </c>
      <c r="K383">
        <v>5493.6</v>
      </c>
    </row>
    <row r="384" spans="1:11" x14ac:dyDescent="0.2">
      <c r="A384">
        <v>67080</v>
      </c>
      <c r="B384">
        <v>1307</v>
      </c>
      <c r="C384" t="s">
        <v>4056</v>
      </c>
      <c r="D384">
        <v>8</v>
      </c>
      <c r="E384">
        <v>24</v>
      </c>
      <c r="F384">
        <v>1071</v>
      </c>
      <c r="G384">
        <v>25704</v>
      </c>
      <c r="H384">
        <v>95</v>
      </c>
      <c r="I384">
        <v>11.3</v>
      </c>
      <c r="J384">
        <v>0.39</v>
      </c>
      <c r="K384">
        <v>10024.56</v>
      </c>
    </row>
    <row r="385" spans="1:11" x14ac:dyDescent="0.2">
      <c r="A385">
        <v>67105</v>
      </c>
      <c r="B385">
        <v>1308</v>
      </c>
      <c r="C385" t="s">
        <v>4057</v>
      </c>
      <c r="D385">
        <v>8</v>
      </c>
      <c r="E385">
        <v>24</v>
      </c>
      <c r="F385">
        <v>840</v>
      </c>
      <c r="G385">
        <v>20160</v>
      </c>
      <c r="H385">
        <v>42</v>
      </c>
      <c r="I385">
        <v>20</v>
      </c>
      <c r="J385">
        <v>0.39</v>
      </c>
      <c r="K385">
        <v>7862.4</v>
      </c>
    </row>
    <row r="386" spans="1:11" x14ac:dyDescent="0.2">
      <c r="A386">
        <v>67050</v>
      </c>
      <c r="B386">
        <v>1309</v>
      </c>
      <c r="C386" t="s">
        <v>4058</v>
      </c>
      <c r="D386">
        <v>8</v>
      </c>
      <c r="E386">
        <v>20</v>
      </c>
      <c r="F386">
        <v>648</v>
      </c>
      <c r="G386">
        <v>12960</v>
      </c>
      <c r="H386">
        <v>70</v>
      </c>
      <c r="I386">
        <v>9.3000000000000007</v>
      </c>
      <c r="J386">
        <v>0.39</v>
      </c>
      <c r="K386">
        <v>5054.3999999999996</v>
      </c>
    </row>
    <row r="387" spans="1:11" x14ac:dyDescent="0.2">
      <c r="B387">
        <v>1310</v>
      </c>
      <c r="C387" t="s">
        <v>4059</v>
      </c>
      <c r="D387">
        <v>12</v>
      </c>
      <c r="E387">
        <v>12</v>
      </c>
      <c r="F387">
        <v>0</v>
      </c>
      <c r="G387">
        <v>0</v>
      </c>
      <c r="H387">
        <v>28</v>
      </c>
      <c r="I387">
        <v>0</v>
      </c>
      <c r="J387">
        <v>1.35</v>
      </c>
      <c r="K387">
        <v>0</v>
      </c>
    </row>
    <row r="388" spans="1:11" x14ac:dyDescent="0.2">
      <c r="A388">
        <v>67111</v>
      </c>
      <c r="B388">
        <v>1312</v>
      </c>
      <c r="C388" t="s">
        <v>4060</v>
      </c>
      <c r="D388">
        <v>8</v>
      </c>
      <c r="E388">
        <v>20</v>
      </c>
      <c r="F388">
        <v>812</v>
      </c>
      <c r="G388">
        <v>16241</v>
      </c>
      <c r="H388">
        <v>42</v>
      </c>
      <c r="I388">
        <v>19.3</v>
      </c>
      <c r="J388">
        <v>0.39</v>
      </c>
      <c r="K388">
        <v>6333.99</v>
      </c>
    </row>
    <row r="389" spans="1:11" x14ac:dyDescent="0.2">
      <c r="A389">
        <v>67054</v>
      </c>
      <c r="B389">
        <v>1313</v>
      </c>
      <c r="C389" t="s">
        <v>4061</v>
      </c>
      <c r="D389">
        <v>8</v>
      </c>
      <c r="E389">
        <v>10</v>
      </c>
      <c r="F389">
        <v>567</v>
      </c>
      <c r="G389">
        <v>5670</v>
      </c>
      <c r="H389">
        <v>84</v>
      </c>
      <c r="I389">
        <v>6.8</v>
      </c>
      <c r="J389">
        <v>0.99</v>
      </c>
      <c r="K389">
        <v>5613.3</v>
      </c>
    </row>
    <row r="390" spans="1:11" x14ac:dyDescent="0.2">
      <c r="A390">
        <v>74111</v>
      </c>
      <c r="B390">
        <v>1314</v>
      </c>
      <c r="C390" t="s">
        <v>4062</v>
      </c>
      <c r="D390">
        <v>8</v>
      </c>
      <c r="E390">
        <v>14</v>
      </c>
      <c r="F390">
        <v>289</v>
      </c>
      <c r="G390">
        <v>4046</v>
      </c>
      <c r="H390">
        <v>48</v>
      </c>
      <c r="I390">
        <v>6</v>
      </c>
      <c r="J390">
        <v>1.89</v>
      </c>
      <c r="K390">
        <v>7646.94</v>
      </c>
    </row>
    <row r="391" spans="1:11" x14ac:dyDescent="0.2">
      <c r="A391">
        <v>67072</v>
      </c>
      <c r="B391">
        <v>1318</v>
      </c>
      <c r="C391" t="s">
        <v>4063</v>
      </c>
      <c r="D391">
        <v>8</v>
      </c>
      <c r="E391">
        <v>12</v>
      </c>
      <c r="F391">
        <v>2224</v>
      </c>
      <c r="G391">
        <v>26688</v>
      </c>
      <c r="H391">
        <v>56</v>
      </c>
      <c r="I391">
        <v>39.700000000000003</v>
      </c>
      <c r="J391">
        <v>0.6</v>
      </c>
      <c r="K391">
        <v>16012.8</v>
      </c>
    </row>
    <row r="392" spans="1:11" x14ac:dyDescent="0.2">
      <c r="A392">
        <v>67128</v>
      </c>
      <c r="B392">
        <v>1319</v>
      </c>
      <c r="C392" t="s">
        <v>4064</v>
      </c>
      <c r="D392">
        <v>8</v>
      </c>
      <c r="E392">
        <v>12</v>
      </c>
      <c r="F392">
        <v>428</v>
      </c>
      <c r="G392">
        <v>5131</v>
      </c>
      <c r="H392">
        <v>72</v>
      </c>
      <c r="I392">
        <v>5.9</v>
      </c>
      <c r="J392">
        <v>0.95</v>
      </c>
      <c r="K392">
        <v>4874.45</v>
      </c>
    </row>
    <row r="393" spans="1:11" x14ac:dyDescent="0.2">
      <c r="A393">
        <v>67039</v>
      </c>
      <c r="B393">
        <v>1321</v>
      </c>
      <c r="C393" t="s">
        <v>4065</v>
      </c>
      <c r="D393">
        <v>8</v>
      </c>
      <c r="E393">
        <v>10</v>
      </c>
      <c r="F393">
        <v>2199</v>
      </c>
      <c r="G393">
        <v>21990</v>
      </c>
      <c r="H393">
        <v>78</v>
      </c>
      <c r="I393">
        <v>28.2</v>
      </c>
      <c r="J393">
        <v>0.99</v>
      </c>
      <c r="K393">
        <v>21770.1</v>
      </c>
    </row>
    <row r="394" spans="1:11" x14ac:dyDescent="0.2">
      <c r="A394">
        <v>67083</v>
      </c>
      <c r="B394">
        <v>1323</v>
      </c>
      <c r="C394" t="s">
        <v>4066</v>
      </c>
      <c r="D394">
        <v>8</v>
      </c>
      <c r="E394">
        <v>16</v>
      </c>
      <c r="F394">
        <v>1722</v>
      </c>
      <c r="G394">
        <v>27551</v>
      </c>
      <c r="H394">
        <v>80</v>
      </c>
      <c r="I394">
        <v>21.5</v>
      </c>
      <c r="J394">
        <v>0.61</v>
      </c>
      <c r="K394">
        <v>16806.11</v>
      </c>
    </row>
    <row r="395" spans="1:11" x14ac:dyDescent="0.2">
      <c r="A395">
        <v>67045</v>
      </c>
      <c r="B395">
        <v>1327</v>
      </c>
      <c r="C395" t="s">
        <v>4067</v>
      </c>
      <c r="D395">
        <v>8</v>
      </c>
      <c r="E395">
        <v>15</v>
      </c>
      <c r="F395">
        <v>1538</v>
      </c>
      <c r="G395">
        <v>23070</v>
      </c>
      <c r="H395">
        <v>72</v>
      </c>
      <c r="I395">
        <v>21.4</v>
      </c>
      <c r="J395">
        <v>0.6</v>
      </c>
      <c r="K395">
        <v>13842</v>
      </c>
    </row>
    <row r="396" spans="1:11" x14ac:dyDescent="0.2">
      <c r="A396">
        <v>67061</v>
      </c>
      <c r="B396">
        <v>1329</v>
      </c>
      <c r="C396" t="s">
        <v>4068</v>
      </c>
      <c r="D396">
        <v>8</v>
      </c>
      <c r="E396">
        <v>8</v>
      </c>
      <c r="F396">
        <v>736</v>
      </c>
      <c r="G396">
        <v>5888</v>
      </c>
      <c r="H396">
        <v>80</v>
      </c>
      <c r="I396">
        <v>9.1999999999999993</v>
      </c>
      <c r="J396">
        <v>1.69</v>
      </c>
      <c r="K396">
        <v>9950.7199999999993</v>
      </c>
    </row>
    <row r="397" spans="1:11" x14ac:dyDescent="0.2">
      <c r="A397">
        <v>1635</v>
      </c>
      <c r="B397">
        <v>1331</v>
      </c>
      <c r="C397" t="s">
        <v>4069</v>
      </c>
      <c r="D397">
        <v>6</v>
      </c>
      <c r="E397">
        <v>119</v>
      </c>
      <c r="F397">
        <v>80</v>
      </c>
      <c r="G397">
        <v>9520</v>
      </c>
      <c r="H397">
        <v>4</v>
      </c>
      <c r="I397">
        <v>20</v>
      </c>
      <c r="J397">
        <v>2.99</v>
      </c>
      <c r="K397">
        <v>28464.799999999999</v>
      </c>
    </row>
    <row r="398" spans="1:11" x14ac:dyDescent="0.2">
      <c r="A398">
        <v>67021</v>
      </c>
      <c r="B398">
        <v>1340</v>
      </c>
      <c r="C398" t="s">
        <v>4070</v>
      </c>
      <c r="D398">
        <v>8</v>
      </c>
      <c r="E398">
        <v>10</v>
      </c>
      <c r="F398">
        <v>1381</v>
      </c>
      <c r="G398">
        <v>13810</v>
      </c>
      <c r="H398">
        <v>90</v>
      </c>
      <c r="I398">
        <v>15.3</v>
      </c>
      <c r="J398">
        <v>1.89</v>
      </c>
      <c r="K398">
        <v>26100.9</v>
      </c>
    </row>
    <row r="399" spans="1:11" x14ac:dyDescent="0.2">
      <c r="A399">
        <v>57001</v>
      </c>
      <c r="B399">
        <v>1342</v>
      </c>
      <c r="C399" t="s">
        <v>4071</v>
      </c>
      <c r="D399">
        <v>11</v>
      </c>
      <c r="E399">
        <v>12</v>
      </c>
      <c r="F399">
        <v>0</v>
      </c>
      <c r="G399">
        <v>0</v>
      </c>
      <c r="H399">
        <v>48</v>
      </c>
      <c r="I399">
        <v>0</v>
      </c>
      <c r="J399">
        <v>1.89</v>
      </c>
      <c r="K399">
        <v>0</v>
      </c>
    </row>
    <row r="400" spans="1:11" x14ac:dyDescent="0.2">
      <c r="A400">
        <v>1511</v>
      </c>
      <c r="B400">
        <v>1357</v>
      </c>
      <c r="C400" t="s">
        <v>4072</v>
      </c>
      <c r="D400">
        <v>6</v>
      </c>
      <c r="E400">
        <v>18</v>
      </c>
      <c r="F400">
        <v>0</v>
      </c>
      <c r="G400">
        <v>0</v>
      </c>
      <c r="H400">
        <v>192</v>
      </c>
      <c r="I400">
        <v>0</v>
      </c>
      <c r="J400">
        <v>1.89</v>
      </c>
      <c r="K400">
        <v>0</v>
      </c>
    </row>
    <row r="401" spans="1:11" x14ac:dyDescent="0.2">
      <c r="A401">
        <v>57598</v>
      </c>
      <c r="B401">
        <v>1370</v>
      </c>
      <c r="C401" t="s">
        <v>4073</v>
      </c>
      <c r="D401">
        <v>10</v>
      </c>
      <c r="E401">
        <v>72</v>
      </c>
      <c r="F401">
        <v>1</v>
      </c>
      <c r="G401">
        <v>50</v>
      </c>
      <c r="H401">
        <v>4</v>
      </c>
      <c r="I401">
        <v>0.2</v>
      </c>
      <c r="J401">
        <v>3.3</v>
      </c>
      <c r="K401">
        <v>165</v>
      </c>
    </row>
    <row r="402" spans="1:11" x14ac:dyDescent="0.2">
      <c r="B402">
        <v>1384</v>
      </c>
      <c r="C402" t="s">
        <v>4074</v>
      </c>
      <c r="D402">
        <v>11</v>
      </c>
      <c r="E402">
        <v>96</v>
      </c>
      <c r="F402">
        <v>0</v>
      </c>
      <c r="G402">
        <v>0</v>
      </c>
      <c r="H402">
        <v>4</v>
      </c>
      <c r="I402">
        <v>0</v>
      </c>
      <c r="J402">
        <v>3.69</v>
      </c>
      <c r="K402">
        <v>0</v>
      </c>
    </row>
    <row r="403" spans="1:11" x14ac:dyDescent="0.2">
      <c r="A403">
        <v>65155</v>
      </c>
      <c r="B403">
        <v>1403</v>
      </c>
      <c r="C403" t="s">
        <v>4075</v>
      </c>
      <c r="D403">
        <v>8</v>
      </c>
      <c r="E403">
        <v>24</v>
      </c>
      <c r="F403">
        <v>272</v>
      </c>
      <c r="G403">
        <v>6528</v>
      </c>
      <c r="H403">
        <v>60</v>
      </c>
      <c r="I403">
        <v>4.5</v>
      </c>
      <c r="J403">
        <v>2.67</v>
      </c>
      <c r="K403">
        <v>17429.759999999998</v>
      </c>
    </row>
    <row r="404" spans="1:11" x14ac:dyDescent="0.2">
      <c r="A404">
        <v>65184</v>
      </c>
      <c r="B404">
        <v>1404</v>
      </c>
      <c r="C404" t="s">
        <v>4076</v>
      </c>
      <c r="D404">
        <v>8</v>
      </c>
      <c r="E404">
        <v>12</v>
      </c>
      <c r="F404">
        <v>1052</v>
      </c>
      <c r="G404">
        <v>12624</v>
      </c>
      <c r="H404">
        <v>360</v>
      </c>
      <c r="I404">
        <v>2.9</v>
      </c>
      <c r="J404">
        <v>0.79</v>
      </c>
      <c r="K404">
        <v>9972.9599999999991</v>
      </c>
    </row>
    <row r="405" spans="1:11" x14ac:dyDescent="0.2">
      <c r="A405">
        <v>65177</v>
      </c>
      <c r="B405">
        <v>1405</v>
      </c>
      <c r="C405" t="s">
        <v>4077</v>
      </c>
      <c r="D405">
        <v>8</v>
      </c>
      <c r="E405">
        <v>40</v>
      </c>
      <c r="F405">
        <v>298</v>
      </c>
      <c r="G405">
        <v>11920</v>
      </c>
      <c r="H405">
        <v>54</v>
      </c>
      <c r="I405">
        <v>5.5</v>
      </c>
      <c r="J405">
        <v>1.65</v>
      </c>
      <c r="K405">
        <v>19668</v>
      </c>
    </row>
    <row r="406" spans="1:11" x14ac:dyDescent="0.2">
      <c r="A406">
        <v>65168</v>
      </c>
      <c r="B406">
        <v>1406</v>
      </c>
      <c r="C406" t="s">
        <v>4078</v>
      </c>
      <c r="D406">
        <v>8</v>
      </c>
      <c r="E406">
        <v>48</v>
      </c>
      <c r="F406">
        <v>209</v>
      </c>
      <c r="G406">
        <v>10031</v>
      </c>
      <c r="H406">
        <v>63</v>
      </c>
      <c r="I406">
        <v>3.3</v>
      </c>
      <c r="J406">
        <v>1.65</v>
      </c>
      <c r="K406">
        <v>16551.150000000001</v>
      </c>
    </row>
    <row r="407" spans="1:11" x14ac:dyDescent="0.2">
      <c r="B407">
        <v>1412</v>
      </c>
      <c r="C407" t="s">
        <v>4079</v>
      </c>
      <c r="D407">
        <v>11</v>
      </c>
      <c r="E407">
        <v>24</v>
      </c>
      <c r="F407">
        <v>0</v>
      </c>
      <c r="G407">
        <v>0</v>
      </c>
      <c r="H407">
        <v>135</v>
      </c>
      <c r="I407">
        <v>0</v>
      </c>
      <c r="J407">
        <v>2.29</v>
      </c>
      <c r="K407">
        <v>0</v>
      </c>
    </row>
    <row r="408" spans="1:11" x14ac:dyDescent="0.2">
      <c r="B408">
        <v>1413</v>
      </c>
      <c r="C408" t="s">
        <v>4080</v>
      </c>
      <c r="D408">
        <v>11</v>
      </c>
      <c r="E408">
        <v>15</v>
      </c>
      <c r="F408">
        <v>0</v>
      </c>
      <c r="G408">
        <v>0</v>
      </c>
      <c r="H408">
        <v>240</v>
      </c>
      <c r="I408">
        <v>0</v>
      </c>
      <c r="J408">
        <v>0.95</v>
      </c>
      <c r="K408">
        <v>0</v>
      </c>
    </row>
    <row r="409" spans="1:11" x14ac:dyDescent="0.2">
      <c r="A409">
        <v>0</v>
      </c>
      <c r="B409">
        <v>1415</v>
      </c>
      <c r="C409" t="s">
        <v>4081</v>
      </c>
      <c r="D409">
        <v>11</v>
      </c>
      <c r="E409">
        <v>15</v>
      </c>
      <c r="F409">
        <v>-5</v>
      </c>
      <c r="G409">
        <v>-76</v>
      </c>
      <c r="H409">
        <v>240</v>
      </c>
      <c r="I409">
        <v>0</v>
      </c>
      <c r="J409">
        <v>0.89</v>
      </c>
      <c r="K409">
        <v>-67.64</v>
      </c>
    </row>
    <row r="410" spans="1:11" x14ac:dyDescent="0.2">
      <c r="A410">
        <v>83245</v>
      </c>
      <c r="B410">
        <v>1420</v>
      </c>
      <c r="C410" t="s">
        <v>4082</v>
      </c>
      <c r="D410">
        <v>8</v>
      </c>
      <c r="E410">
        <v>24</v>
      </c>
      <c r="F410">
        <v>251</v>
      </c>
      <c r="G410">
        <v>6024</v>
      </c>
      <c r="H410">
        <v>182</v>
      </c>
      <c r="I410">
        <v>1.4</v>
      </c>
      <c r="J410">
        <v>1.79</v>
      </c>
      <c r="K410">
        <v>10782.96</v>
      </c>
    </row>
    <row r="411" spans="1:11" x14ac:dyDescent="0.2">
      <c r="A411">
        <v>91002</v>
      </c>
      <c r="B411">
        <v>1421</v>
      </c>
      <c r="C411" t="s">
        <v>4083</v>
      </c>
      <c r="D411">
        <v>8</v>
      </c>
      <c r="E411">
        <v>1</v>
      </c>
      <c r="F411">
        <v>2143</v>
      </c>
      <c r="G411">
        <v>2143</v>
      </c>
      <c r="H411">
        <v>52</v>
      </c>
      <c r="I411">
        <v>41.2</v>
      </c>
      <c r="J411">
        <v>3.55</v>
      </c>
      <c r="K411">
        <v>7607.65</v>
      </c>
    </row>
    <row r="412" spans="1:11" x14ac:dyDescent="0.2">
      <c r="A412">
        <v>0</v>
      </c>
      <c r="B412">
        <v>1426</v>
      </c>
      <c r="C412" t="s">
        <v>4084</v>
      </c>
      <c r="D412">
        <v>11</v>
      </c>
      <c r="E412">
        <v>12</v>
      </c>
      <c r="F412">
        <v>0</v>
      </c>
      <c r="G412">
        <v>0</v>
      </c>
      <c r="H412">
        <v>72</v>
      </c>
      <c r="I412">
        <v>0</v>
      </c>
      <c r="J412">
        <v>1.0900000000000001</v>
      </c>
      <c r="K412">
        <v>0</v>
      </c>
    </row>
    <row r="413" spans="1:11" x14ac:dyDescent="0.2">
      <c r="A413">
        <v>65182</v>
      </c>
      <c r="B413">
        <v>1436</v>
      </c>
      <c r="C413" t="s">
        <v>4085</v>
      </c>
      <c r="D413">
        <v>8</v>
      </c>
      <c r="E413">
        <v>50</v>
      </c>
      <c r="F413">
        <v>332</v>
      </c>
      <c r="G413">
        <v>16600</v>
      </c>
      <c r="H413">
        <v>110</v>
      </c>
      <c r="I413">
        <v>3</v>
      </c>
      <c r="J413">
        <v>0.89</v>
      </c>
      <c r="K413">
        <v>14774</v>
      </c>
    </row>
    <row r="414" spans="1:11" x14ac:dyDescent="0.2">
      <c r="A414">
        <v>65175</v>
      </c>
      <c r="B414">
        <v>1438</v>
      </c>
      <c r="C414" t="s">
        <v>4086</v>
      </c>
      <c r="D414">
        <v>8</v>
      </c>
      <c r="E414">
        <v>48</v>
      </c>
      <c r="F414">
        <v>337</v>
      </c>
      <c r="G414">
        <v>16186</v>
      </c>
      <c r="H414">
        <v>72</v>
      </c>
      <c r="I414">
        <v>4.7</v>
      </c>
      <c r="J414">
        <v>0.86</v>
      </c>
      <c r="K414">
        <v>13919.96</v>
      </c>
    </row>
    <row r="415" spans="1:11" x14ac:dyDescent="0.2">
      <c r="A415">
        <v>0</v>
      </c>
      <c r="B415">
        <v>1446</v>
      </c>
      <c r="C415" t="s">
        <v>4087</v>
      </c>
      <c r="D415">
        <v>11</v>
      </c>
      <c r="E415">
        <v>8</v>
      </c>
      <c r="F415">
        <v>-18</v>
      </c>
      <c r="G415">
        <v>-144</v>
      </c>
      <c r="H415">
        <v>28</v>
      </c>
      <c r="I415">
        <v>-0.6</v>
      </c>
      <c r="J415">
        <v>1.79</v>
      </c>
      <c r="K415">
        <v>-257.76</v>
      </c>
    </row>
    <row r="416" spans="1:11" x14ac:dyDescent="0.2">
      <c r="A416">
        <v>41650</v>
      </c>
      <c r="B416">
        <v>1447</v>
      </c>
      <c r="C416" t="s">
        <v>4088</v>
      </c>
      <c r="D416">
        <v>6</v>
      </c>
      <c r="E416">
        <v>1</v>
      </c>
      <c r="F416">
        <v>0</v>
      </c>
      <c r="G416">
        <v>0</v>
      </c>
      <c r="H416">
        <v>4</v>
      </c>
      <c r="I416">
        <v>0</v>
      </c>
      <c r="J416">
        <v>3.4</v>
      </c>
      <c r="K416">
        <v>0</v>
      </c>
    </row>
    <row r="417" spans="1:11" x14ac:dyDescent="0.2">
      <c r="A417">
        <v>41651</v>
      </c>
      <c r="B417">
        <v>1448</v>
      </c>
      <c r="C417" t="s">
        <v>4089</v>
      </c>
      <c r="D417">
        <v>6</v>
      </c>
      <c r="E417">
        <v>1</v>
      </c>
      <c r="F417">
        <v>0</v>
      </c>
      <c r="G417">
        <v>0</v>
      </c>
      <c r="H417">
        <v>4</v>
      </c>
      <c r="I417">
        <v>0</v>
      </c>
      <c r="J417">
        <v>3.4</v>
      </c>
      <c r="K417">
        <v>0</v>
      </c>
    </row>
    <row r="418" spans="1:11" x14ac:dyDescent="0.2">
      <c r="A418">
        <v>41652</v>
      </c>
      <c r="B418">
        <v>1449</v>
      </c>
      <c r="C418" t="s">
        <v>4090</v>
      </c>
      <c r="D418">
        <v>6</v>
      </c>
      <c r="E418">
        <v>1</v>
      </c>
      <c r="F418">
        <v>48</v>
      </c>
      <c r="G418">
        <v>48</v>
      </c>
      <c r="H418">
        <v>4</v>
      </c>
      <c r="I418">
        <v>12</v>
      </c>
      <c r="J418">
        <v>3.4</v>
      </c>
      <c r="K418">
        <v>163.19999999999999</v>
      </c>
    </row>
    <row r="419" spans="1:11" x14ac:dyDescent="0.2">
      <c r="A419">
        <v>57245</v>
      </c>
      <c r="B419">
        <v>1495</v>
      </c>
      <c r="C419" t="s">
        <v>4091</v>
      </c>
      <c r="D419">
        <v>10</v>
      </c>
      <c r="E419">
        <v>16</v>
      </c>
      <c r="F419">
        <v>0</v>
      </c>
      <c r="G419">
        <v>0</v>
      </c>
      <c r="H419">
        <v>84</v>
      </c>
      <c r="I419">
        <v>0</v>
      </c>
      <c r="J419">
        <v>4.59</v>
      </c>
      <c r="K419">
        <v>0</v>
      </c>
    </row>
    <row r="420" spans="1:11" x14ac:dyDescent="0.2">
      <c r="A420">
        <v>65087</v>
      </c>
      <c r="B420">
        <v>1502</v>
      </c>
      <c r="C420" t="s">
        <v>4092</v>
      </c>
      <c r="D420">
        <v>8</v>
      </c>
      <c r="E420">
        <v>12</v>
      </c>
      <c r="F420">
        <v>1239</v>
      </c>
      <c r="G420">
        <v>14873</v>
      </c>
      <c r="H420">
        <v>84</v>
      </c>
      <c r="I420">
        <v>14.8</v>
      </c>
      <c r="J420">
        <v>1.39</v>
      </c>
      <c r="K420">
        <v>20673.47</v>
      </c>
    </row>
    <row r="421" spans="1:11" x14ac:dyDescent="0.2">
      <c r="A421">
        <v>65089</v>
      </c>
      <c r="B421">
        <v>1503</v>
      </c>
      <c r="C421" t="s">
        <v>4093</v>
      </c>
      <c r="D421">
        <v>8</v>
      </c>
      <c r="E421">
        <v>12</v>
      </c>
      <c r="F421">
        <v>1326</v>
      </c>
      <c r="G421">
        <v>15916</v>
      </c>
      <c r="H421">
        <v>84</v>
      </c>
      <c r="I421">
        <v>15.8</v>
      </c>
      <c r="J421">
        <v>1.39</v>
      </c>
      <c r="K421">
        <v>22123.24</v>
      </c>
    </row>
    <row r="422" spans="1:11" x14ac:dyDescent="0.2">
      <c r="A422">
        <v>65144</v>
      </c>
      <c r="B422">
        <v>1504</v>
      </c>
      <c r="C422" t="s">
        <v>4094</v>
      </c>
      <c r="D422">
        <v>8</v>
      </c>
      <c r="E422">
        <v>12</v>
      </c>
      <c r="F422">
        <v>665</v>
      </c>
      <c r="G422">
        <v>7977</v>
      </c>
      <c r="H422">
        <v>150</v>
      </c>
      <c r="I422">
        <v>4.4000000000000004</v>
      </c>
      <c r="J422">
        <v>0.69</v>
      </c>
      <c r="K422">
        <v>5504.13</v>
      </c>
    </row>
    <row r="423" spans="1:11" x14ac:dyDescent="0.2">
      <c r="A423">
        <v>65128</v>
      </c>
      <c r="B423">
        <v>1506</v>
      </c>
      <c r="C423" t="s">
        <v>4095</v>
      </c>
      <c r="D423">
        <v>8</v>
      </c>
      <c r="E423">
        <v>14</v>
      </c>
      <c r="F423">
        <v>184</v>
      </c>
      <c r="G423">
        <v>2576</v>
      </c>
      <c r="H423">
        <v>56</v>
      </c>
      <c r="I423">
        <v>3.3</v>
      </c>
      <c r="J423">
        <v>1.69</v>
      </c>
      <c r="K423">
        <v>4353.4399999999996</v>
      </c>
    </row>
    <row r="424" spans="1:11" x14ac:dyDescent="0.2">
      <c r="A424">
        <v>62230</v>
      </c>
      <c r="B424">
        <v>1507</v>
      </c>
      <c r="C424" t="s">
        <v>4096</v>
      </c>
      <c r="D424">
        <v>9</v>
      </c>
      <c r="E424">
        <v>24</v>
      </c>
      <c r="F424">
        <v>1</v>
      </c>
      <c r="G424">
        <v>24</v>
      </c>
      <c r="H424">
        <v>80</v>
      </c>
      <c r="I424">
        <v>0</v>
      </c>
      <c r="J424">
        <v>4.59</v>
      </c>
      <c r="K424">
        <v>110.16</v>
      </c>
    </row>
    <row r="425" spans="1:11" x14ac:dyDescent="0.2">
      <c r="A425">
        <v>65122</v>
      </c>
      <c r="B425">
        <v>1513</v>
      </c>
      <c r="C425" t="s">
        <v>4097</v>
      </c>
      <c r="D425">
        <v>8</v>
      </c>
      <c r="E425">
        <v>16</v>
      </c>
      <c r="F425">
        <v>446</v>
      </c>
      <c r="G425">
        <v>7136</v>
      </c>
      <c r="H425">
        <v>42</v>
      </c>
      <c r="I425">
        <v>10.6</v>
      </c>
      <c r="J425">
        <v>1.73</v>
      </c>
      <c r="K425">
        <v>12345.28</v>
      </c>
    </row>
    <row r="426" spans="1:11" x14ac:dyDescent="0.2">
      <c r="B426">
        <v>1516</v>
      </c>
      <c r="C426" t="s">
        <v>4098</v>
      </c>
      <c r="D426">
        <v>12</v>
      </c>
      <c r="E426">
        <v>12</v>
      </c>
      <c r="F426">
        <v>0</v>
      </c>
      <c r="G426">
        <v>0</v>
      </c>
      <c r="H426">
        <v>84</v>
      </c>
      <c r="I426">
        <v>0</v>
      </c>
      <c r="J426">
        <v>1.94</v>
      </c>
      <c r="K426">
        <v>0</v>
      </c>
    </row>
    <row r="427" spans="1:11" x14ac:dyDescent="0.2">
      <c r="A427">
        <v>65111</v>
      </c>
      <c r="B427">
        <v>1522</v>
      </c>
      <c r="C427" t="s">
        <v>4099</v>
      </c>
      <c r="D427">
        <v>8</v>
      </c>
      <c r="E427">
        <v>6</v>
      </c>
      <c r="F427">
        <v>753</v>
      </c>
      <c r="G427">
        <v>4518</v>
      </c>
      <c r="H427">
        <v>140</v>
      </c>
      <c r="I427">
        <v>5.4</v>
      </c>
      <c r="J427">
        <v>1.91</v>
      </c>
      <c r="K427">
        <v>8629.3799999999992</v>
      </c>
    </row>
    <row r="428" spans="1:11" x14ac:dyDescent="0.2">
      <c r="A428">
        <v>65100</v>
      </c>
      <c r="B428">
        <v>1529</v>
      </c>
      <c r="C428" t="s">
        <v>4100</v>
      </c>
      <c r="D428">
        <v>8</v>
      </c>
      <c r="E428">
        <v>6</v>
      </c>
      <c r="F428">
        <v>183</v>
      </c>
      <c r="G428">
        <v>1097</v>
      </c>
      <c r="H428">
        <v>96</v>
      </c>
      <c r="I428">
        <v>1.9</v>
      </c>
      <c r="J428">
        <v>2.19</v>
      </c>
      <c r="K428">
        <v>2402.4299999999998</v>
      </c>
    </row>
    <row r="429" spans="1:11" x14ac:dyDescent="0.2">
      <c r="A429">
        <v>65104</v>
      </c>
      <c r="B429">
        <v>1530</v>
      </c>
      <c r="C429" t="s">
        <v>4101</v>
      </c>
      <c r="D429">
        <v>8</v>
      </c>
      <c r="E429">
        <v>16</v>
      </c>
      <c r="F429">
        <v>258</v>
      </c>
      <c r="G429">
        <v>4128</v>
      </c>
      <c r="H429">
        <v>42</v>
      </c>
      <c r="I429">
        <v>6.1</v>
      </c>
      <c r="J429">
        <v>1.95</v>
      </c>
      <c r="K429">
        <v>8049.6</v>
      </c>
    </row>
    <row r="430" spans="1:11" x14ac:dyDescent="0.2">
      <c r="B430">
        <v>1534</v>
      </c>
      <c r="C430" t="s">
        <v>4102</v>
      </c>
      <c r="D430">
        <v>12</v>
      </c>
      <c r="E430">
        <v>12</v>
      </c>
      <c r="F430">
        <v>0</v>
      </c>
      <c r="G430">
        <v>0</v>
      </c>
      <c r="H430">
        <v>98</v>
      </c>
      <c r="I430">
        <v>0</v>
      </c>
      <c r="J430">
        <v>1.59</v>
      </c>
      <c r="K430">
        <v>0</v>
      </c>
    </row>
    <row r="431" spans="1:11" x14ac:dyDescent="0.2">
      <c r="B431">
        <v>1534</v>
      </c>
      <c r="C431" t="s">
        <v>4102</v>
      </c>
      <c r="D431">
        <v>11</v>
      </c>
      <c r="E431">
        <v>14</v>
      </c>
      <c r="F431">
        <v>0</v>
      </c>
      <c r="G431">
        <v>0</v>
      </c>
      <c r="H431">
        <v>84</v>
      </c>
      <c r="I431">
        <v>0</v>
      </c>
      <c r="J431">
        <v>1.59</v>
      </c>
      <c r="K431">
        <v>0</v>
      </c>
    </row>
    <row r="432" spans="1:11" x14ac:dyDescent="0.2">
      <c r="A432">
        <v>73105</v>
      </c>
      <c r="B432">
        <v>1549</v>
      </c>
      <c r="C432" t="s">
        <v>4103</v>
      </c>
      <c r="D432">
        <v>8</v>
      </c>
      <c r="E432">
        <v>8</v>
      </c>
      <c r="F432">
        <v>735</v>
      </c>
      <c r="G432">
        <v>5883</v>
      </c>
      <c r="H432">
        <v>60</v>
      </c>
      <c r="I432">
        <v>12.3</v>
      </c>
      <c r="J432">
        <v>3.59</v>
      </c>
      <c r="K432">
        <v>21119.97</v>
      </c>
    </row>
    <row r="433" spans="1:11" x14ac:dyDescent="0.2">
      <c r="A433">
        <v>62032</v>
      </c>
      <c r="B433">
        <v>1550</v>
      </c>
      <c r="C433" t="s">
        <v>4104</v>
      </c>
      <c r="D433">
        <v>8</v>
      </c>
      <c r="E433">
        <v>12</v>
      </c>
      <c r="F433">
        <v>177</v>
      </c>
      <c r="G433">
        <v>2124</v>
      </c>
      <c r="H433">
        <v>85</v>
      </c>
      <c r="I433">
        <v>2.1</v>
      </c>
      <c r="J433">
        <v>7.75</v>
      </c>
      <c r="K433">
        <v>16461</v>
      </c>
    </row>
    <row r="434" spans="1:11" x14ac:dyDescent="0.2">
      <c r="A434">
        <v>82128</v>
      </c>
      <c r="B434">
        <v>1551</v>
      </c>
      <c r="C434" t="s">
        <v>4105</v>
      </c>
      <c r="D434">
        <v>8</v>
      </c>
      <c r="E434">
        <v>12</v>
      </c>
      <c r="F434">
        <v>129</v>
      </c>
      <c r="G434">
        <v>1548</v>
      </c>
      <c r="H434">
        <v>72</v>
      </c>
      <c r="I434">
        <v>1.8</v>
      </c>
      <c r="J434">
        <v>2.4500000000000002</v>
      </c>
      <c r="K434">
        <v>3792.6</v>
      </c>
    </row>
    <row r="435" spans="1:11" x14ac:dyDescent="0.2">
      <c r="B435">
        <v>1554</v>
      </c>
      <c r="C435" t="s">
        <v>4106</v>
      </c>
      <c r="D435">
        <v>12</v>
      </c>
      <c r="E435">
        <v>12</v>
      </c>
      <c r="F435">
        <v>0</v>
      </c>
      <c r="G435">
        <v>0</v>
      </c>
      <c r="H435">
        <v>84</v>
      </c>
      <c r="I435">
        <v>0</v>
      </c>
      <c r="J435">
        <v>0.99</v>
      </c>
      <c r="K435">
        <v>0</v>
      </c>
    </row>
    <row r="436" spans="1:11" x14ac:dyDescent="0.2">
      <c r="A436">
        <v>3638</v>
      </c>
      <c r="B436">
        <v>1556</v>
      </c>
      <c r="C436" t="s">
        <v>4107</v>
      </c>
      <c r="D436">
        <v>6</v>
      </c>
      <c r="E436">
        <v>126</v>
      </c>
      <c r="F436">
        <v>0</v>
      </c>
      <c r="G436">
        <v>0</v>
      </c>
      <c r="H436">
        <v>4</v>
      </c>
      <c r="I436">
        <v>0</v>
      </c>
      <c r="J436">
        <v>4.99</v>
      </c>
      <c r="K436">
        <v>0</v>
      </c>
    </row>
    <row r="437" spans="1:11" x14ac:dyDescent="0.2">
      <c r="A437">
        <v>84245</v>
      </c>
      <c r="B437">
        <v>1558</v>
      </c>
      <c r="C437" t="s">
        <v>4108</v>
      </c>
      <c r="D437">
        <v>8</v>
      </c>
      <c r="E437">
        <v>10</v>
      </c>
      <c r="F437">
        <v>155</v>
      </c>
      <c r="G437">
        <v>1550</v>
      </c>
      <c r="H437">
        <v>78</v>
      </c>
      <c r="I437">
        <v>2</v>
      </c>
      <c r="J437">
        <v>1.59</v>
      </c>
      <c r="K437">
        <v>2464.5</v>
      </c>
    </row>
    <row r="438" spans="1:11" x14ac:dyDescent="0.2">
      <c r="A438">
        <v>72215</v>
      </c>
      <c r="B438">
        <v>1563</v>
      </c>
      <c r="C438" t="s">
        <v>4109</v>
      </c>
      <c r="D438">
        <v>9</v>
      </c>
      <c r="E438">
        <v>6</v>
      </c>
      <c r="F438">
        <v>359</v>
      </c>
      <c r="G438">
        <v>2153</v>
      </c>
      <c r="H438">
        <v>50</v>
      </c>
      <c r="I438">
        <v>7.2</v>
      </c>
      <c r="J438">
        <v>8.99</v>
      </c>
      <c r="K438">
        <v>19355.47</v>
      </c>
    </row>
    <row r="439" spans="1:11" x14ac:dyDescent="0.2">
      <c r="A439">
        <v>65093</v>
      </c>
      <c r="B439">
        <v>1569</v>
      </c>
      <c r="C439" t="s">
        <v>4110</v>
      </c>
      <c r="D439">
        <v>8</v>
      </c>
      <c r="E439">
        <v>12</v>
      </c>
      <c r="F439">
        <v>559</v>
      </c>
      <c r="G439">
        <v>6708</v>
      </c>
      <c r="H439">
        <v>63</v>
      </c>
      <c r="I439">
        <v>8.9</v>
      </c>
      <c r="J439">
        <v>1.29</v>
      </c>
      <c r="K439">
        <v>8653.32</v>
      </c>
    </row>
    <row r="440" spans="1:11" x14ac:dyDescent="0.2">
      <c r="A440">
        <v>65096</v>
      </c>
      <c r="B440">
        <v>1570</v>
      </c>
      <c r="C440" t="s">
        <v>4111</v>
      </c>
      <c r="D440">
        <v>8</v>
      </c>
      <c r="E440">
        <v>12</v>
      </c>
      <c r="F440">
        <v>905</v>
      </c>
      <c r="G440">
        <v>10860</v>
      </c>
      <c r="H440">
        <v>63</v>
      </c>
      <c r="I440">
        <v>14.4</v>
      </c>
      <c r="J440">
        <v>0.93</v>
      </c>
      <c r="K440">
        <v>10099.799999999999</v>
      </c>
    </row>
    <row r="441" spans="1:11" x14ac:dyDescent="0.2">
      <c r="A441">
        <v>57464</v>
      </c>
      <c r="B441">
        <v>1574</v>
      </c>
      <c r="C441" t="s">
        <v>4112</v>
      </c>
      <c r="D441">
        <v>10</v>
      </c>
      <c r="E441">
        <v>12</v>
      </c>
      <c r="F441">
        <v>3</v>
      </c>
      <c r="G441">
        <v>37</v>
      </c>
      <c r="H441">
        <v>150</v>
      </c>
      <c r="I441">
        <v>0</v>
      </c>
      <c r="J441">
        <v>1.9</v>
      </c>
      <c r="K441">
        <v>70.3</v>
      </c>
    </row>
    <row r="442" spans="1:11" x14ac:dyDescent="0.2">
      <c r="A442">
        <v>66049</v>
      </c>
      <c r="B442">
        <v>1577</v>
      </c>
      <c r="C442" t="s">
        <v>4113</v>
      </c>
      <c r="D442">
        <v>8</v>
      </c>
      <c r="E442">
        <v>10</v>
      </c>
      <c r="F442">
        <v>494</v>
      </c>
      <c r="G442">
        <v>4940</v>
      </c>
      <c r="H442">
        <v>168</v>
      </c>
      <c r="I442">
        <v>2.9</v>
      </c>
      <c r="J442">
        <v>1.99</v>
      </c>
      <c r="K442">
        <v>9830.6</v>
      </c>
    </row>
    <row r="443" spans="1:11" x14ac:dyDescent="0.2">
      <c r="A443">
        <v>66036</v>
      </c>
      <c r="B443">
        <v>1578</v>
      </c>
      <c r="C443" t="s">
        <v>4114</v>
      </c>
      <c r="D443">
        <v>8</v>
      </c>
      <c r="E443">
        <v>24</v>
      </c>
      <c r="F443">
        <v>523</v>
      </c>
      <c r="G443">
        <v>12552</v>
      </c>
      <c r="H443">
        <v>252</v>
      </c>
      <c r="I443">
        <v>2.1</v>
      </c>
      <c r="J443">
        <v>1.19</v>
      </c>
      <c r="K443">
        <v>14936.88</v>
      </c>
    </row>
    <row r="444" spans="1:11" x14ac:dyDescent="0.2">
      <c r="A444">
        <v>66063</v>
      </c>
      <c r="B444">
        <v>1579</v>
      </c>
      <c r="C444" t="s">
        <v>4115</v>
      </c>
      <c r="D444">
        <v>8</v>
      </c>
      <c r="E444">
        <v>24</v>
      </c>
      <c r="F444">
        <v>717</v>
      </c>
      <c r="G444">
        <v>17208</v>
      </c>
      <c r="H444">
        <v>252</v>
      </c>
      <c r="I444">
        <v>2.8</v>
      </c>
      <c r="J444">
        <v>0.89</v>
      </c>
      <c r="K444">
        <v>15315.12</v>
      </c>
    </row>
    <row r="445" spans="1:11" x14ac:dyDescent="0.2">
      <c r="A445">
        <v>65212</v>
      </c>
      <c r="B445">
        <v>1580</v>
      </c>
      <c r="C445" t="s">
        <v>4116</v>
      </c>
      <c r="D445">
        <v>8</v>
      </c>
      <c r="E445">
        <v>6</v>
      </c>
      <c r="F445">
        <v>466</v>
      </c>
      <c r="G445">
        <v>2796</v>
      </c>
      <c r="H445">
        <v>100</v>
      </c>
      <c r="I445">
        <v>4.7</v>
      </c>
      <c r="J445">
        <v>0.78</v>
      </c>
      <c r="K445">
        <v>2180.88</v>
      </c>
    </row>
    <row r="446" spans="1:11" x14ac:dyDescent="0.2">
      <c r="B446">
        <v>1581</v>
      </c>
      <c r="C446" t="s">
        <v>4117</v>
      </c>
      <c r="D446">
        <v>11</v>
      </c>
      <c r="E446">
        <v>12</v>
      </c>
      <c r="F446">
        <v>0</v>
      </c>
      <c r="G446">
        <v>0</v>
      </c>
      <c r="H446">
        <v>63</v>
      </c>
      <c r="I446">
        <v>0</v>
      </c>
      <c r="J446">
        <v>0.95</v>
      </c>
      <c r="K446">
        <v>0</v>
      </c>
    </row>
    <row r="447" spans="1:11" x14ac:dyDescent="0.2">
      <c r="A447">
        <v>57334</v>
      </c>
      <c r="B447">
        <v>1585</v>
      </c>
      <c r="C447" t="s">
        <v>4118</v>
      </c>
      <c r="D447">
        <v>10</v>
      </c>
      <c r="E447">
        <v>6</v>
      </c>
      <c r="F447">
        <v>0</v>
      </c>
      <c r="G447">
        <v>0</v>
      </c>
      <c r="H447">
        <v>250</v>
      </c>
      <c r="I447">
        <v>0</v>
      </c>
      <c r="J447">
        <v>2.2000000000000002</v>
      </c>
      <c r="K447">
        <v>0</v>
      </c>
    </row>
    <row r="448" spans="1:11" x14ac:dyDescent="0.2">
      <c r="A448">
        <v>33500</v>
      </c>
      <c r="B448">
        <v>1586</v>
      </c>
      <c r="C448" t="s">
        <v>4119</v>
      </c>
      <c r="D448">
        <v>10</v>
      </c>
      <c r="E448">
        <v>6</v>
      </c>
      <c r="F448">
        <v>0</v>
      </c>
      <c r="G448">
        <v>0</v>
      </c>
      <c r="H448">
        <v>30</v>
      </c>
      <c r="I448">
        <v>0</v>
      </c>
      <c r="J448">
        <v>2.15</v>
      </c>
      <c r="K448">
        <v>0</v>
      </c>
    </row>
    <row r="449" spans="1:11" x14ac:dyDescent="0.2">
      <c r="A449">
        <v>32640</v>
      </c>
      <c r="B449">
        <v>1587</v>
      </c>
      <c r="C449" t="s">
        <v>4120</v>
      </c>
      <c r="D449">
        <v>10</v>
      </c>
      <c r="E449">
        <v>1</v>
      </c>
      <c r="F449">
        <v>0</v>
      </c>
      <c r="G449">
        <v>0</v>
      </c>
      <c r="H449">
        <v>360</v>
      </c>
      <c r="I449">
        <v>0</v>
      </c>
      <c r="J449">
        <v>1.51</v>
      </c>
      <c r="K449">
        <v>0</v>
      </c>
    </row>
    <row r="450" spans="1:11" x14ac:dyDescent="0.2">
      <c r="A450">
        <v>99877</v>
      </c>
      <c r="B450">
        <v>1589</v>
      </c>
      <c r="C450" t="s">
        <v>4121</v>
      </c>
      <c r="D450">
        <v>10</v>
      </c>
      <c r="E450">
        <v>8</v>
      </c>
      <c r="F450">
        <v>0</v>
      </c>
      <c r="G450">
        <v>0</v>
      </c>
      <c r="H450">
        <v>180</v>
      </c>
      <c r="I450">
        <v>0</v>
      </c>
      <c r="J450">
        <v>3.59</v>
      </c>
      <c r="K450">
        <v>0</v>
      </c>
    </row>
    <row r="451" spans="1:11" x14ac:dyDescent="0.2">
      <c r="A451">
        <v>99189</v>
      </c>
      <c r="B451">
        <v>1590</v>
      </c>
      <c r="C451" t="s">
        <v>4122</v>
      </c>
      <c r="D451">
        <v>10</v>
      </c>
      <c r="E451">
        <v>8</v>
      </c>
      <c r="F451">
        <v>0</v>
      </c>
      <c r="G451">
        <v>0</v>
      </c>
      <c r="H451">
        <v>180</v>
      </c>
      <c r="I451">
        <v>0</v>
      </c>
      <c r="J451">
        <v>3.59</v>
      </c>
      <c r="K451">
        <v>0</v>
      </c>
    </row>
    <row r="452" spans="1:11" x14ac:dyDescent="0.2">
      <c r="B452">
        <v>1591</v>
      </c>
      <c r="C452" t="s">
        <v>4123</v>
      </c>
      <c r="D452">
        <v>11</v>
      </c>
      <c r="E452">
        <v>1</v>
      </c>
      <c r="F452">
        <v>0</v>
      </c>
      <c r="G452">
        <v>0</v>
      </c>
      <c r="H452">
        <v>50</v>
      </c>
      <c r="I452">
        <v>0</v>
      </c>
      <c r="J452">
        <v>0.92</v>
      </c>
      <c r="K452">
        <v>0</v>
      </c>
    </row>
    <row r="453" spans="1:11" x14ac:dyDescent="0.2">
      <c r="B453">
        <v>1595</v>
      </c>
      <c r="C453" t="s">
        <v>4124</v>
      </c>
      <c r="D453">
        <v>12</v>
      </c>
      <c r="E453">
        <v>6</v>
      </c>
      <c r="F453">
        <v>0</v>
      </c>
      <c r="G453">
        <v>0</v>
      </c>
      <c r="H453">
        <v>95</v>
      </c>
      <c r="I453">
        <v>0</v>
      </c>
      <c r="J453">
        <v>13.79</v>
      </c>
      <c r="K453">
        <v>0</v>
      </c>
    </row>
    <row r="454" spans="1:11" x14ac:dyDescent="0.2">
      <c r="A454">
        <v>65052</v>
      </c>
      <c r="B454">
        <v>1602</v>
      </c>
      <c r="C454" t="s">
        <v>4125</v>
      </c>
      <c r="D454">
        <v>8</v>
      </c>
      <c r="E454">
        <v>12</v>
      </c>
      <c r="F454">
        <v>173</v>
      </c>
      <c r="G454">
        <v>2076</v>
      </c>
      <c r="H454">
        <v>72</v>
      </c>
      <c r="I454">
        <v>2.4</v>
      </c>
      <c r="J454">
        <v>2.99</v>
      </c>
      <c r="K454">
        <v>6207.24</v>
      </c>
    </row>
    <row r="455" spans="1:11" x14ac:dyDescent="0.2">
      <c r="A455">
        <v>65036</v>
      </c>
      <c r="B455">
        <v>1606</v>
      </c>
      <c r="C455" t="s">
        <v>4126</v>
      </c>
      <c r="D455">
        <v>11</v>
      </c>
      <c r="E455">
        <v>12</v>
      </c>
      <c r="F455">
        <v>4</v>
      </c>
      <c r="G455">
        <v>52</v>
      </c>
      <c r="H455">
        <v>72</v>
      </c>
      <c r="I455">
        <v>0.1</v>
      </c>
      <c r="J455">
        <v>0.69</v>
      </c>
      <c r="K455">
        <v>35.880000000000003</v>
      </c>
    </row>
    <row r="456" spans="1:11" x14ac:dyDescent="0.2">
      <c r="A456">
        <v>62204</v>
      </c>
      <c r="B456">
        <v>1607</v>
      </c>
      <c r="C456" t="s">
        <v>4127</v>
      </c>
      <c r="D456">
        <v>8</v>
      </c>
      <c r="E456">
        <v>12</v>
      </c>
      <c r="F456">
        <v>478</v>
      </c>
      <c r="G456">
        <v>5736</v>
      </c>
      <c r="H456">
        <v>70</v>
      </c>
      <c r="I456">
        <v>6.8</v>
      </c>
      <c r="J456">
        <v>0.99</v>
      </c>
      <c r="K456">
        <v>5678.64</v>
      </c>
    </row>
    <row r="457" spans="1:11" x14ac:dyDescent="0.2">
      <c r="A457">
        <v>62206</v>
      </c>
      <c r="B457">
        <v>1608</v>
      </c>
      <c r="C457" t="s">
        <v>4128</v>
      </c>
      <c r="D457">
        <v>8</v>
      </c>
      <c r="E457">
        <v>12</v>
      </c>
      <c r="F457">
        <v>1419</v>
      </c>
      <c r="G457">
        <v>17030</v>
      </c>
      <c r="H457">
        <v>77</v>
      </c>
      <c r="I457">
        <v>18.399999999999999</v>
      </c>
      <c r="J457">
        <v>0.95</v>
      </c>
      <c r="K457">
        <v>16178.5</v>
      </c>
    </row>
    <row r="458" spans="1:11" x14ac:dyDescent="0.2">
      <c r="A458">
        <v>62212</v>
      </c>
      <c r="B458">
        <v>1611</v>
      </c>
      <c r="C458" t="s">
        <v>4129</v>
      </c>
      <c r="D458">
        <v>8</v>
      </c>
      <c r="E458">
        <v>12</v>
      </c>
      <c r="F458">
        <v>855</v>
      </c>
      <c r="G458">
        <v>10260</v>
      </c>
      <c r="H458">
        <v>77</v>
      </c>
      <c r="I458">
        <v>11.1</v>
      </c>
      <c r="J458">
        <v>0.93</v>
      </c>
      <c r="K458">
        <v>9541.7999999999993</v>
      </c>
    </row>
    <row r="459" spans="1:11" x14ac:dyDescent="0.2">
      <c r="A459">
        <v>62265</v>
      </c>
      <c r="B459">
        <v>1615</v>
      </c>
      <c r="C459" t="s">
        <v>4130</v>
      </c>
      <c r="D459">
        <v>8</v>
      </c>
      <c r="E459">
        <v>12</v>
      </c>
      <c r="F459">
        <v>2858</v>
      </c>
      <c r="G459">
        <v>34296</v>
      </c>
      <c r="H459">
        <v>144</v>
      </c>
      <c r="I459">
        <v>19.8</v>
      </c>
      <c r="J459">
        <v>0.99</v>
      </c>
      <c r="K459">
        <v>33953.040000000001</v>
      </c>
    </row>
    <row r="460" spans="1:11" x14ac:dyDescent="0.2">
      <c r="A460">
        <v>62269</v>
      </c>
      <c r="B460">
        <v>1623</v>
      </c>
      <c r="C460" t="s">
        <v>4131</v>
      </c>
      <c r="D460">
        <v>8</v>
      </c>
      <c r="E460">
        <v>12</v>
      </c>
      <c r="F460">
        <v>1047</v>
      </c>
      <c r="G460">
        <v>12564</v>
      </c>
      <c r="H460">
        <v>144</v>
      </c>
      <c r="I460">
        <v>7.3</v>
      </c>
      <c r="J460">
        <v>0.79</v>
      </c>
      <c r="K460">
        <v>9925.56</v>
      </c>
    </row>
    <row r="461" spans="1:11" x14ac:dyDescent="0.2">
      <c r="A461">
        <v>62208</v>
      </c>
      <c r="B461">
        <v>1624</v>
      </c>
      <c r="C461" t="s">
        <v>4132</v>
      </c>
      <c r="D461">
        <v>8</v>
      </c>
      <c r="E461">
        <v>12</v>
      </c>
      <c r="F461">
        <v>1691</v>
      </c>
      <c r="G461">
        <v>20292</v>
      </c>
      <c r="H461">
        <v>72</v>
      </c>
      <c r="I461">
        <v>23.5</v>
      </c>
      <c r="J461">
        <v>0.85</v>
      </c>
      <c r="K461">
        <v>17248.2</v>
      </c>
    </row>
    <row r="462" spans="1:11" x14ac:dyDescent="0.2">
      <c r="A462">
        <v>66111</v>
      </c>
      <c r="B462">
        <v>1630</v>
      </c>
      <c r="C462" t="s">
        <v>4133</v>
      </c>
      <c r="D462">
        <v>8</v>
      </c>
      <c r="E462">
        <v>18</v>
      </c>
      <c r="F462">
        <v>417</v>
      </c>
      <c r="G462">
        <v>7506</v>
      </c>
      <c r="H462">
        <v>72</v>
      </c>
      <c r="I462">
        <v>5.8</v>
      </c>
      <c r="J462">
        <v>0.89</v>
      </c>
      <c r="K462">
        <v>6680.34</v>
      </c>
    </row>
    <row r="463" spans="1:11" x14ac:dyDescent="0.2">
      <c r="A463">
        <v>0</v>
      </c>
      <c r="B463">
        <v>1630</v>
      </c>
      <c r="C463" t="s">
        <v>4133</v>
      </c>
      <c r="D463">
        <v>12</v>
      </c>
      <c r="E463">
        <v>24</v>
      </c>
      <c r="F463">
        <v>0</v>
      </c>
      <c r="G463">
        <v>0</v>
      </c>
      <c r="H463">
        <v>48</v>
      </c>
      <c r="I463">
        <v>0</v>
      </c>
      <c r="J463">
        <v>0.89</v>
      </c>
      <c r="K463">
        <v>0</v>
      </c>
    </row>
    <row r="464" spans="1:11" x14ac:dyDescent="0.2">
      <c r="A464">
        <v>65045</v>
      </c>
      <c r="B464">
        <v>1632</v>
      </c>
      <c r="C464" t="s">
        <v>4134</v>
      </c>
      <c r="D464">
        <v>8</v>
      </c>
      <c r="E464">
        <v>12</v>
      </c>
      <c r="F464">
        <v>906</v>
      </c>
      <c r="G464">
        <v>10872</v>
      </c>
      <c r="H464">
        <v>144</v>
      </c>
      <c r="I464">
        <v>6.3</v>
      </c>
      <c r="J464">
        <v>0.45</v>
      </c>
      <c r="K464">
        <v>4892.3999999999996</v>
      </c>
    </row>
    <row r="465" spans="1:11" x14ac:dyDescent="0.2">
      <c r="A465">
        <v>65054</v>
      </c>
      <c r="B465">
        <v>1638</v>
      </c>
      <c r="C465" t="s">
        <v>4135</v>
      </c>
      <c r="D465">
        <v>8</v>
      </c>
      <c r="E465">
        <v>12</v>
      </c>
      <c r="F465">
        <v>2106</v>
      </c>
      <c r="G465">
        <v>25270</v>
      </c>
      <c r="H465">
        <v>156</v>
      </c>
      <c r="I465">
        <v>13.5</v>
      </c>
      <c r="J465">
        <v>0.59</v>
      </c>
      <c r="K465">
        <v>14909.3</v>
      </c>
    </row>
    <row r="466" spans="1:11" x14ac:dyDescent="0.2">
      <c r="A466">
        <v>74204</v>
      </c>
      <c r="B466">
        <v>1639</v>
      </c>
      <c r="C466" t="s">
        <v>4136</v>
      </c>
      <c r="D466">
        <v>8</v>
      </c>
      <c r="E466">
        <v>20</v>
      </c>
      <c r="F466">
        <v>343</v>
      </c>
      <c r="G466">
        <v>6860</v>
      </c>
      <c r="H466">
        <v>80</v>
      </c>
      <c r="I466">
        <v>4.3</v>
      </c>
      <c r="J466">
        <v>2.35</v>
      </c>
      <c r="K466">
        <v>16121</v>
      </c>
    </row>
    <row r="467" spans="1:11" x14ac:dyDescent="0.2">
      <c r="A467">
        <v>66116</v>
      </c>
      <c r="B467">
        <v>1640</v>
      </c>
      <c r="C467" t="s">
        <v>4137</v>
      </c>
      <c r="D467">
        <v>8</v>
      </c>
      <c r="E467">
        <v>9</v>
      </c>
      <c r="F467">
        <v>253</v>
      </c>
      <c r="G467">
        <v>2277</v>
      </c>
      <c r="H467">
        <v>63</v>
      </c>
      <c r="I467">
        <v>4</v>
      </c>
      <c r="J467">
        <v>1.99</v>
      </c>
      <c r="K467">
        <v>4531.2299999999996</v>
      </c>
    </row>
    <row r="468" spans="1:11" x14ac:dyDescent="0.2">
      <c r="A468">
        <v>67023</v>
      </c>
      <c r="B468">
        <v>1643</v>
      </c>
      <c r="C468" t="s">
        <v>4138</v>
      </c>
      <c r="D468">
        <v>8</v>
      </c>
      <c r="E468">
        <v>36</v>
      </c>
      <c r="F468">
        <v>251</v>
      </c>
      <c r="G468">
        <v>9036</v>
      </c>
      <c r="H468">
        <v>24</v>
      </c>
      <c r="I468">
        <v>10.5</v>
      </c>
      <c r="J468">
        <v>1.0900000000000001</v>
      </c>
      <c r="K468">
        <v>9849.24</v>
      </c>
    </row>
    <row r="469" spans="1:11" x14ac:dyDescent="0.2">
      <c r="A469">
        <v>66094</v>
      </c>
      <c r="B469">
        <v>1645</v>
      </c>
      <c r="C469" t="s">
        <v>4139</v>
      </c>
      <c r="D469">
        <v>8</v>
      </c>
      <c r="E469">
        <v>16</v>
      </c>
      <c r="F469">
        <v>281</v>
      </c>
      <c r="G469">
        <v>4503</v>
      </c>
      <c r="H469">
        <v>60</v>
      </c>
      <c r="I469">
        <v>4.7</v>
      </c>
      <c r="J469">
        <v>1.65</v>
      </c>
      <c r="K469">
        <v>7429.95</v>
      </c>
    </row>
    <row r="470" spans="1:11" x14ac:dyDescent="0.2">
      <c r="A470">
        <v>62217</v>
      </c>
      <c r="B470">
        <v>1647</v>
      </c>
      <c r="C470" t="s">
        <v>4140</v>
      </c>
      <c r="D470">
        <v>8</v>
      </c>
      <c r="E470">
        <v>12</v>
      </c>
      <c r="F470">
        <v>3124</v>
      </c>
      <c r="G470">
        <v>37488</v>
      </c>
      <c r="H470">
        <v>70</v>
      </c>
      <c r="I470">
        <v>44.6</v>
      </c>
      <c r="J470">
        <v>0.95</v>
      </c>
      <c r="K470">
        <v>35613.599999999999</v>
      </c>
    </row>
    <row r="471" spans="1:11" x14ac:dyDescent="0.2">
      <c r="A471">
        <v>91117</v>
      </c>
      <c r="B471">
        <v>1648</v>
      </c>
      <c r="C471" t="s">
        <v>4141</v>
      </c>
      <c r="D471">
        <v>8</v>
      </c>
      <c r="E471">
        <v>4</v>
      </c>
      <c r="F471">
        <v>99</v>
      </c>
      <c r="G471">
        <v>396</v>
      </c>
      <c r="H471">
        <v>50</v>
      </c>
      <c r="I471">
        <v>2</v>
      </c>
      <c r="J471">
        <v>2.99</v>
      </c>
      <c r="K471">
        <v>1184.04</v>
      </c>
    </row>
    <row r="472" spans="1:11" x14ac:dyDescent="0.2">
      <c r="A472">
        <v>62228</v>
      </c>
      <c r="B472">
        <v>1649</v>
      </c>
      <c r="C472" t="s">
        <v>4142</v>
      </c>
      <c r="D472">
        <v>8</v>
      </c>
      <c r="E472">
        <v>12</v>
      </c>
      <c r="F472">
        <v>1171</v>
      </c>
      <c r="G472">
        <v>14057</v>
      </c>
      <c r="H472">
        <v>72</v>
      </c>
      <c r="I472">
        <v>16.3</v>
      </c>
      <c r="J472">
        <v>0.95</v>
      </c>
      <c r="K472">
        <v>13354.15</v>
      </c>
    </row>
    <row r="473" spans="1:11" x14ac:dyDescent="0.2">
      <c r="A473">
        <v>62221</v>
      </c>
      <c r="B473">
        <v>1650</v>
      </c>
      <c r="C473" t="s">
        <v>4143</v>
      </c>
      <c r="D473">
        <v>8</v>
      </c>
      <c r="E473">
        <v>12</v>
      </c>
      <c r="F473">
        <v>3531</v>
      </c>
      <c r="G473">
        <v>42366</v>
      </c>
      <c r="H473">
        <v>77</v>
      </c>
      <c r="I473">
        <v>45.9</v>
      </c>
      <c r="J473">
        <v>0.89</v>
      </c>
      <c r="K473">
        <v>37705.74</v>
      </c>
    </row>
    <row r="474" spans="1:11" x14ac:dyDescent="0.2">
      <c r="A474">
        <v>62201</v>
      </c>
      <c r="B474">
        <v>1652</v>
      </c>
      <c r="C474" t="s">
        <v>4144</v>
      </c>
      <c r="D474">
        <v>8</v>
      </c>
      <c r="E474">
        <v>12</v>
      </c>
      <c r="F474">
        <v>508</v>
      </c>
      <c r="G474">
        <v>6099</v>
      </c>
      <c r="H474">
        <v>72</v>
      </c>
      <c r="I474">
        <v>7.1</v>
      </c>
      <c r="J474">
        <v>1.99</v>
      </c>
      <c r="K474">
        <v>12137.01</v>
      </c>
    </row>
    <row r="475" spans="1:11" x14ac:dyDescent="0.2">
      <c r="A475">
        <v>65001</v>
      </c>
      <c r="B475">
        <v>1653</v>
      </c>
      <c r="C475" t="s">
        <v>4145</v>
      </c>
      <c r="D475">
        <v>8</v>
      </c>
      <c r="E475">
        <v>12</v>
      </c>
      <c r="F475">
        <v>1731</v>
      </c>
      <c r="G475">
        <v>20772</v>
      </c>
      <c r="H475">
        <v>72</v>
      </c>
      <c r="I475">
        <v>24</v>
      </c>
      <c r="J475">
        <v>0.79</v>
      </c>
      <c r="K475">
        <v>16409.88</v>
      </c>
    </row>
    <row r="476" spans="1:11" x14ac:dyDescent="0.2">
      <c r="A476">
        <v>65010</v>
      </c>
      <c r="B476">
        <v>1654</v>
      </c>
      <c r="C476" t="s">
        <v>4146</v>
      </c>
      <c r="D476">
        <v>8</v>
      </c>
      <c r="E476">
        <v>12</v>
      </c>
      <c r="F476">
        <v>995</v>
      </c>
      <c r="G476">
        <v>11937</v>
      </c>
      <c r="H476">
        <v>72</v>
      </c>
      <c r="I476">
        <v>13.8</v>
      </c>
      <c r="J476">
        <v>0.79</v>
      </c>
      <c r="K476">
        <v>9430.23</v>
      </c>
    </row>
    <row r="477" spans="1:11" x14ac:dyDescent="0.2">
      <c r="A477">
        <v>65058</v>
      </c>
      <c r="B477">
        <v>1655</v>
      </c>
      <c r="C477" t="s">
        <v>4147</v>
      </c>
      <c r="D477">
        <v>8</v>
      </c>
      <c r="E477">
        <v>12</v>
      </c>
      <c r="F477">
        <v>501</v>
      </c>
      <c r="G477">
        <v>6017</v>
      </c>
      <c r="H477">
        <v>136</v>
      </c>
      <c r="I477">
        <v>3.7</v>
      </c>
      <c r="J477">
        <v>1.39</v>
      </c>
      <c r="K477">
        <v>8363.6299999999992</v>
      </c>
    </row>
    <row r="478" spans="1:11" x14ac:dyDescent="0.2">
      <c r="A478">
        <v>44667</v>
      </c>
      <c r="B478">
        <v>1675</v>
      </c>
      <c r="C478" t="s">
        <v>4148</v>
      </c>
      <c r="D478">
        <v>10</v>
      </c>
      <c r="E478">
        <v>48</v>
      </c>
      <c r="F478">
        <v>0</v>
      </c>
      <c r="G478">
        <v>0</v>
      </c>
      <c r="H478">
        <v>4</v>
      </c>
      <c r="I478">
        <v>0</v>
      </c>
      <c r="J478">
        <v>9.75</v>
      </c>
      <c r="K478">
        <v>0</v>
      </c>
    </row>
    <row r="479" spans="1:11" x14ac:dyDescent="0.2">
      <c r="A479">
        <v>52650</v>
      </c>
      <c r="B479">
        <v>1684</v>
      </c>
      <c r="C479" t="s">
        <v>4149</v>
      </c>
      <c r="D479">
        <v>6</v>
      </c>
      <c r="E479">
        <v>12</v>
      </c>
      <c r="F479">
        <v>80</v>
      </c>
      <c r="G479">
        <v>960</v>
      </c>
      <c r="H479">
        <v>64</v>
      </c>
      <c r="I479">
        <v>1.3</v>
      </c>
      <c r="J479">
        <v>5.47</v>
      </c>
      <c r="K479">
        <v>5251.2</v>
      </c>
    </row>
    <row r="480" spans="1:11" x14ac:dyDescent="0.2">
      <c r="A480">
        <v>43677</v>
      </c>
      <c r="B480">
        <v>1696</v>
      </c>
      <c r="C480" t="s">
        <v>4150</v>
      </c>
      <c r="D480">
        <v>10</v>
      </c>
      <c r="E480">
        <v>216</v>
      </c>
      <c r="F480">
        <v>1</v>
      </c>
      <c r="G480">
        <v>216</v>
      </c>
      <c r="H480">
        <v>3</v>
      </c>
      <c r="I480">
        <v>0.3</v>
      </c>
      <c r="J480">
        <v>1.49</v>
      </c>
      <c r="K480">
        <v>321.83999999999997</v>
      </c>
    </row>
    <row r="481" spans="1:11" x14ac:dyDescent="0.2">
      <c r="A481">
        <v>65113</v>
      </c>
      <c r="B481">
        <v>1705</v>
      </c>
      <c r="C481" t="s">
        <v>4151</v>
      </c>
      <c r="D481">
        <v>8</v>
      </c>
      <c r="E481">
        <v>6</v>
      </c>
      <c r="F481">
        <v>2105</v>
      </c>
      <c r="G481">
        <v>12630</v>
      </c>
      <c r="H481">
        <v>144</v>
      </c>
      <c r="I481">
        <v>14.6</v>
      </c>
      <c r="J481">
        <v>0.85</v>
      </c>
      <c r="K481">
        <v>10735.5</v>
      </c>
    </row>
    <row r="482" spans="1:11" x14ac:dyDescent="0.2">
      <c r="A482">
        <v>62256</v>
      </c>
      <c r="B482">
        <v>1706</v>
      </c>
      <c r="C482" t="s">
        <v>4152</v>
      </c>
      <c r="D482">
        <v>8</v>
      </c>
      <c r="E482">
        <v>12</v>
      </c>
      <c r="F482">
        <v>1385</v>
      </c>
      <c r="G482">
        <v>16625</v>
      </c>
      <c r="H482">
        <v>63</v>
      </c>
      <c r="I482">
        <v>22</v>
      </c>
      <c r="J482">
        <v>0.75</v>
      </c>
      <c r="K482">
        <v>12468.75</v>
      </c>
    </row>
    <row r="483" spans="1:11" x14ac:dyDescent="0.2">
      <c r="A483">
        <v>65043</v>
      </c>
      <c r="B483">
        <v>1708</v>
      </c>
      <c r="C483" t="s">
        <v>4111</v>
      </c>
      <c r="D483">
        <v>8</v>
      </c>
      <c r="E483">
        <v>12</v>
      </c>
      <c r="F483">
        <v>574</v>
      </c>
      <c r="G483">
        <v>6888</v>
      </c>
      <c r="H483">
        <v>84</v>
      </c>
      <c r="I483">
        <v>6.8</v>
      </c>
      <c r="J483">
        <v>0.59</v>
      </c>
      <c r="K483">
        <v>4063.92</v>
      </c>
    </row>
    <row r="484" spans="1:11" x14ac:dyDescent="0.2">
      <c r="A484">
        <v>57537</v>
      </c>
      <c r="B484">
        <v>1709</v>
      </c>
      <c r="C484" t="s">
        <v>4153</v>
      </c>
      <c r="D484">
        <v>6</v>
      </c>
      <c r="E484">
        <v>72</v>
      </c>
      <c r="F484">
        <v>0</v>
      </c>
      <c r="G484">
        <v>0</v>
      </c>
      <c r="H484">
        <v>8</v>
      </c>
      <c r="I484">
        <v>0</v>
      </c>
      <c r="J484">
        <v>1.99</v>
      </c>
      <c r="K484">
        <v>0</v>
      </c>
    </row>
    <row r="485" spans="1:11" x14ac:dyDescent="0.2">
      <c r="A485">
        <v>31656</v>
      </c>
      <c r="B485">
        <v>1714</v>
      </c>
      <c r="C485" t="s">
        <v>4154</v>
      </c>
      <c r="D485">
        <v>10</v>
      </c>
      <c r="E485">
        <v>15</v>
      </c>
      <c r="F485">
        <v>0</v>
      </c>
      <c r="G485">
        <v>0</v>
      </c>
      <c r="H485">
        <v>48</v>
      </c>
      <c r="I485">
        <v>0</v>
      </c>
      <c r="J485">
        <v>2.62</v>
      </c>
      <c r="K485">
        <v>0</v>
      </c>
    </row>
    <row r="486" spans="1:11" x14ac:dyDescent="0.2">
      <c r="A486">
        <v>52643</v>
      </c>
      <c r="B486">
        <v>1715</v>
      </c>
      <c r="C486" t="s">
        <v>4155</v>
      </c>
      <c r="D486">
        <v>6</v>
      </c>
      <c r="E486">
        <v>24</v>
      </c>
      <c r="F486">
        <v>0</v>
      </c>
      <c r="G486">
        <v>0</v>
      </c>
      <c r="H486">
        <v>80</v>
      </c>
      <c r="I486">
        <v>0</v>
      </c>
      <c r="J486">
        <v>0.99</v>
      </c>
      <c r="K486">
        <v>0</v>
      </c>
    </row>
    <row r="487" spans="1:11" x14ac:dyDescent="0.2">
      <c r="B487">
        <v>1719</v>
      </c>
      <c r="C487" t="s">
        <v>4156</v>
      </c>
      <c r="D487">
        <v>11</v>
      </c>
      <c r="E487">
        <v>8</v>
      </c>
      <c r="F487">
        <v>-2</v>
      </c>
      <c r="G487">
        <v>-16</v>
      </c>
      <c r="H487">
        <v>72</v>
      </c>
      <c r="I487">
        <v>0</v>
      </c>
      <c r="J487">
        <v>0.99</v>
      </c>
      <c r="K487">
        <v>-15.84</v>
      </c>
    </row>
    <row r="488" spans="1:11" x14ac:dyDescent="0.2">
      <c r="A488">
        <v>62254</v>
      </c>
      <c r="B488">
        <v>1721</v>
      </c>
      <c r="C488" t="s">
        <v>4157</v>
      </c>
      <c r="D488">
        <v>8</v>
      </c>
      <c r="E488">
        <v>12</v>
      </c>
      <c r="F488">
        <v>1635</v>
      </c>
      <c r="G488">
        <v>19620</v>
      </c>
      <c r="H488">
        <v>63</v>
      </c>
      <c r="I488">
        <v>26</v>
      </c>
      <c r="J488">
        <v>1.69</v>
      </c>
      <c r="K488">
        <v>33157.800000000003</v>
      </c>
    </row>
    <row r="489" spans="1:11" x14ac:dyDescent="0.2">
      <c r="A489">
        <v>65065</v>
      </c>
      <c r="B489">
        <v>1723</v>
      </c>
      <c r="C489" t="s">
        <v>4158</v>
      </c>
      <c r="D489">
        <v>8</v>
      </c>
      <c r="E489">
        <v>12</v>
      </c>
      <c r="F489">
        <v>1138</v>
      </c>
      <c r="G489">
        <v>13656</v>
      </c>
      <c r="H489">
        <v>144</v>
      </c>
      <c r="I489">
        <v>7.9</v>
      </c>
      <c r="J489">
        <v>0.69</v>
      </c>
      <c r="K489">
        <v>9422.64</v>
      </c>
    </row>
    <row r="490" spans="1:11" x14ac:dyDescent="0.2">
      <c r="A490">
        <v>65061</v>
      </c>
      <c r="B490">
        <v>1724</v>
      </c>
      <c r="C490" t="s">
        <v>4159</v>
      </c>
      <c r="D490">
        <v>8</v>
      </c>
      <c r="E490">
        <v>12</v>
      </c>
      <c r="F490">
        <v>1273</v>
      </c>
      <c r="G490">
        <v>15271</v>
      </c>
      <c r="H490">
        <v>144</v>
      </c>
      <c r="I490">
        <v>8.8000000000000007</v>
      </c>
      <c r="J490">
        <v>0.69</v>
      </c>
      <c r="K490">
        <v>10536.99</v>
      </c>
    </row>
    <row r="491" spans="1:11" x14ac:dyDescent="0.2">
      <c r="A491">
        <v>85056</v>
      </c>
      <c r="B491">
        <v>1725</v>
      </c>
      <c r="C491" t="s">
        <v>4160</v>
      </c>
      <c r="D491">
        <v>8</v>
      </c>
      <c r="E491">
        <v>6</v>
      </c>
      <c r="F491">
        <v>238</v>
      </c>
      <c r="G491">
        <v>1425</v>
      </c>
      <c r="H491">
        <v>60</v>
      </c>
      <c r="I491">
        <v>4</v>
      </c>
      <c r="J491">
        <v>1.99</v>
      </c>
      <c r="K491">
        <v>2835.75</v>
      </c>
    </row>
    <row r="492" spans="1:11" x14ac:dyDescent="0.2">
      <c r="B492">
        <v>1748</v>
      </c>
      <c r="C492" t="s">
        <v>4161</v>
      </c>
      <c r="D492">
        <v>12</v>
      </c>
      <c r="E492">
        <v>12</v>
      </c>
      <c r="F492">
        <v>0</v>
      </c>
      <c r="G492">
        <v>0</v>
      </c>
      <c r="H492">
        <v>48</v>
      </c>
      <c r="I492">
        <v>0</v>
      </c>
      <c r="J492">
        <v>1.39</v>
      </c>
      <c r="K492">
        <v>0</v>
      </c>
    </row>
    <row r="493" spans="1:11" x14ac:dyDescent="0.2">
      <c r="A493">
        <v>44666</v>
      </c>
      <c r="B493">
        <v>1770</v>
      </c>
      <c r="C493" t="s">
        <v>4162</v>
      </c>
      <c r="D493">
        <v>10</v>
      </c>
      <c r="E493">
        <v>72</v>
      </c>
      <c r="F493">
        <v>1</v>
      </c>
      <c r="G493">
        <v>72</v>
      </c>
      <c r="H493">
        <v>4</v>
      </c>
      <c r="I493">
        <v>0.3</v>
      </c>
      <c r="J493">
        <v>4.99</v>
      </c>
      <c r="K493">
        <v>359.28</v>
      </c>
    </row>
    <row r="494" spans="1:11" x14ac:dyDescent="0.2">
      <c r="A494">
        <v>50621</v>
      </c>
      <c r="B494">
        <v>1777</v>
      </c>
      <c r="C494" t="s">
        <v>4163</v>
      </c>
      <c r="D494">
        <v>10</v>
      </c>
      <c r="E494">
        <v>60</v>
      </c>
      <c r="F494">
        <v>0</v>
      </c>
      <c r="G494">
        <v>0</v>
      </c>
      <c r="H494">
        <v>4</v>
      </c>
      <c r="I494">
        <v>0</v>
      </c>
      <c r="J494">
        <v>3.55</v>
      </c>
      <c r="K494">
        <v>0</v>
      </c>
    </row>
    <row r="495" spans="1:11" x14ac:dyDescent="0.2">
      <c r="A495">
        <v>57657</v>
      </c>
      <c r="B495">
        <v>1778</v>
      </c>
      <c r="C495" t="s">
        <v>4164</v>
      </c>
      <c r="D495">
        <v>10</v>
      </c>
      <c r="E495">
        <v>1</v>
      </c>
      <c r="F495">
        <v>10</v>
      </c>
      <c r="G495">
        <v>10</v>
      </c>
      <c r="H495">
        <v>2</v>
      </c>
      <c r="I495">
        <v>5</v>
      </c>
      <c r="J495">
        <v>5.59</v>
      </c>
      <c r="K495">
        <v>55.9</v>
      </c>
    </row>
    <row r="496" spans="1:11" x14ac:dyDescent="0.2">
      <c r="A496">
        <v>40634</v>
      </c>
      <c r="B496">
        <v>1782</v>
      </c>
      <c r="C496" t="s">
        <v>4165</v>
      </c>
      <c r="D496">
        <v>10</v>
      </c>
      <c r="E496">
        <v>96</v>
      </c>
      <c r="F496">
        <v>0</v>
      </c>
      <c r="G496">
        <v>0</v>
      </c>
      <c r="H496">
        <v>4</v>
      </c>
      <c r="I496">
        <v>0</v>
      </c>
      <c r="J496">
        <v>5.44</v>
      </c>
      <c r="K496">
        <v>0</v>
      </c>
    </row>
    <row r="497" spans="1:11" x14ac:dyDescent="0.2">
      <c r="A497">
        <v>74052</v>
      </c>
      <c r="B497">
        <v>1803</v>
      </c>
      <c r="C497" t="s">
        <v>4166</v>
      </c>
      <c r="D497">
        <v>8</v>
      </c>
      <c r="E497">
        <v>54</v>
      </c>
      <c r="F497">
        <v>149</v>
      </c>
      <c r="G497">
        <v>8046</v>
      </c>
      <c r="H497">
        <v>60</v>
      </c>
      <c r="I497">
        <v>2.5</v>
      </c>
      <c r="J497">
        <v>0.79</v>
      </c>
      <c r="K497">
        <v>6356.34</v>
      </c>
    </row>
    <row r="498" spans="1:11" x14ac:dyDescent="0.2">
      <c r="A498">
        <v>76012</v>
      </c>
      <c r="B498">
        <v>1804</v>
      </c>
      <c r="C498" t="s">
        <v>4167</v>
      </c>
      <c r="D498">
        <v>8</v>
      </c>
      <c r="E498">
        <v>24</v>
      </c>
      <c r="F498">
        <v>223</v>
      </c>
      <c r="G498">
        <v>5352</v>
      </c>
      <c r="H498">
        <v>110</v>
      </c>
      <c r="I498">
        <v>2</v>
      </c>
      <c r="J498">
        <v>1.05</v>
      </c>
      <c r="K498">
        <v>5619.6</v>
      </c>
    </row>
    <row r="499" spans="1:11" x14ac:dyDescent="0.2">
      <c r="A499">
        <v>74072</v>
      </c>
      <c r="B499">
        <v>1806</v>
      </c>
      <c r="C499" t="s">
        <v>4168</v>
      </c>
      <c r="D499">
        <v>8</v>
      </c>
      <c r="E499">
        <v>27</v>
      </c>
      <c r="F499">
        <v>205</v>
      </c>
      <c r="G499">
        <v>5535</v>
      </c>
      <c r="H499">
        <v>88</v>
      </c>
      <c r="I499">
        <v>2.2999999999999998</v>
      </c>
      <c r="J499">
        <v>0.89</v>
      </c>
      <c r="K499">
        <v>4926.1499999999996</v>
      </c>
    </row>
    <row r="500" spans="1:11" x14ac:dyDescent="0.2">
      <c r="A500">
        <v>72045</v>
      </c>
      <c r="B500">
        <v>1808</v>
      </c>
      <c r="C500" t="s">
        <v>4169</v>
      </c>
      <c r="D500">
        <v>8</v>
      </c>
      <c r="E500">
        <v>8</v>
      </c>
      <c r="F500">
        <v>551</v>
      </c>
      <c r="G500">
        <v>4408</v>
      </c>
      <c r="H500">
        <v>70</v>
      </c>
      <c r="I500">
        <v>7.9</v>
      </c>
      <c r="J500">
        <v>1.29</v>
      </c>
      <c r="K500">
        <v>5686.32</v>
      </c>
    </row>
    <row r="501" spans="1:11" x14ac:dyDescent="0.2">
      <c r="A501">
        <v>72236</v>
      </c>
      <c r="B501">
        <v>1809</v>
      </c>
      <c r="C501" t="s">
        <v>4170</v>
      </c>
      <c r="D501">
        <v>8</v>
      </c>
      <c r="E501">
        <v>24</v>
      </c>
      <c r="F501">
        <v>424</v>
      </c>
      <c r="G501">
        <v>10176</v>
      </c>
      <c r="H501">
        <v>70</v>
      </c>
      <c r="I501">
        <v>6.1</v>
      </c>
      <c r="J501">
        <v>1.18</v>
      </c>
      <c r="K501">
        <v>12007.68</v>
      </c>
    </row>
    <row r="502" spans="1:11" x14ac:dyDescent="0.2">
      <c r="A502">
        <v>72232</v>
      </c>
      <c r="B502">
        <v>1810</v>
      </c>
      <c r="C502" t="s">
        <v>4171</v>
      </c>
      <c r="D502">
        <v>8</v>
      </c>
      <c r="E502">
        <v>24</v>
      </c>
      <c r="F502">
        <v>482</v>
      </c>
      <c r="G502">
        <v>11565</v>
      </c>
      <c r="H502">
        <v>70</v>
      </c>
      <c r="I502">
        <v>6.9</v>
      </c>
      <c r="J502">
        <v>1.0900000000000001</v>
      </c>
      <c r="K502">
        <v>12605.85</v>
      </c>
    </row>
    <row r="503" spans="1:11" x14ac:dyDescent="0.2">
      <c r="A503">
        <v>76186</v>
      </c>
      <c r="B503">
        <v>1811</v>
      </c>
      <c r="C503" t="s">
        <v>4172</v>
      </c>
      <c r="D503">
        <v>8</v>
      </c>
      <c r="E503">
        <v>7</v>
      </c>
      <c r="F503">
        <v>379</v>
      </c>
      <c r="G503">
        <v>2653</v>
      </c>
      <c r="H503">
        <v>56</v>
      </c>
      <c r="I503">
        <v>6.8</v>
      </c>
      <c r="J503">
        <v>1.79</v>
      </c>
      <c r="K503">
        <v>4748.87</v>
      </c>
    </row>
    <row r="504" spans="1:11" x14ac:dyDescent="0.2">
      <c r="A504">
        <v>74060</v>
      </c>
      <c r="B504">
        <v>1813</v>
      </c>
      <c r="C504" t="s">
        <v>4173</v>
      </c>
      <c r="D504">
        <v>8</v>
      </c>
      <c r="E504">
        <v>28</v>
      </c>
      <c r="F504">
        <v>288</v>
      </c>
      <c r="G504">
        <v>8063</v>
      </c>
      <c r="H504">
        <v>42</v>
      </c>
      <c r="I504">
        <v>6.9</v>
      </c>
      <c r="J504">
        <v>1.44</v>
      </c>
      <c r="K504">
        <v>11610.72</v>
      </c>
    </row>
    <row r="505" spans="1:11" x14ac:dyDescent="0.2">
      <c r="A505">
        <v>76254</v>
      </c>
      <c r="B505">
        <v>1820</v>
      </c>
      <c r="C505" t="s">
        <v>4174</v>
      </c>
      <c r="D505">
        <v>8</v>
      </c>
      <c r="E505">
        <v>8</v>
      </c>
      <c r="F505">
        <v>122</v>
      </c>
      <c r="G505">
        <v>976</v>
      </c>
      <c r="H505">
        <v>60</v>
      </c>
      <c r="I505">
        <v>2</v>
      </c>
      <c r="J505">
        <v>3.18</v>
      </c>
      <c r="K505">
        <v>3103.68</v>
      </c>
    </row>
    <row r="506" spans="1:11" x14ac:dyDescent="0.2">
      <c r="A506">
        <v>76125</v>
      </c>
      <c r="B506">
        <v>1821</v>
      </c>
      <c r="C506" t="s">
        <v>4175</v>
      </c>
      <c r="D506">
        <v>8</v>
      </c>
      <c r="E506">
        <v>16</v>
      </c>
      <c r="F506">
        <v>229</v>
      </c>
      <c r="G506">
        <v>3664</v>
      </c>
      <c r="H506">
        <v>36</v>
      </c>
      <c r="I506">
        <v>6.4</v>
      </c>
      <c r="J506">
        <v>1.67</v>
      </c>
      <c r="K506">
        <v>6118.88</v>
      </c>
    </row>
    <row r="507" spans="1:11" x14ac:dyDescent="0.2">
      <c r="A507">
        <v>72054</v>
      </c>
      <c r="B507">
        <v>1824</v>
      </c>
      <c r="C507" t="s">
        <v>4176</v>
      </c>
      <c r="D507">
        <v>8</v>
      </c>
      <c r="E507">
        <v>15</v>
      </c>
      <c r="F507">
        <v>321</v>
      </c>
      <c r="G507">
        <v>4815</v>
      </c>
      <c r="H507">
        <v>70</v>
      </c>
      <c r="I507">
        <v>4.5999999999999996</v>
      </c>
      <c r="J507">
        <v>1.49</v>
      </c>
      <c r="K507">
        <v>7174.35</v>
      </c>
    </row>
    <row r="508" spans="1:11" x14ac:dyDescent="0.2">
      <c r="B508">
        <v>1825</v>
      </c>
      <c r="C508" t="s">
        <v>4177</v>
      </c>
      <c r="D508">
        <v>11</v>
      </c>
      <c r="E508">
        <v>8</v>
      </c>
      <c r="F508">
        <v>0</v>
      </c>
      <c r="G508">
        <v>0</v>
      </c>
      <c r="H508">
        <v>81</v>
      </c>
      <c r="I508">
        <v>0</v>
      </c>
      <c r="J508">
        <v>2.99</v>
      </c>
      <c r="K508">
        <v>0</v>
      </c>
    </row>
    <row r="509" spans="1:11" x14ac:dyDescent="0.2">
      <c r="A509">
        <v>74056</v>
      </c>
      <c r="B509">
        <v>1828</v>
      </c>
      <c r="C509" t="s">
        <v>4178</v>
      </c>
      <c r="D509">
        <v>8</v>
      </c>
      <c r="E509">
        <v>20</v>
      </c>
      <c r="F509">
        <v>781</v>
      </c>
      <c r="G509">
        <v>15620</v>
      </c>
      <c r="H509">
        <v>60</v>
      </c>
      <c r="I509">
        <v>13</v>
      </c>
      <c r="J509">
        <v>0.61</v>
      </c>
      <c r="K509">
        <v>9528.2000000000007</v>
      </c>
    </row>
    <row r="510" spans="1:11" x14ac:dyDescent="0.2">
      <c r="A510">
        <v>74047</v>
      </c>
      <c r="B510">
        <v>1830</v>
      </c>
      <c r="C510" t="s">
        <v>4179</v>
      </c>
      <c r="D510">
        <v>8</v>
      </c>
      <c r="E510">
        <v>20</v>
      </c>
      <c r="F510">
        <v>369</v>
      </c>
      <c r="G510">
        <v>7380</v>
      </c>
      <c r="H510">
        <v>60</v>
      </c>
      <c r="I510">
        <v>6.2</v>
      </c>
      <c r="J510">
        <v>0.65</v>
      </c>
      <c r="K510">
        <v>4797</v>
      </c>
    </row>
    <row r="511" spans="1:11" x14ac:dyDescent="0.2">
      <c r="A511">
        <v>74021</v>
      </c>
      <c r="B511">
        <v>1831</v>
      </c>
      <c r="C511" t="s">
        <v>4180</v>
      </c>
      <c r="D511">
        <v>8</v>
      </c>
      <c r="E511">
        <v>20</v>
      </c>
      <c r="F511">
        <v>291</v>
      </c>
      <c r="G511">
        <v>5819</v>
      </c>
      <c r="H511">
        <v>48</v>
      </c>
      <c r="I511">
        <v>6.1</v>
      </c>
      <c r="J511">
        <v>1.19</v>
      </c>
      <c r="K511">
        <v>6924.61</v>
      </c>
    </row>
    <row r="512" spans="1:11" x14ac:dyDescent="0.2">
      <c r="A512">
        <v>72049</v>
      </c>
      <c r="B512">
        <v>1841</v>
      </c>
      <c r="C512" t="s">
        <v>4181</v>
      </c>
      <c r="D512">
        <v>8</v>
      </c>
      <c r="E512">
        <v>20</v>
      </c>
      <c r="F512">
        <v>348</v>
      </c>
      <c r="G512">
        <v>6960</v>
      </c>
      <c r="H512">
        <v>56</v>
      </c>
      <c r="I512">
        <v>6.2</v>
      </c>
      <c r="J512">
        <v>1.36</v>
      </c>
      <c r="K512">
        <v>9465.6</v>
      </c>
    </row>
    <row r="513" spans="1:11" x14ac:dyDescent="0.2">
      <c r="A513">
        <v>76129</v>
      </c>
      <c r="B513">
        <v>1847</v>
      </c>
      <c r="C513" t="s">
        <v>4182</v>
      </c>
      <c r="D513">
        <v>8</v>
      </c>
      <c r="E513">
        <v>24</v>
      </c>
      <c r="F513">
        <v>159</v>
      </c>
      <c r="G513">
        <v>3816</v>
      </c>
      <c r="H513">
        <v>52</v>
      </c>
      <c r="I513">
        <v>3.1</v>
      </c>
      <c r="J513">
        <v>0.95</v>
      </c>
      <c r="K513">
        <v>3625.2</v>
      </c>
    </row>
    <row r="514" spans="1:11" x14ac:dyDescent="0.2">
      <c r="A514">
        <v>74113</v>
      </c>
      <c r="B514">
        <v>1848</v>
      </c>
      <c r="C514" t="s">
        <v>4183</v>
      </c>
      <c r="D514">
        <v>8</v>
      </c>
      <c r="E514">
        <v>9</v>
      </c>
      <c r="F514">
        <v>525</v>
      </c>
      <c r="G514">
        <v>4725</v>
      </c>
      <c r="H514">
        <v>40</v>
      </c>
      <c r="I514">
        <v>13.1</v>
      </c>
      <c r="J514">
        <v>1.99</v>
      </c>
      <c r="K514">
        <v>9402.75</v>
      </c>
    </row>
    <row r="515" spans="1:11" x14ac:dyDescent="0.2">
      <c r="A515">
        <v>74069</v>
      </c>
      <c r="B515">
        <v>1854</v>
      </c>
      <c r="C515" t="s">
        <v>4184</v>
      </c>
      <c r="D515">
        <v>8</v>
      </c>
      <c r="E515">
        <v>28</v>
      </c>
      <c r="F515">
        <v>358</v>
      </c>
      <c r="G515">
        <v>10021</v>
      </c>
      <c r="H515">
        <v>66</v>
      </c>
      <c r="I515">
        <v>5.4</v>
      </c>
      <c r="J515">
        <v>0.95</v>
      </c>
      <c r="K515">
        <v>9519.9500000000007</v>
      </c>
    </row>
    <row r="516" spans="1:11" x14ac:dyDescent="0.2">
      <c r="A516">
        <v>76149</v>
      </c>
      <c r="B516">
        <v>1859</v>
      </c>
      <c r="C516" t="s">
        <v>4185</v>
      </c>
      <c r="D516">
        <v>8</v>
      </c>
      <c r="E516">
        <v>12</v>
      </c>
      <c r="F516">
        <v>256</v>
      </c>
      <c r="G516">
        <v>3072</v>
      </c>
      <c r="H516">
        <v>36</v>
      </c>
      <c r="I516">
        <v>7.1</v>
      </c>
      <c r="J516">
        <v>1.75</v>
      </c>
      <c r="K516">
        <v>5376</v>
      </c>
    </row>
    <row r="517" spans="1:11" x14ac:dyDescent="0.2">
      <c r="A517">
        <v>74027</v>
      </c>
      <c r="B517">
        <v>1860</v>
      </c>
      <c r="C517" t="s">
        <v>4186</v>
      </c>
      <c r="D517">
        <v>8</v>
      </c>
      <c r="E517">
        <v>20</v>
      </c>
      <c r="F517">
        <v>251</v>
      </c>
      <c r="G517">
        <v>5020</v>
      </c>
      <c r="H517">
        <v>64</v>
      </c>
      <c r="I517">
        <v>3.9</v>
      </c>
      <c r="J517">
        <v>0.99</v>
      </c>
      <c r="K517">
        <v>4969.8</v>
      </c>
    </row>
    <row r="518" spans="1:11" x14ac:dyDescent="0.2">
      <c r="A518">
        <v>76103</v>
      </c>
      <c r="B518">
        <v>1861</v>
      </c>
      <c r="C518" t="s">
        <v>4187</v>
      </c>
      <c r="D518">
        <v>8</v>
      </c>
      <c r="E518">
        <v>20</v>
      </c>
      <c r="F518">
        <v>128</v>
      </c>
      <c r="G518">
        <v>2560</v>
      </c>
      <c r="H518">
        <v>32</v>
      </c>
      <c r="I518">
        <v>4</v>
      </c>
      <c r="J518">
        <v>1.45</v>
      </c>
      <c r="K518">
        <v>3712</v>
      </c>
    </row>
    <row r="519" spans="1:11" x14ac:dyDescent="0.2">
      <c r="A519">
        <v>76107</v>
      </c>
      <c r="B519">
        <v>1862</v>
      </c>
      <c r="C519" t="s">
        <v>4188</v>
      </c>
      <c r="D519">
        <v>8</v>
      </c>
      <c r="E519">
        <v>20</v>
      </c>
      <c r="F519">
        <v>325</v>
      </c>
      <c r="G519">
        <v>6500</v>
      </c>
      <c r="H519">
        <v>32</v>
      </c>
      <c r="I519">
        <v>10.199999999999999</v>
      </c>
      <c r="J519">
        <v>1.45</v>
      </c>
      <c r="K519">
        <v>9425</v>
      </c>
    </row>
    <row r="520" spans="1:11" x14ac:dyDescent="0.2">
      <c r="A520">
        <v>74087</v>
      </c>
      <c r="B520">
        <v>1863</v>
      </c>
      <c r="C520" t="s">
        <v>4189</v>
      </c>
      <c r="D520">
        <v>8</v>
      </c>
      <c r="E520">
        <v>16</v>
      </c>
      <c r="F520">
        <v>1550</v>
      </c>
      <c r="G520">
        <v>24800</v>
      </c>
      <c r="H520">
        <v>60</v>
      </c>
      <c r="I520">
        <v>25.8</v>
      </c>
      <c r="J520">
        <v>0.69</v>
      </c>
      <c r="K520">
        <v>17112</v>
      </c>
    </row>
    <row r="521" spans="1:11" x14ac:dyDescent="0.2">
      <c r="A521">
        <v>74028</v>
      </c>
      <c r="B521">
        <v>1864</v>
      </c>
      <c r="C521" t="s">
        <v>4190</v>
      </c>
      <c r="D521">
        <v>8</v>
      </c>
      <c r="E521">
        <v>20</v>
      </c>
      <c r="F521">
        <v>316</v>
      </c>
      <c r="G521">
        <v>6317</v>
      </c>
      <c r="H521">
        <v>48</v>
      </c>
      <c r="I521">
        <v>6.6</v>
      </c>
      <c r="J521">
        <v>1.05</v>
      </c>
      <c r="K521">
        <v>6632.85</v>
      </c>
    </row>
    <row r="522" spans="1:11" x14ac:dyDescent="0.2">
      <c r="A522">
        <v>74074</v>
      </c>
      <c r="B522">
        <v>1866</v>
      </c>
      <c r="C522" t="s">
        <v>4191</v>
      </c>
      <c r="D522">
        <v>8</v>
      </c>
      <c r="E522">
        <v>18</v>
      </c>
      <c r="F522">
        <v>355</v>
      </c>
      <c r="G522">
        <v>6390</v>
      </c>
      <c r="H522">
        <v>48</v>
      </c>
      <c r="I522">
        <v>7.4</v>
      </c>
      <c r="J522">
        <v>1.49</v>
      </c>
      <c r="K522">
        <v>9521.1</v>
      </c>
    </row>
    <row r="523" spans="1:11" x14ac:dyDescent="0.2">
      <c r="B523">
        <v>1870</v>
      </c>
      <c r="C523" t="s">
        <v>4192</v>
      </c>
      <c r="D523">
        <v>12</v>
      </c>
      <c r="E523">
        <v>15</v>
      </c>
      <c r="F523">
        <v>0</v>
      </c>
      <c r="G523">
        <v>0</v>
      </c>
      <c r="H523">
        <v>88</v>
      </c>
      <c r="I523">
        <v>0</v>
      </c>
      <c r="J523">
        <v>1.29</v>
      </c>
      <c r="K523">
        <v>0</v>
      </c>
    </row>
    <row r="524" spans="1:11" x14ac:dyDescent="0.2">
      <c r="A524">
        <v>72239</v>
      </c>
      <c r="B524">
        <v>1871</v>
      </c>
      <c r="C524" t="s">
        <v>4193</v>
      </c>
      <c r="D524">
        <v>8</v>
      </c>
      <c r="E524">
        <v>15</v>
      </c>
      <c r="F524">
        <v>169</v>
      </c>
      <c r="G524">
        <v>2535</v>
      </c>
      <c r="H524">
        <v>60</v>
      </c>
      <c r="I524">
        <v>2.8</v>
      </c>
      <c r="J524">
        <v>2.19</v>
      </c>
      <c r="K524">
        <v>5551.65</v>
      </c>
    </row>
    <row r="525" spans="1:11" x14ac:dyDescent="0.2">
      <c r="A525">
        <v>76122</v>
      </c>
      <c r="B525">
        <v>1872</v>
      </c>
      <c r="C525" t="s">
        <v>4194</v>
      </c>
      <c r="D525">
        <v>8</v>
      </c>
      <c r="E525">
        <v>28</v>
      </c>
      <c r="F525">
        <v>155</v>
      </c>
      <c r="G525">
        <v>4340</v>
      </c>
      <c r="H525">
        <v>36</v>
      </c>
      <c r="I525">
        <v>4.3</v>
      </c>
      <c r="J525">
        <v>0.89</v>
      </c>
      <c r="K525">
        <v>3862.6</v>
      </c>
    </row>
    <row r="526" spans="1:11" x14ac:dyDescent="0.2">
      <c r="A526">
        <v>74164</v>
      </c>
      <c r="B526">
        <v>1875</v>
      </c>
      <c r="C526" t="s">
        <v>4195</v>
      </c>
      <c r="D526">
        <v>8</v>
      </c>
      <c r="E526">
        <v>12</v>
      </c>
      <c r="F526">
        <v>687</v>
      </c>
      <c r="G526">
        <v>8244</v>
      </c>
      <c r="H526">
        <v>204</v>
      </c>
      <c r="I526">
        <v>3.4</v>
      </c>
      <c r="J526">
        <v>0.66</v>
      </c>
      <c r="K526">
        <v>5441.04</v>
      </c>
    </row>
    <row r="527" spans="1:11" x14ac:dyDescent="0.2">
      <c r="A527">
        <v>76102</v>
      </c>
      <c r="B527">
        <v>1876</v>
      </c>
      <c r="C527" t="s">
        <v>4196</v>
      </c>
      <c r="D527">
        <v>8</v>
      </c>
      <c r="E527">
        <v>6</v>
      </c>
      <c r="F527">
        <v>362</v>
      </c>
      <c r="G527">
        <v>2172</v>
      </c>
      <c r="H527">
        <v>130</v>
      </c>
      <c r="I527">
        <v>2.8</v>
      </c>
      <c r="J527">
        <v>1.34</v>
      </c>
      <c r="K527">
        <v>2910.48</v>
      </c>
    </row>
    <row r="528" spans="1:11" x14ac:dyDescent="0.2">
      <c r="A528">
        <v>3640</v>
      </c>
      <c r="B528">
        <v>1878</v>
      </c>
      <c r="C528" t="s">
        <v>4197</v>
      </c>
      <c r="D528">
        <v>6</v>
      </c>
      <c r="E528">
        <v>12</v>
      </c>
      <c r="F528">
        <v>2</v>
      </c>
      <c r="G528">
        <v>24</v>
      </c>
      <c r="H528">
        <v>44</v>
      </c>
      <c r="I528">
        <v>0</v>
      </c>
      <c r="J528">
        <v>1.19</v>
      </c>
      <c r="K528">
        <v>28.56</v>
      </c>
    </row>
    <row r="529" spans="1:11" x14ac:dyDescent="0.2">
      <c r="A529">
        <v>88031</v>
      </c>
      <c r="B529">
        <v>1886</v>
      </c>
      <c r="C529" t="s">
        <v>4198</v>
      </c>
      <c r="D529">
        <v>8</v>
      </c>
      <c r="E529">
        <v>20</v>
      </c>
      <c r="F529">
        <v>144</v>
      </c>
      <c r="G529">
        <v>2880</v>
      </c>
      <c r="H529">
        <v>48</v>
      </c>
      <c r="I529">
        <v>3</v>
      </c>
      <c r="J529">
        <v>3.49</v>
      </c>
      <c r="K529">
        <v>10051.200000000001</v>
      </c>
    </row>
    <row r="530" spans="1:11" x14ac:dyDescent="0.2">
      <c r="A530">
        <v>50633</v>
      </c>
      <c r="B530">
        <v>1889</v>
      </c>
      <c r="C530" t="s">
        <v>4199</v>
      </c>
      <c r="D530">
        <v>10</v>
      </c>
      <c r="E530">
        <v>12</v>
      </c>
      <c r="F530">
        <v>1</v>
      </c>
      <c r="G530">
        <v>12</v>
      </c>
      <c r="H530">
        <v>48</v>
      </c>
      <c r="I530">
        <v>0</v>
      </c>
      <c r="J530">
        <v>9.4</v>
      </c>
      <c r="K530">
        <v>112.8</v>
      </c>
    </row>
    <row r="531" spans="1:11" x14ac:dyDescent="0.2">
      <c r="A531">
        <v>74054</v>
      </c>
      <c r="B531">
        <v>1894</v>
      </c>
      <c r="C531" t="s">
        <v>4200</v>
      </c>
      <c r="D531">
        <v>8</v>
      </c>
      <c r="E531">
        <v>18</v>
      </c>
      <c r="F531">
        <v>166</v>
      </c>
      <c r="G531">
        <v>2988</v>
      </c>
      <c r="H531">
        <v>48</v>
      </c>
      <c r="I531">
        <v>3.5</v>
      </c>
      <c r="J531">
        <v>1.9</v>
      </c>
      <c r="K531">
        <v>5677.2</v>
      </c>
    </row>
    <row r="532" spans="1:11" x14ac:dyDescent="0.2">
      <c r="A532">
        <v>74038</v>
      </c>
      <c r="B532">
        <v>1897</v>
      </c>
      <c r="C532" t="s">
        <v>4201</v>
      </c>
      <c r="D532">
        <v>8</v>
      </c>
      <c r="E532">
        <v>36</v>
      </c>
      <c r="F532">
        <v>171</v>
      </c>
      <c r="G532">
        <v>6156</v>
      </c>
      <c r="H532">
        <v>60</v>
      </c>
      <c r="I532">
        <v>2.9</v>
      </c>
      <c r="J532">
        <v>0.99</v>
      </c>
      <c r="K532">
        <v>6094.44</v>
      </c>
    </row>
    <row r="533" spans="1:11" x14ac:dyDescent="0.2">
      <c r="A533">
        <v>66237</v>
      </c>
      <c r="B533">
        <v>1907</v>
      </c>
      <c r="C533" t="s">
        <v>4202</v>
      </c>
      <c r="D533">
        <v>8</v>
      </c>
      <c r="E533">
        <v>16</v>
      </c>
      <c r="F533">
        <v>256</v>
      </c>
      <c r="G533">
        <v>4102</v>
      </c>
      <c r="H533">
        <v>24</v>
      </c>
      <c r="I533">
        <v>10.7</v>
      </c>
      <c r="J533">
        <v>0.99</v>
      </c>
      <c r="K533">
        <v>4060.98</v>
      </c>
    </row>
    <row r="534" spans="1:11" x14ac:dyDescent="0.2">
      <c r="A534">
        <v>0</v>
      </c>
      <c r="B534">
        <v>1908</v>
      </c>
      <c r="C534" t="s">
        <v>4203</v>
      </c>
      <c r="D534">
        <v>11</v>
      </c>
      <c r="E534">
        <v>25</v>
      </c>
      <c r="F534">
        <v>0</v>
      </c>
      <c r="G534">
        <v>0</v>
      </c>
      <c r="H534">
        <v>48</v>
      </c>
      <c r="I534">
        <v>0</v>
      </c>
      <c r="J534">
        <v>1.0900000000000001</v>
      </c>
      <c r="K534">
        <v>0</v>
      </c>
    </row>
    <row r="535" spans="1:11" x14ac:dyDescent="0.2">
      <c r="B535">
        <v>1914</v>
      </c>
      <c r="C535" t="s">
        <v>4204</v>
      </c>
      <c r="D535">
        <v>12</v>
      </c>
      <c r="E535">
        <v>24</v>
      </c>
      <c r="F535">
        <v>0</v>
      </c>
      <c r="G535">
        <v>0</v>
      </c>
      <c r="H535">
        <v>72</v>
      </c>
      <c r="I535">
        <v>0</v>
      </c>
      <c r="J535">
        <v>0.99</v>
      </c>
      <c r="K535">
        <v>0</v>
      </c>
    </row>
    <row r="536" spans="1:11" x14ac:dyDescent="0.2">
      <c r="B536">
        <v>1915</v>
      </c>
      <c r="C536" t="s">
        <v>4205</v>
      </c>
      <c r="D536">
        <v>11</v>
      </c>
      <c r="E536">
        <v>25</v>
      </c>
      <c r="F536">
        <v>0</v>
      </c>
      <c r="G536">
        <v>0</v>
      </c>
      <c r="H536">
        <v>80</v>
      </c>
      <c r="I536">
        <v>0</v>
      </c>
      <c r="J536">
        <v>0.99</v>
      </c>
      <c r="K536">
        <v>0</v>
      </c>
    </row>
    <row r="537" spans="1:11" x14ac:dyDescent="0.2">
      <c r="A537">
        <v>66223</v>
      </c>
      <c r="B537">
        <v>1918</v>
      </c>
      <c r="C537" t="s">
        <v>4206</v>
      </c>
      <c r="D537">
        <v>8</v>
      </c>
      <c r="E537">
        <v>12</v>
      </c>
      <c r="F537">
        <v>755</v>
      </c>
      <c r="G537">
        <v>9058</v>
      </c>
      <c r="H537">
        <v>63</v>
      </c>
      <c r="I537">
        <v>12</v>
      </c>
      <c r="J537">
        <v>0.99</v>
      </c>
      <c r="K537">
        <v>8967.42</v>
      </c>
    </row>
    <row r="538" spans="1:11" x14ac:dyDescent="0.2">
      <c r="A538">
        <v>66201</v>
      </c>
      <c r="B538">
        <v>1921</v>
      </c>
      <c r="C538" t="s">
        <v>4207</v>
      </c>
      <c r="D538">
        <v>9</v>
      </c>
      <c r="E538">
        <v>15</v>
      </c>
      <c r="F538">
        <v>372</v>
      </c>
      <c r="G538">
        <v>5580</v>
      </c>
      <c r="H538">
        <v>32</v>
      </c>
      <c r="I538">
        <v>11.6</v>
      </c>
      <c r="J538">
        <v>0.99</v>
      </c>
      <c r="K538">
        <v>5524.2</v>
      </c>
    </row>
    <row r="539" spans="1:11" x14ac:dyDescent="0.2">
      <c r="A539">
        <v>72058</v>
      </c>
      <c r="B539">
        <v>1930</v>
      </c>
      <c r="C539" t="s">
        <v>4208</v>
      </c>
      <c r="D539">
        <v>8</v>
      </c>
      <c r="E539">
        <v>30</v>
      </c>
      <c r="F539">
        <v>566</v>
      </c>
      <c r="G539">
        <v>16980</v>
      </c>
      <c r="H539">
        <v>64</v>
      </c>
      <c r="I539">
        <v>8.8000000000000007</v>
      </c>
      <c r="J539">
        <v>3.7</v>
      </c>
      <c r="K539">
        <v>62826</v>
      </c>
    </row>
    <row r="540" spans="1:11" x14ac:dyDescent="0.2">
      <c r="A540">
        <v>57192</v>
      </c>
      <c r="B540">
        <v>1932</v>
      </c>
      <c r="C540" t="s">
        <v>4209</v>
      </c>
      <c r="D540">
        <v>10</v>
      </c>
      <c r="E540">
        <v>14</v>
      </c>
      <c r="F540">
        <v>0</v>
      </c>
      <c r="G540">
        <v>0</v>
      </c>
      <c r="H540">
        <v>64</v>
      </c>
      <c r="I540">
        <v>0</v>
      </c>
      <c r="J540">
        <v>0.8</v>
      </c>
      <c r="K540">
        <v>0</v>
      </c>
    </row>
    <row r="541" spans="1:11" x14ac:dyDescent="0.2">
      <c r="A541">
        <v>66179</v>
      </c>
      <c r="B541">
        <v>1933</v>
      </c>
      <c r="C541" t="s">
        <v>4210</v>
      </c>
      <c r="D541">
        <v>8</v>
      </c>
      <c r="E541">
        <v>28</v>
      </c>
      <c r="F541">
        <v>234</v>
      </c>
      <c r="G541">
        <v>6552</v>
      </c>
      <c r="H541">
        <v>40</v>
      </c>
      <c r="I541">
        <v>5.9</v>
      </c>
      <c r="J541">
        <v>1.1499999999999999</v>
      </c>
      <c r="K541">
        <v>7534.8</v>
      </c>
    </row>
    <row r="542" spans="1:11" x14ac:dyDescent="0.2">
      <c r="A542">
        <v>66171</v>
      </c>
      <c r="B542">
        <v>1936</v>
      </c>
      <c r="C542" t="s">
        <v>4211</v>
      </c>
      <c r="D542">
        <v>8</v>
      </c>
      <c r="E542">
        <v>20</v>
      </c>
      <c r="F542">
        <v>301</v>
      </c>
      <c r="G542">
        <v>6020</v>
      </c>
      <c r="H542">
        <v>24</v>
      </c>
      <c r="I542">
        <v>12.5</v>
      </c>
      <c r="J542">
        <v>0.55000000000000004</v>
      </c>
      <c r="K542">
        <v>3311</v>
      </c>
    </row>
    <row r="543" spans="1:11" x14ac:dyDescent="0.2">
      <c r="A543">
        <v>72078</v>
      </c>
      <c r="B543">
        <v>1937</v>
      </c>
      <c r="C543" t="s">
        <v>4212</v>
      </c>
      <c r="D543">
        <v>8</v>
      </c>
      <c r="E543">
        <v>24</v>
      </c>
      <c r="F543">
        <v>524</v>
      </c>
      <c r="G543">
        <v>12576</v>
      </c>
      <c r="H543">
        <v>90</v>
      </c>
      <c r="I543">
        <v>5.8</v>
      </c>
      <c r="J543">
        <v>0.69</v>
      </c>
      <c r="K543">
        <v>8677.44</v>
      </c>
    </row>
    <row r="544" spans="1:11" x14ac:dyDescent="0.2">
      <c r="A544">
        <v>0</v>
      </c>
      <c r="B544">
        <v>1940</v>
      </c>
      <c r="C544" t="s">
        <v>4213</v>
      </c>
      <c r="D544">
        <v>12</v>
      </c>
      <c r="E544">
        <v>10</v>
      </c>
      <c r="F544">
        <v>0</v>
      </c>
      <c r="G544">
        <v>0</v>
      </c>
      <c r="H544">
        <v>36</v>
      </c>
      <c r="I544">
        <v>0</v>
      </c>
      <c r="J544">
        <v>0.82</v>
      </c>
      <c r="K544">
        <v>0</v>
      </c>
    </row>
    <row r="545" spans="1:12" x14ac:dyDescent="0.2">
      <c r="A545">
        <v>95706</v>
      </c>
      <c r="B545">
        <v>1940</v>
      </c>
      <c r="C545" t="s">
        <v>4213</v>
      </c>
      <c r="D545">
        <v>8</v>
      </c>
      <c r="E545">
        <v>24</v>
      </c>
      <c r="F545">
        <v>409</v>
      </c>
      <c r="G545">
        <v>9816</v>
      </c>
      <c r="H545">
        <v>16</v>
      </c>
      <c r="I545">
        <v>25.6</v>
      </c>
      <c r="J545">
        <v>0.82</v>
      </c>
      <c r="K545">
        <v>8049.12</v>
      </c>
    </row>
    <row r="546" spans="1:12" x14ac:dyDescent="0.2">
      <c r="A546">
        <v>66193</v>
      </c>
      <c r="B546">
        <v>1944</v>
      </c>
      <c r="C546" t="s">
        <v>4214</v>
      </c>
      <c r="D546">
        <v>9</v>
      </c>
      <c r="E546">
        <v>20</v>
      </c>
      <c r="F546">
        <v>617</v>
      </c>
      <c r="G546">
        <v>12332</v>
      </c>
      <c r="H546">
        <v>28</v>
      </c>
      <c r="I546">
        <v>22</v>
      </c>
      <c r="J546">
        <v>0.99</v>
      </c>
      <c r="K546">
        <v>12208.68</v>
      </c>
    </row>
    <row r="547" spans="1:12" x14ac:dyDescent="0.2">
      <c r="B547">
        <v>1946</v>
      </c>
      <c r="C547" t="s">
        <v>4215</v>
      </c>
      <c r="D547">
        <v>11</v>
      </c>
      <c r="E547">
        <v>20</v>
      </c>
      <c r="F547">
        <v>14</v>
      </c>
      <c r="G547">
        <v>273</v>
      </c>
      <c r="H547">
        <v>28</v>
      </c>
      <c r="I547">
        <v>0.5</v>
      </c>
      <c r="J547">
        <v>0.89</v>
      </c>
      <c r="K547">
        <v>242.97</v>
      </c>
    </row>
    <row r="548" spans="1:12" x14ac:dyDescent="0.2">
      <c r="A548">
        <v>66204</v>
      </c>
      <c r="B548">
        <v>1949</v>
      </c>
      <c r="C548" t="s">
        <v>4216</v>
      </c>
      <c r="D548">
        <v>8</v>
      </c>
      <c r="E548">
        <v>20</v>
      </c>
      <c r="F548">
        <v>361</v>
      </c>
      <c r="G548">
        <v>7220</v>
      </c>
      <c r="H548">
        <v>28</v>
      </c>
      <c r="I548">
        <v>12.9</v>
      </c>
      <c r="J548">
        <v>1.0900000000000001</v>
      </c>
      <c r="K548">
        <v>7869.8</v>
      </c>
    </row>
    <row r="549" spans="1:12" x14ac:dyDescent="0.2">
      <c r="A549">
        <v>66215</v>
      </c>
      <c r="B549">
        <v>1950</v>
      </c>
      <c r="C549" t="s">
        <v>4217</v>
      </c>
      <c r="D549">
        <v>8</v>
      </c>
      <c r="E549">
        <v>18</v>
      </c>
      <c r="F549">
        <v>139</v>
      </c>
      <c r="G549">
        <v>2502</v>
      </c>
      <c r="H549">
        <v>24</v>
      </c>
      <c r="I549">
        <v>5.8</v>
      </c>
      <c r="J549">
        <v>1.49</v>
      </c>
      <c r="K549">
        <v>3727.98</v>
      </c>
    </row>
    <row r="550" spans="1:12" x14ac:dyDescent="0.2">
      <c r="A550">
        <v>66190</v>
      </c>
      <c r="B550">
        <v>1951</v>
      </c>
      <c r="C550" t="s">
        <v>4218</v>
      </c>
      <c r="D550">
        <v>8</v>
      </c>
      <c r="E550">
        <v>18</v>
      </c>
      <c r="F550">
        <v>74</v>
      </c>
      <c r="G550">
        <v>1332</v>
      </c>
      <c r="H550">
        <v>24</v>
      </c>
      <c r="I550">
        <v>3.1</v>
      </c>
      <c r="J550">
        <v>1.45</v>
      </c>
      <c r="K550">
        <v>1931.4</v>
      </c>
    </row>
    <row r="551" spans="1:12" x14ac:dyDescent="0.2">
      <c r="B551">
        <v>1960</v>
      </c>
      <c r="C551" t="s">
        <v>4219</v>
      </c>
      <c r="D551">
        <v>12</v>
      </c>
      <c r="E551">
        <v>15</v>
      </c>
      <c r="F551">
        <v>0</v>
      </c>
      <c r="G551">
        <v>0</v>
      </c>
      <c r="H551">
        <v>44</v>
      </c>
      <c r="I551">
        <v>0</v>
      </c>
      <c r="J551">
        <v>0.89</v>
      </c>
      <c r="K551">
        <v>0</v>
      </c>
    </row>
    <row r="552" spans="1:12" x14ac:dyDescent="0.2">
      <c r="A552">
        <v>67005</v>
      </c>
      <c r="B552">
        <v>1964</v>
      </c>
      <c r="C552" t="s">
        <v>4220</v>
      </c>
      <c r="D552">
        <v>8</v>
      </c>
      <c r="E552">
        <v>27</v>
      </c>
      <c r="F552">
        <v>643</v>
      </c>
      <c r="G552">
        <v>17361</v>
      </c>
      <c r="H552">
        <v>60</v>
      </c>
      <c r="I552">
        <v>10.7</v>
      </c>
      <c r="J552">
        <v>0.55000000000000004</v>
      </c>
      <c r="K552">
        <v>9548.5499999999993</v>
      </c>
    </row>
    <row r="553" spans="1:12" x14ac:dyDescent="0.2">
      <c r="A553">
        <v>83060</v>
      </c>
      <c r="B553">
        <v>1965</v>
      </c>
      <c r="C553" t="s">
        <v>4221</v>
      </c>
      <c r="D553">
        <v>8</v>
      </c>
      <c r="E553">
        <v>10</v>
      </c>
      <c r="F553">
        <v>181</v>
      </c>
      <c r="G553">
        <v>1810</v>
      </c>
      <c r="H553">
        <v>72</v>
      </c>
      <c r="I553">
        <v>2.5</v>
      </c>
      <c r="J553">
        <v>2.15</v>
      </c>
      <c r="K553">
        <v>3891.5</v>
      </c>
    </row>
    <row r="554" spans="1:12" x14ac:dyDescent="0.2">
      <c r="A554">
        <v>41500</v>
      </c>
      <c r="B554">
        <v>1973</v>
      </c>
      <c r="C554" t="s">
        <v>4222</v>
      </c>
      <c r="D554">
        <v>10</v>
      </c>
      <c r="E554">
        <v>8</v>
      </c>
      <c r="F554">
        <v>9</v>
      </c>
      <c r="G554">
        <v>72</v>
      </c>
      <c r="H554">
        <v>84</v>
      </c>
      <c r="I554">
        <v>0.1</v>
      </c>
      <c r="J554">
        <v>1.69</v>
      </c>
      <c r="K554">
        <v>121.68</v>
      </c>
    </row>
    <row r="555" spans="1:12" x14ac:dyDescent="0.2">
      <c r="A555">
        <v>99786</v>
      </c>
      <c r="B555">
        <v>1978</v>
      </c>
      <c r="C555" t="s">
        <v>4223</v>
      </c>
      <c r="D555">
        <v>11</v>
      </c>
      <c r="E555">
        <v>12</v>
      </c>
      <c r="F555">
        <v>0</v>
      </c>
      <c r="G555">
        <v>0</v>
      </c>
      <c r="H555">
        <v>70</v>
      </c>
      <c r="I555">
        <v>0</v>
      </c>
      <c r="J555">
        <v>3.8</v>
      </c>
      <c r="K555">
        <v>0</v>
      </c>
    </row>
    <row r="556" spans="1:12" x14ac:dyDescent="0.2">
      <c r="A556">
        <v>76169</v>
      </c>
      <c r="B556">
        <v>1983</v>
      </c>
      <c r="C556" t="s">
        <v>4224</v>
      </c>
      <c r="D556">
        <v>8</v>
      </c>
      <c r="E556">
        <v>16</v>
      </c>
      <c r="F556">
        <v>1550</v>
      </c>
      <c r="G556">
        <v>24800</v>
      </c>
      <c r="H556">
        <v>44</v>
      </c>
      <c r="I556">
        <v>35.200000000000003</v>
      </c>
      <c r="J556">
        <v>0.42</v>
      </c>
      <c r="K556">
        <v>10416</v>
      </c>
    </row>
    <row r="557" spans="1:12" x14ac:dyDescent="0.2">
      <c r="A557">
        <v>57599</v>
      </c>
      <c r="B557">
        <v>1988</v>
      </c>
      <c r="C557" t="s">
        <v>4225</v>
      </c>
      <c r="D557">
        <v>10</v>
      </c>
      <c r="E557">
        <v>8</v>
      </c>
      <c r="F557">
        <v>6</v>
      </c>
      <c r="G557">
        <v>48</v>
      </c>
      <c r="H557">
        <v>72</v>
      </c>
      <c r="I557">
        <v>0.1</v>
      </c>
      <c r="J557">
        <v>2.59</v>
      </c>
      <c r="K557">
        <v>124.32</v>
      </c>
    </row>
    <row r="558" spans="1:12" x14ac:dyDescent="0.2">
      <c r="A558">
        <v>29630</v>
      </c>
      <c r="B558">
        <v>1991</v>
      </c>
      <c r="C558" t="s">
        <v>4226</v>
      </c>
      <c r="D558">
        <v>12</v>
      </c>
      <c r="E558">
        <v>6</v>
      </c>
      <c r="F558">
        <v>0</v>
      </c>
      <c r="G558">
        <v>0</v>
      </c>
      <c r="H558">
        <v>100</v>
      </c>
      <c r="I558">
        <v>0</v>
      </c>
      <c r="J558">
        <v>2</v>
      </c>
      <c r="K558">
        <v>0</v>
      </c>
      <c r="L558" t="s">
        <v>3699</v>
      </c>
    </row>
    <row r="559" spans="1:12" x14ac:dyDescent="0.2">
      <c r="A559">
        <v>57538</v>
      </c>
      <c r="B559">
        <v>1992</v>
      </c>
      <c r="C559" t="s">
        <v>4227</v>
      </c>
      <c r="D559">
        <v>6</v>
      </c>
      <c r="E559">
        <v>63</v>
      </c>
      <c r="F559">
        <v>0</v>
      </c>
      <c r="G559">
        <v>0</v>
      </c>
      <c r="H559">
        <v>8</v>
      </c>
      <c r="I559">
        <v>0</v>
      </c>
      <c r="J559">
        <v>1.99</v>
      </c>
      <c r="K559">
        <v>0</v>
      </c>
    </row>
    <row r="560" spans="1:12" x14ac:dyDescent="0.2">
      <c r="B560">
        <v>2002</v>
      </c>
      <c r="C560" t="s">
        <v>4228</v>
      </c>
      <c r="D560">
        <v>11</v>
      </c>
      <c r="E560">
        <v>60</v>
      </c>
      <c r="F560">
        <v>0</v>
      </c>
      <c r="G560">
        <v>0</v>
      </c>
      <c r="H560">
        <v>136</v>
      </c>
      <c r="I560">
        <v>0</v>
      </c>
      <c r="J560">
        <v>0.45</v>
      </c>
      <c r="K560">
        <v>0</v>
      </c>
    </row>
    <row r="561" spans="1:11" x14ac:dyDescent="0.2">
      <c r="A561">
        <v>74245</v>
      </c>
      <c r="B561">
        <v>2005</v>
      </c>
      <c r="C561" t="s">
        <v>4229</v>
      </c>
      <c r="D561">
        <v>8</v>
      </c>
      <c r="E561">
        <v>42</v>
      </c>
      <c r="F561">
        <v>935</v>
      </c>
      <c r="G561">
        <v>39270</v>
      </c>
      <c r="H561">
        <v>96</v>
      </c>
      <c r="I561">
        <v>9.6999999999999993</v>
      </c>
      <c r="J561">
        <v>0.79</v>
      </c>
      <c r="K561">
        <v>31023.3</v>
      </c>
    </row>
    <row r="562" spans="1:11" x14ac:dyDescent="0.2">
      <c r="B562">
        <v>2006</v>
      </c>
      <c r="C562" t="s">
        <v>4230</v>
      </c>
      <c r="D562">
        <v>11</v>
      </c>
      <c r="E562">
        <v>24</v>
      </c>
      <c r="F562">
        <v>-15</v>
      </c>
      <c r="G562">
        <v>-360</v>
      </c>
      <c r="H562">
        <v>72</v>
      </c>
      <c r="I562">
        <v>-0.2</v>
      </c>
      <c r="J562">
        <v>1.49</v>
      </c>
      <c r="K562">
        <v>-536.4</v>
      </c>
    </row>
    <row r="563" spans="1:11" x14ac:dyDescent="0.2">
      <c r="A563">
        <v>74184</v>
      </c>
      <c r="B563">
        <v>2007</v>
      </c>
      <c r="C563" t="s">
        <v>4231</v>
      </c>
      <c r="D563">
        <v>8</v>
      </c>
      <c r="E563">
        <v>18</v>
      </c>
      <c r="F563">
        <v>310</v>
      </c>
      <c r="G563">
        <v>5580</v>
      </c>
      <c r="H563">
        <v>60</v>
      </c>
      <c r="I563">
        <v>5.2</v>
      </c>
      <c r="J563">
        <v>2.69</v>
      </c>
      <c r="K563">
        <v>15010.2</v>
      </c>
    </row>
    <row r="564" spans="1:11" x14ac:dyDescent="0.2">
      <c r="B564">
        <v>2016</v>
      </c>
      <c r="C564" t="s">
        <v>4232</v>
      </c>
      <c r="D564">
        <v>11</v>
      </c>
      <c r="E564">
        <v>56</v>
      </c>
      <c r="F564">
        <v>0</v>
      </c>
      <c r="G564">
        <v>0</v>
      </c>
      <c r="H564">
        <v>136</v>
      </c>
      <c r="I564">
        <v>0</v>
      </c>
      <c r="J564">
        <v>0.75</v>
      </c>
      <c r="K564">
        <v>0</v>
      </c>
    </row>
    <row r="565" spans="1:11" x14ac:dyDescent="0.2">
      <c r="A565">
        <v>0</v>
      </c>
      <c r="B565">
        <v>2029</v>
      </c>
      <c r="C565" t="s">
        <v>4233</v>
      </c>
      <c r="D565">
        <v>11</v>
      </c>
      <c r="E565">
        <v>69</v>
      </c>
      <c r="F565">
        <v>0</v>
      </c>
      <c r="G565">
        <v>0</v>
      </c>
      <c r="H565">
        <v>60</v>
      </c>
      <c r="I565">
        <v>0</v>
      </c>
      <c r="J565">
        <v>1.25</v>
      </c>
      <c r="K565">
        <v>0</v>
      </c>
    </row>
    <row r="566" spans="1:11" x14ac:dyDescent="0.2">
      <c r="A566">
        <v>74210</v>
      </c>
      <c r="B566">
        <v>2033</v>
      </c>
      <c r="C566" t="s">
        <v>4234</v>
      </c>
      <c r="D566">
        <v>8</v>
      </c>
      <c r="E566">
        <v>28</v>
      </c>
      <c r="F566">
        <v>164</v>
      </c>
      <c r="G566">
        <v>4592</v>
      </c>
      <c r="H566">
        <v>64</v>
      </c>
      <c r="I566">
        <v>2.6</v>
      </c>
      <c r="J566">
        <v>2.62</v>
      </c>
      <c r="K566">
        <v>12031.04</v>
      </c>
    </row>
    <row r="567" spans="1:11" x14ac:dyDescent="0.2">
      <c r="B567">
        <v>2035</v>
      </c>
      <c r="C567" t="s">
        <v>4235</v>
      </c>
      <c r="D567">
        <v>10</v>
      </c>
      <c r="E567">
        <v>30</v>
      </c>
      <c r="F567">
        <v>-3</v>
      </c>
      <c r="G567">
        <v>-90</v>
      </c>
      <c r="H567">
        <v>48</v>
      </c>
      <c r="I567">
        <v>-0.1</v>
      </c>
      <c r="J567">
        <v>0.95</v>
      </c>
      <c r="K567">
        <v>-85.5</v>
      </c>
    </row>
    <row r="568" spans="1:11" x14ac:dyDescent="0.2">
      <c r="A568">
        <v>74186</v>
      </c>
      <c r="B568">
        <v>2038</v>
      </c>
      <c r="C568" t="s">
        <v>4236</v>
      </c>
      <c r="D568">
        <v>8</v>
      </c>
      <c r="E568">
        <v>25</v>
      </c>
      <c r="F568">
        <v>117</v>
      </c>
      <c r="G568">
        <v>2925</v>
      </c>
      <c r="H568">
        <v>56</v>
      </c>
      <c r="I568">
        <v>2.1</v>
      </c>
      <c r="J568">
        <v>0.78</v>
      </c>
      <c r="K568">
        <v>2281.5</v>
      </c>
    </row>
    <row r="569" spans="1:11" x14ac:dyDescent="0.2">
      <c r="A569">
        <v>74179</v>
      </c>
      <c r="B569">
        <v>2040</v>
      </c>
      <c r="C569" t="s">
        <v>4237</v>
      </c>
      <c r="D569">
        <v>8</v>
      </c>
      <c r="E569">
        <v>24</v>
      </c>
      <c r="F569">
        <v>181</v>
      </c>
      <c r="G569">
        <v>4344</v>
      </c>
      <c r="H569">
        <v>88</v>
      </c>
      <c r="I569">
        <v>2.1</v>
      </c>
      <c r="J569">
        <v>2.09</v>
      </c>
      <c r="K569">
        <v>9078.9599999999991</v>
      </c>
    </row>
    <row r="570" spans="1:11" x14ac:dyDescent="0.2">
      <c r="A570">
        <v>74243</v>
      </c>
      <c r="B570">
        <v>2042</v>
      </c>
      <c r="C570" t="s">
        <v>4228</v>
      </c>
      <c r="D570">
        <v>8</v>
      </c>
      <c r="E570">
        <v>20</v>
      </c>
      <c r="F570">
        <v>132</v>
      </c>
      <c r="G570">
        <v>2640</v>
      </c>
      <c r="H570">
        <v>96</v>
      </c>
      <c r="I570">
        <v>1.4</v>
      </c>
      <c r="J570">
        <v>2.19</v>
      </c>
      <c r="K570">
        <v>5781.6</v>
      </c>
    </row>
    <row r="571" spans="1:11" x14ac:dyDescent="0.2">
      <c r="A571">
        <v>74217</v>
      </c>
      <c r="B571">
        <v>2045</v>
      </c>
      <c r="C571" t="s">
        <v>4238</v>
      </c>
      <c r="D571">
        <v>8</v>
      </c>
      <c r="E571">
        <v>19</v>
      </c>
      <c r="F571">
        <v>577</v>
      </c>
      <c r="G571">
        <v>10963</v>
      </c>
      <c r="H571">
        <v>120</v>
      </c>
      <c r="I571">
        <v>4.8</v>
      </c>
      <c r="J571">
        <v>1.85</v>
      </c>
      <c r="K571">
        <v>20281.55</v>
      </c>
    </row>
    <row r="572" spans="1:11" x14ac:dyDescent="0.2">
      <c r="B572">
        <v>2048</v>
      </c>
      <c r="C572" t="s">
        <v>4239</v>
      </c>
      <c r="D572">
        <v>12</v>
      </c>
      <c r="E572">
        <v>18</v>
      </c>
      <c r="F572">
        <v>0</v>
      </c>
      <c r="G572">
        <v>0</v>
      </c>
      <c r="H572">
        <v>90</v>
      </c>
      <c r="I572">
        <v>0</v>
      </c>
      <c r="J572">
        <v>1.89</v>
      </c>
      <c r="K572">
        <v>0</v>
      </c>
    </row>
    <row r="573" spans="1:11" x14ac:dyDescent="0.2">
      <c r="A573">
        <v>74014</v>
      </c>
      <c r="B573">
        <v>2050</v>
      </c>
      <c r="C573" t="s">
        <v>4240</v>
      </c>
      <c r="D573">
        <v>8</v>
      </c>
      <c r="E573">
        <v>12</v>
      </c>
      <c r="F573">
        <v>485</v>
      </c>
      <c r="G573">
        <v>5820</v>
      </c>
      <c r="H573">
        <v>72</v>
      </c>
      <c r="I573">
        <v>6.7</v>
      </c>
      <c r="J573">
        <v>1.25</v>
      </c>
      <c r="K573">
        <v>7275</v>
      </c>
    </row>
    <row r="574" spans="1:11" x14ac:dyDescent="0.2">
      <c r="A574">
        <v>74201</v>
      </c>
      <c r="B574">
        <v>2054</v>
      </c>
      <c r="C574" t="s">
        <v>4241</v>
      </c>
      <c r="D574">
        <v>8</v>
      </c>
      <c r="E574">
        <v>20</v>
      </c>
      <c r="F574">
        <v>343</v>
      </c>
      <c r="G574">
        <v>6859</v>
      </c>
      <c r="H574">
        <v>80</v>
      </c>
      <c r="I574">
        <v>4.3</v>
      </c>
      <c r="J574">
        <v>1.99</v>
      </c>
      <c r="K574">
        <v>13649.41</v>
      </c>
    </row>
    <row r="575" spans="1:11" x14ac:dyDescent="0.2">
      <c r="A575">
        <v>72019</v>
      </c>
      <c r="B575">
        <v>2055</v>
      </c>
      <c r="C575" t="s">
        <v>4242</v>
      </c>
      <c r="D575">
        <v>8</v>
      </c>
      <c r="E575">
        <v>14</v>
      </c>
      <c r="F575">
        <v>148</v>
      </c>
      <c r="G575">
        <v>2072</v>
      </c>
      <c r="H575">
        <v>48</v>
      </c>
      <c r="I575">
        <v>3.1</v>
      </c>
      <c r="J575">
        <v>3.09</v>
      </c>
      <c r="K575">
        <v>6402.48</v>
      </c>
    </row>
    <row r="576" spans="1:11" x14ac:dyDescent="0.2">
      <c r="B576">
        <v>2055</v>
      </c>
      <c r="C576" t="s">
        <v>4242</v>
      </c>
      <c r="D576">
        <v>12</v>
      </c>
      <c r="E576">
        <v>16</v>
      </c>
      <c r="F576">
        <v>-2</v>
      </c>
      <c r="G576">
        <v>-32</v>
      </c>
      <c r="H576">
        <v>48</v>
      </c>
      <c r="I576">
        <v>0</v>
      </c>
      <c r="J576">
        <v>3.09</v>
      </c>
      <c r="K576">
        <v>-98.88</v>
      </c>
    </row>
    <row r="577" spans="1:11" x14ac:dyDescent="0.2">
      <c r="A577">
        <v>76014</v>
      </c>
      <c r="B577">
        <v>2057</v>
      </c>
      <c r="C577" t="s">
        <v>4243</v>
      </c>
      <c r="D577">
        <v>8</v>
      </c>
      <c r="E577">
        <v>18</v>
      </c>
      <c r="F577">
        <v>191</v>
      </c>
      <c r="G577">
        <v>3438</v>
      </c>
      <c r="H577">
        <v>80</v>
      </c>
      <c r="I577">
        <v>2.4</v>
      </c>
      <c r="J577">
        <v>2.69</v>
      </c>
      <c r="K577">
        <v>9248.2199999999993</v>
      </c>
    </row>
    <row r="578" spans="1:11" x14ac:dyDescent="0.2">
      <c r="A578">
        <v>72012</v>
      </c>
      <c r="B578">
        <v>2058</v>
      </c>
      <c r="C578" t="s">
        <v>4244</v>
      </c>
      <c r="D578">
        <v>8</v>
      </c>
      <c r="E578">
        <v>16</v>
      </c>
      <c r="F578">
        <v>59</v>
      </c>
      <c r="G578">
        <v>944</v>
      </c>
      <c r="H578">
        <v>72</v>
      </c>
      <c r="I578">
        <v>0.8</v>
      </c>
      <c r="J578">
        <v>1.6</v>
      </c>
      <c r="K578">
        <v>1510.4</v>
      </c>
    </row>
    <row r="579" spans="1:11" x14ac:dyDescent="0.2">
      <c r="B579">
        <v>2069</v>
      </c>
      <c r="C579" t="s">
        <v>4245</v>
      </c>
      <c r="D579">
        <v>11</v>
      </c>
      <c r="E579">
        <v>60</v>
      </c>
      <c r="F579">
        <v>0</v>
      </c>
      <c r="G579">
        <v>0</v>
      </c>
      <c r="H579">
        <v>120</v>
      </c>
      <c r="I579">
        <v>0</v>
      </c>
      <c r="J579">
        <v>2.15</v>
      </c>
      <c r="K579">
        <v>0</v>
      </c>
    </row>
    <row r="580" spans="1:11" x14ac:dyDescent="0.2">
      <c r="B580">
        <v>2072</v>
      </c>
      <c r="C580" t="s">
        <v>4246</v>
      </c>
      <c r="D580">
        <v>11</v>
      </c>
      <c r="E580">
        <v>30</v>
      </c>
      <c r="F580">
        <v>0</v>
      </c>
      <c r="G580">
        <v>0</v>
      </c>
      <c r="H580">
        <v>300</v>
      </c>
      <c r="I580">
        <v>0</v>
      </c>
      <c r="J580">
        <v>2.0099999999999998</v>
      </c>
      <c r="K580">
        <v>0</v>
      </c>
    </row>
    <row r="581" spans="1:11" x14ac:dyDescent="0.2">
      <c r="A581">
        <v>72034</v>
      </c>
      <c r="B581">
        <v>2078</v>
      </c>
      <c r="C581" t="s">
        <v>4247</v>
      </c>
      <c r="D581">
        <v>8</v>
      </c>
      <c r="E581">
        <v>30</v>
      </c>
      <c r="F581">
        <v>464</v>
      </c>
      <c r="G581">
        <v>13920</v>
      </c>
      <c r="H581">
        <v>64</v>
      </c>
      <c r="I581">
        <v>7.3</v>
      </c>
      <c r="J581">
        <v>0.99</v>
      </c>
      <c r="K581">
        <v>13780.8</v>
      </c>
    </row>
    <row r="582" spans="1:11" x14ac:dyDescent="0.2">
      <c r="A582">
        <v>72028</v>
      </c>
      <c r="B582">
        <v>2080</v>
      </c>
      <c r="C582" t="s">
        <v>4248</v>
      </c>
      <c r="D582">
        <v>8</v>
      </c>
      <c r="E582">
        <v>30</v>
      </c>
      <c r="F582">
        <v>231</v>
      </c>
      <c r="G582">
        <v>6930</v>
      </c>
      <c r="H582">
        <v>64</v>
      </c>
      <c r="I582">
        <v>3.6</v>
      </c>
      <c r="J582">
        <v>1.04</v>
      </c>
      <c r="K582">
        <v>7207.2</v>
      </c>
    </row>
    <row r="583" spans="1:11" x14ac:dyDescent="0.2">
      <c r="B583">
        <v>2084</v>
      </c>
      <c r="C583" t="s">
        <v>4249</v>
      </c>
      <c r="D583">
        <v>10</v>
      </c>
      <c r="E583">
        <v>1</v>
      </c>
      <c r="F583">
        <v>0</v>
      </c>
      <c r="G583">
        <v>0</v>
      </c>
      <c r="H583">
        <v>50</v>
      </c>
      <c r="I583">
        <v>0</v>
      </c>
      <c r="J583">
        <v>0.49</v>
      </c>
      <c r="K583">
        <v>0</v>
      </c>
    </row>
    <row r="584" spans="1:11" x14ac:dyDescent="0.2">
      <c r="A584">
        <v>20680</v>
      </c>
      <c r="B584">
        <v>2085</v>
      </c>
      <c r="C584" t="s">
        <v>4250</v>
      </c>
      <c r="D584">
        <v>10</v>
      </c>
      <c r="E584">
        <v>1</v>
      </c>
      <c r="F584">
        <v>0</v>
      </c>
      <c r="G584">
        <v>0</v>
      </c>
      <c r="H584">
        <v>50</v>
      </c>
      <c r="I584">
        <v>0</v>
      </c>
      <c r="J584">
        <v>0.49</v>
      </c>
      <c r="K584">
        <v>0</v>
      </c>
    </row>
    <row r="585" spans="1:11" x14ac:dyDescent="0.2">
      <c r="B585">
        <v>2086</v>
      </c>
      <c r="C585" t="s">
        <v>4249</v>
      </c>
      <c r="D585">
        <v>10</v>
      </c>
      <c r="E585">
        <v>1</v>
      </c>
      <c r="F585">
        <v>0</v>
      </c>
      <c r="G585">
        <v>0</v>
      </c>
      <c r="H585">
        <v>50</v>
      </c>
      <c r="I585">
        <v>0</v>
      </c>
      <c r="J585">
        <v>0.79</v>
      </c>
      <c r="K585">
        <v>0</v>
      </c>
    </row>
    <row r="586" spans="1:11" x14ac:dyDescent="0.2">
      <c r="B586">
        <v>2087</v>
      </c>
      <c r="C586" t="s">
        <v>4250</v>
      </c>
      <c r="D586">
        <v>10</v>
      </c>
      <c r="E586">
        <v>1</v>
      </c>
      <c r="F586">
        <v>0</v>
      </c>
      <c r="G586">
        <v>0</v>
      </c>
      <c r="H586">
        <v>50</v>
      </c>
      <c r="I586">
        <v>0</v>
      </c>
      <c r="J586">
        <v>0.99</v>
      </c>
      <c r="K586">
        <v>0</v>
      </c>
    </row>
    <row r="587" spans="1:11" x14ac:dyDescent="0.2">
      <c r="A587">
        <v>74025</v>
      </c>
      <c r="B587">
        <v>2091</v>
      </c>
      <c r="C587" t="s">
        <v>4251</v>
      </c>
      <c r="D587">
        <v>8</v>
      </c>
      <c r="E587">
        <v>15</v>
      </c>
      <c r="F587">
        <v>305</v>
      </c>
      <c r="G587">
        <v>4575</v>
      </c>
      <c r="H587">
        <v>96</v>
      </c>
      <c r="I587">
        <v>3.2</v>
      </c>
      <c r="J587">
        <v>0.99</v>
      </c>
      <c r="K587">
        <v>4529.25</v>
      </c>
    </row>
    <row r="588" spans="1:11" x14ac:dyDescent="0.2">
      <c r="B588">
        <v>2094</v>
      </c>
      <c r="C588" t="s">
        <v>3800</v>
      </c>
      <c r="D588">
        <v>11</v>
      </c>
      <c r="E588">
        <v>6</v>
      </c>
      <c r="F588">
        <v>0</v>
      </c>
      <c r="G588">
        <v>0</v>
      </c>
      <c r="H588">
        <v>108</v>
      </c>
      <c r="I588">
        <v>0</v>
      </c>
      <c r="J588">
        <v>1.59</v>
      </c>
      <c r="K588">
        <v>0</v>
      </c>
    </row>
    <row r="589" spans="1:11" x14ac:dyDescent="0.2">
      <c r="A589">
        <v>57568</v>
      </c>
      <c r="B589">
        <v>2095</v>
      </c>
      <c r="C589" t="s">
        <v>4252</v>
      </c>
      <c r="D589">
        <v>10</v>
      </c>
      <c r="E589">
        <v>32</v>
      </c>
      <c r="F589">
        <v>2</v>
      </c>
      <c r="G589">
        <v>52</v>
      </c>
      <c r="H589">
        <v>24</v>
      </c>
      <c r="I589">
        <v>0.1</v>
      </c>
      <c r="J589">
        <v>1</v>
      </c>
      <c r="K589">
        <v>52</v>
      </c>
    </row>
    <row r="590" spans="1:11" x14ac:dyDescent="0.2">
      <c r="A590">
        <v>71076</v>
      </c>
      <c r="B590">
        <v>2097</v>
      </c>
      <c r="C590" t="s">
        <v>4253</v>
      </c>
      <c r="D590">
        <v>8</v>
      </c>
      <c r="E590">
        <v>3</v>
      </c>
      <c r="F590">
        <v>902</v>
      </c>
      <c r="G590">
        <v>2705</v>
      </c>
      <c r="H590">
        <v>80</v>
      </c>
      <c r="I590">
        <v>11.3</v>
      </c>
      <c r="J590">
        <v>4.05</v>
      </c>
      <c r="K590">
        <v>10955.25</v>
      </c>
    </row>
    <row r="591" spans="1:11" x14ac:dyDescent="0.2">
      <c r="A591">
        <v>71087</v>
      </c>
      <c r="B591">
        <v>2098</v>
      </c>
      <c r="C591" t="s">
        <v>4254</v>
      </c>
      <c r="D591">
        <v>8</v>
      </c>
      <c r="E591">
        <v>3</v>
      </c>
      <c r="F591">
        <v>1640</v>
      </c>
      <c r="G591">
        <v>4919</v>
      </c>
      <c r="H591">
        <v>80</v>
      </c>
      <c r="I591">
        <v>20.5</v>
      </c>
      <c r="J591">
        <v>3.89</v>
      </c>
      <c r="K591">
        <v>19134.91</v>
      </c>
    </row>
    <row r="592" spans="1:11" x14ac:dyDescent="0.2">
      <c r="A592">
        <v>71096</v>
      </c>
      <c r="B592">
        <v>2099</v>
      </c>
      <c r="C592" t="s">
        <v>4255</v>
      </c>
      <c r="D592">
        <v>8</v>
      </c>
      <c r="E592">
        <v>3</v>
      </c>
      <c r="F592">
        <v>976</v>
      </c>
      <c r="G592">
        <v>2928</v>
      </c>
      <c r="H592">
        <v>80</v>
      </c>
      <c r="I592">
        <v>12.2</v>
      </c>
      <c r="J592">
        <v>3.79</v>
      </c>
      <c r="K592">
        <v>11097.12</v>
      </c>
    </row>
    <row r="593" spans="1:11" x14ac:dyDescent="0.2">
      <c r="B593">
        <v>2102</v>
      </c>
      <c r="C593" t="s">
        <v>4256</v>
      </c>
      <c r="D593">
        <v>11</v>
      </c>
      <c r="E593">
        <v>18</v>
      </c>
      <c r="F593">
        <v>0</v>
      </c>
      <c r="G593">
        <v>0</v>
      </c>
      <c r="H593">
        <v>90</v>
      </c>
      <c r="I593">
        <v>0</v>
      </c>
      <c r="J593">
        <v>2.29</v>
      </c>
      <c r="K593">
        <v>0</v>
      </c>
    </row>
    <row r="594" spans="1:11" x14ac:dyDescent="0.2">
      <c r="A594">
        <v>73118</v>
      </c>
      <c r="B594">
        <v>2104</v>
      </c>
      <c r="C594" t="s">
        <v>4257</v>
      </c>
      <c r="D594">
        <v>8</v>
      </c>
      <c r="E594">
        <v>16</v>
      </c>
      <c r="F594">
        <v>130</v>
      </c>
      <c r="G594">
        <v>2078</v>
      </c>
      <c r="H594">
        <v>130</v>
      </c>
      <c r="I594">
        <v>1</v>
      </c>
      <c r="J594">
        <v>1.65</v>
      </c>
      <c r="K594">
        <v>3428.7</v>
      </c>
    </row>
    <row r="595" spans="1:11" x14ac:dyDescent="0.2">
      <c r="B595">
        <v>2108</v>
      </c>
      <c r="C595" t="s">
        <v>4258</v>
      </c>
      <c r="D595">
        <v>10</v>
      </c>
      <c r="E595">
        <v>10</v>
      </c>
      <c r="F595">
        <v>-10</v>
      </c>
      <c r="G595">
        <v>-100</v>
      </c>
      <c r="H595">
        <v>56</v>
      </c>
      <c r="I595">
        <v>-0.2</v>
      </c>
      <c r="J595">
        <v>2.19</v>
      </c>
      <c r="K595">
        <v>-219</v>
      </c>
    </row>
    <row r="596" spans="1:11" x14ac:dyDescent="0.2">
      <c r="A596">
        <v>73120</v>
      </c>
      <c r="B596">
        <v>2111</v>
      </c>
      <c r="C596" t="s">
        <v>4259</v>
      </c>
      <c r="D596">
        <v>8</v>
      </c>
      <c r="E596">
        <v>16</v>
      </c>
      <c r="F596">
        <v>116</v>
      </c>
      <c r="G596">
        <v>1856</v>
      </c>
      <c r="H596">
        <v>130</v>
      </c>
      <c r="I596">
        <v>0.9</v>
      </c>
      <c r="J596">
        <v>1.65</v>
      </c>
      <c r="K596">
        <v>3062.4</v>
      </c>
    </row>
    <row r="597" spans="1:11" x14ac:dyDescent="0.2">
      <c r="A597">
        <v>73219</v>
      </c>
      <c r="B597">
        <v>2113</v>
      </c>
      <c r="C597" t="s">
        <v>4260</v>
      </c>
      <c r="D597">
        <v>8</v>
      </c>
      <c r="E597">
        <v>24</v>
      </c>
      <c r="F597">
        <v>243</v>
      </c>
      <c r="G597">
        <v>5832</v>
      </c>
      <c r="H597">
        <v>63</v>
      </c>
      <c r="I597">
        <v>3.9</v>
      </c>
      <c r="J597">
        <v>0.89</v>
      </c>
      <c r="K597">
        <v>5190.4799999999996</v>
      </c>
    </row>
    <row r="598" spans="1:11" x14ac:dyDescent="0.2">
      <c r="B598">
        <v>2115</v>
      </c>
      <c r="C598" t="s">
        <v>4261</v>
      </c>
      <c r="D598">
        <v>11</v>
      </c>
      <c r="E598">
        <v>24</v>
      </c>
      <c r="F598">
        <v>0</v>
      </c>
      <c r="G598">
        <v>0</v>
      </c>
      <c r="H598">
        <v>63</v>
      </c>
      <c r="I598">
        <v>0</v>
      </c>
      <c r="J598">
        <v>0.85</v>
      </c>
      <c r="K598">
        <v>0</v>
      </c>
    </row>
    <row r="599" spans="1:11" x14ac:dyDescent="0.2">
      <c r="A599">
        <v>91015</v>
      </c>
      <c r="B599">
        <v>2119</v>
      </c>
      <c r="C599" t="s">
        <v>4262</v>
      </c>
      <c r="D599">
        <v>8</v>
      </c>
      <c r="E599">
        <v>1</v>
      </c>
      <c r="F599">
        <v>996</v>
      </c>
      <c r="G599">
        <v>996</v>
      </c>
      <c r="H599">
        <v>80</v>
      </c>
      <c r="I599">
        <v>12.5</v>
      </c>
      <c r="J599">
        <v>2.79</v>
      </c>
      <c r="K599">
        <v>2778.84</v>
      </c>
    </row>
    <row r="600" spans="1:11" x14ac:dyDescent="0.2">
      <c r="A600">
        <v>73226</v>
      </c>
      <c r="B600">
        <v>2126</v>
      </c>
      <c r="C600" t="s">
        <v>4263</v>
      </c>
      <c r="D600">
        <v>8</v>
      </c>
      <c r="E600">
        <v>24</v>
      </c>
      <c r="F600">
        <v>180</v>
      </c>
      <c r="G600">
        <v>4328</v>
      </c>
      <c r="H600">
        <v>63</v>
      </c>
      <c r="I600">
        <v>2.9</v>
      </c>
      <c r="J600">
        <v>0.79</v>
      </c>
      <c r="K600">
        <v>3419.12</v>
      </c>
    </row>
    <row r="601" spans="1:11" x14ac:dyDescent="0.2">
      <c r="B601">
        <v>2132</v>
      </c>
      <c r="C601" t="s">
        <v>4264</v>
      </c>
      <c r="D601">
        <v>10</v>
      </c>
      <c r="E601">
        <v>12</v>
      </c>
      <c r="F601">
        <v>0</v>
      </c>
      <c r="G601">
        <v>0</v>
      </c>
      <c r="H601">
        <v>99</v>
      </c>
      <c r="I601">
        <v>0</v>
      </c>
      <c r="J601">
        <v>1.79</v>
      </c>
      <c r="K601">
        <v>0</v>
      </c>
    </row>
    <row r="602" spans="1:11" x14ac:dyDescent="0.2">
      <c r="A602">
        <v>73151</v>
      </c>
      <c r="B602">
        <v>2133</v>
      </c>
      <c r="C602" t="s">
        <v>4265</v>
      </c>
      <c r="D602">
        <v>8</v>
      </c>
      <c r="E602">
        <v>8</v>
      </c>
      <c r="F602">
        <v>418</v>
      </c>
      <c r="G602">
        <v>3344</v>
      </c>
      <c r="H602">
        <v>130</v>
      </c>
      <c r="I602">
        <v>3.2</v>
      </c>
      <c r="J602">
        <v>2.85</v>
      </c>
      <c r="K602">
        <v>9530.4</v>
      </c>
    </row>
    <row r="603" spans="1:11" x14ac:dyDescent="0.2">
      <c r="A603">
        <v>0</v>
      </c>
      <c r="B603">
        <v>2137</v>
      </c>
      <c r="C603" t="s">
        <v>4266</v>
      </c>
      <c r="D603">
        <v>11</v>
      </c>
      <c r="E603">
        <v>12</v>
      </c>
      <c r="F603">
        <v>1</v>
      </c>
      <c r="G603">
        <v>12</v>
      </c>
      <c r="H603">
        <v>96</v>
      </c>
      <c r="I603">
        <v>0</v>
      </c>
      <c r="J603">
        <v>2.39</v>
      </c>
      <c r="K603">
        <v>28.68</v>
      </c>
    </row>
    <row r="604" spans="1:11" x14ac:dyDescent="0.2">
      <c r="A604">
        <v>73082</v>
      </c>
      <c r="B604">
        <v>2147</v>
      </c>
      <c r="C604" t="s">
        <v>4267</v>
      </c>
      <c r="D604">
        <v>8</v>
      </c>
      <c r="E604">
        <v>8</v>
      </c>
      <c r="F604">
        <v>618</v>
      </c>
      <c r="G604">
        <v>4941</v>
      </c>
      <c r="H604">
        <v>120</v>
      </c>
      <c r="I604">
        <v>5.0999999999999996</v>
      </c>
      <c r="J604">
        <v>5.25</v>
      </c>
      <c r="K604">
        <v>25940.25</v>
      </c>
    </row>
    <row r="605" spans="1:11" x14ac:dyDescent="0.2">
      <c r="A605">
        <v>73094</v>
      </c>
      <c r="B605">
        <v>2148</v>
      </c>
      <c r="C605" t="s">
        <v>4268</v>
      </c>
      <c r="D605">
        <v>8</v>
      </c>
      <c r="E605">
        <v>8</v>
      </c>
      <c r="F605">
        <v>344</v>
      </c>
      <c r="G605">
        <v>2752</v>
      </c>
      <c r="H605">
        <v>60</v>
      </c>
      <c r="I605">
        <v>5.7</v>
      </c>
      <c r="J605">
        <v>6.25</v>
      </c>
      <c r="K605">
        <v>17200</v>
      </c>
    </row>
    <row r="606" spans="1:11" x14ac:dyDescent="0.2">
      <c r="A606">
        <v>73147</v>
      </c>
      <c r="B606">
        <v>2150</v>
      </c>
      <c r="C606" t="s">
        <v>4269</v>
      </c>
      <c r="D606">
        <v>8</v>
      </c>
      <c r="E606">
        <v>10</v>
      </c>
      <c r="F606">
        <v>609</v>
      </c>
      <c r="G606">
        <v>6090</v>
      </c>
      <c r="H606">
        <v>88</v>
      </c>
      <c r="I606">
        <v>6.9</v>
      </c>
      <c r="J606">
        <v>3.25</v>
      </c>
      <c r="K606">
        <v>19792.5</v>
      </c>
    </row>
    <row r="607" spans="1:11" x14ac:dyDescent="0.2">
      <c r="A607">
        <v>73127</v>
      </c>
      <c r="B607">
        <v>2151</v>
      </c>
      <c r="C607" t="s">
        <v>4270</v>
      </c>
      <c r="D607">
        <v>8</v>
      </c>
      <c r="E607">
        <v>10</v>
      </c>
      <c r="F607">
        <v>1187</v>
      </c>
      <c r="G607">
        <v>11870</v>
      </c>
      <c r="H607">
        <v>88</v>
      </c>
      <c r="I607">
        <v>13.5</v>
      </c>
      <c r="J607">
        <v>3.25</v>
      </c>
      <c r="K607">
        <v>38577.5</v>
      </c>
    </row>
    <row r="608" spans="1:11" x14ac:dyDescent="0.2">
      <c r="A608">
        <v>73111</v>
      </c>
      <c r="B608">
        <v>2153</v>
      </c>
      <c r="C608" t="s">
        <v>4271</v>
      </c>
      <c r="D608">
        <v>8</v>
      </c>
      <c r="E608">
        <v>10</v>
      </c>
      <c r="F608">
        <v>398</v>
      </c>
      <c r="G608">
        <v>3980</v>
      </c>
      <c r="H608">
        <v>72</v>
      </c>
      <c r="I608">
        <v>5.5</v>
      </c>
      <c r="J608">
        <v>3.35</v>
      </c>
      <c r="K608">
        <v>13333</v>
      </c>
    </row>
    <row r="609" spans="1:11" x14ac:dyDescent="0.2">
      <c r="A609">
        <v>57405</v>
      </c>
      <c r="B609">
        <v>2163</v>
      </c>
      <c r="C609" t="s">
        <v>4272</v>
      </c>
      <c r="D609">
        <v>10</v>
      </c>
      <c r="E609">
        <v>1</v>
      </c>
      <c r="F609">
        <v>0</v>
      </c>
      <c r="G609">
        <v>0</v>
      </c>
      <c r="H609">
        <v>4</v>
      </c>
      <c r="I609">
        <v>0</v>
      </c>
      <c r="J609">
        <v>1</v>
      </c>
      <c r="K609">
        <v>0</v>
      </c>
    </row>
    <row r="610" spans="1:11" x14ac:dyDescent="0.2">
      <c r="A610">
        <v>57406</v>
      </c>
      <c r="B610">
        <v>2165</v>
      </c>
      <c r="C610" t="s">
        <v>4273</v>
      </c>
      <c r="D610">
        <v>10</v>
      </c>
      <c r="E610">
        <v>1</v>
      </c>
      <c r="F610">
        <v>0</v>
      </c>
      <c r="G610">
        <v>0</v>
      </c>
      <c r="H610">
        <v>4</v>
      </c>
      <c r="I610">
        <v>0</v>
      </c>
      <c r="J610">
        <v>1</v>
      </c>
      <c r="K610">
        <v>0</v>
      </c>
    </row>
    <row r="611" spans="1:11" x14ac:dyDescent="0.2">
      <c r="A611">
        <v>57407</v>
      </c>
      <c r="B611">
        <v>2166</v>
      </c>
      <c r="C611" t="s">
        <v>4274</v>
      </c>
      <c r="D611">
        <v>10</v>
      </c>
      <c r="E611">
        <v>1</v>
      </c>
      <c r="F611">
        <v>0</v>
      </c>
      <c r="G611">
        <v>0</v>
      </c>
      <c r="H611">
        <v>4</v>
      </c>
      <c r="I611">
        <v>0</v>
      </c>
      <c r="J611">
        <v>1</v>
      </c>
      <c r="K611">
        <v>0</v>
      </c>
    </row>
    <row r="612" spans="1:11" x14ac:dyDescent="0.2">
      <c r="A612">
        <v>57408</v>
      </c>
      <c r="B612">
        <v>2167</v>
      </c>
      <c r="C612" t="s">
        <v>4275</v>
      </c>
      <c r="D612">
        <v>10</v>
      </c>
      <c r="E612">
        <v>1</v>
      </c>
      <c r="F612">
        <v>0</v>
      </c>
      <c r="G612">
        <v>0</v>
      </c>
      <c r="H612">
        <v>4</v>
      </c>
      <c r="I612">
        <v>0</v>
      </c>
      <c r="J612">
        <v>1</v>
      </c>
      <c r="K612">
        <v>0</v>
      </c>
    </row>
    <row r="613" spans="1:11" x14ac:dyDescent="0.2">
      <c r="A613">
        <v>91106</v>
      </c>
      <c r="B613">
        <v>2172</v>
      </c>
      <c r="C613" t="s">
        <v>4276</v>
      </c>
      <c r="D613">
        <v>8</v>
      </c>
      <c r="E613">
        <v>1</v>
      </c>
      <c r="F613">
        <v>709</v>
      </c>
      <c r="G613">
        <v>709</v>
      </c>
      <c r="H613">
        <v>154</v>
      </c>
      <c r="I613">
        <v>4.5999999999999996</v>
      </c>
      <c r="J613">
        <v>2.29</v>
      </c>
      <c r="K613">
        <v>1623.61</v>
      </c>
    </row>
    <row r="614" spans="1:11" x14ac:dyDescent="0.2">
      <c r="A614">
        <v>83014</v>
      </c>
      <c r="B614">
        <v>2176</v>
      </c>
      <c r="C614" t="s">
        <v>4277</v>
      </c>
      <c r="D614">
        <v>8</v>
      </c>
      <c r="E614">
        <v>14</v>
      </c>
      <c r="F614">
        <v>391</v>
      </c>
      <c r="G614">
        <v>5474</v>
      </c>
      <c r="H614">
        <v>140</v>
      </c>
      <c r="I614">
        <v>2.8</v>
      </c>
      <c r="J614">
        <v>1.79</v>
      </c>
      <c r="K614">
        <v>9798.4599999999991</v>
      </c>
    </row>
    <row r="615" spans="1:11" x14ac:dyDescent="0.2">
      <c r="B615">
        <v>2191</v>
      </c>
      <c r="C615" t="s">
        <v>4278</v>
      </c>
      <c r="D615">
        <v>11</v>
      </c>
      <c r="E615">
        <v>6</v>
      </c>
      <c r="F615">
        <v>5</v>
      </c>
      <c r="G615">
        <v>30</v>
      </c>
      <c r="H615">
        <v>100</v>
      </c>
      <c r="I615">
        <v>0.1</v>
      </c>
      <c r="J615">
        <v>3.29</v>
      </c>
      <c r="K615">
        <v>98.7</v>
      </c>
    </row>
    <row r="616" spans="1:11" x14ac:dyDescent="0.2">
      <c r="A616">
        <v>47501</v>
      </c>
      <c r="B616">
        <v>2192</v>
      </c>
      <c r="C616" t="s">
        <v>4279</v>
      </c>
      <c r="D616">
        <v>10</v>
      </c>
      <c r="E616">
        <v>24</v>
      </c>
      <c r="F616">
        <v>0</v>
      </c>
      <c r="G616">
        <v>0</v>
      </c>
      <c r="H616">
        <v>64</v>
      </c>
      <c r="I616">
        <v>0</v>
      </c>
      <c r="J616">
        <v>2.95</v>
      </c>
      <c r="K616">
        <v>0</v>
      </c>
    </row>
    <row r="617" spans="1:11" x14ac:dyDescent="0.2">
      <c r="A617">
        <v>66043</v>
      </c>
      <c r="B617">
        <v>2194</v>
      </c>
      <c r="C617" t="s">
        <v>4280</v>
      </c>
      <c r="D617">
        <v>8</v>
      </c>
      <c r="E617">
        <v>18</v>
      </c>
      <c r="F617">
        <v>298</v>
      </c>
      <c r="G617">
        <v>5364</v>
      </c>
      <c r="H617">
        <v>144</v>
      </c>
      <c r="I617">
        <v>2.1</v>
      </c>
      <c r="J617">
        <v>1.45</v>
      </c>
      <c r="K617">
        <v>7777.8</v>
      </c>
    </row>
    <row r="618" spans="1:11" x14ac:dyDescent="0.2">
      <c r="A618">
        <v>74226</v>
      </c>
      <c r="B618">
        <v>2199</v>
      </c>
      <c r="C618" t="s">
        <v>4281</v>
      </c>
      <c r="D618">
        <v>8</v>
      </c>
      <c r="E618">
        <v>18</v>
      </c>
      <c r="F618">
        <v>383</v>
      </c>
      <c r="G618">
        <v>6894</v>
      </c>
      <c r="H618">
        <v>117</v>
      </c>
      <c r="I618">
        <v>3.3</v>
      </c>
      <c r="J618">
        <v>1.45</v>
      </c>
      <c r="K618">
        <v>9996.2999999999993</v>
      </c>
    </row>
    <row r="619" spans="1:11" x14ac:dyDescent="0.2">
      <c r="A619">
        <v>3639</v>
      </c>
      <c r="B619">
        <v>2200</v>
      </c>
      <c r="C619" t="s">
        <v>4282</v>
      </c>
      <c r="D619">
        <v>6</v>
      </c>
      <c r="E619">
        <v>12</v>
      </c>
      <c r="F619">
        <v>3</v>
      </c>
      <c r="G619">
        <v>36</v>
      </c>
      <c r="H619">
        <v>64</v>
      </c>
      <c r="I619">
        <v>0</v>
      </c>
      <c r="J619">
        <v>1.19</v>
      </c>
      <c r="K619">
        <v>42.84</v>
      </c>
    </row>
    <row r="620" spans="1:11" x14ac:dyDescent="0.2">
      <c r="A620">
        <v>74085</v>
      </c>
      <c r="B620">
        <v>2204</v>
      </c>
      <c r="C620" t="s">
        <v>4283</v>
      </c>
      <c r="D620">
        <v>8</v>
      </c>
      <c r="E620">
        <v>24</v>
      </c>
      <c r="F620">
        <v>125</v>
      </c>
      <c r="G620">
        <v>3000</v>
      </c>
      <c r="H620">
        <v>72</v>
      </c>
      <c r="I620">
        <v>1.7</v>
      </c>
      <c r="J620">
        <v>1.99</v>
      </c>
      <c r="K620">
        <v>5970</v>
      </c>
    </row>
    <row r="621" spans="1:11" x14ac:dyDescent="0.2">
      <c r="A621">
        <v>95722</v>
      </c>
      <c r="B621">
        <v>2205</v>
      </c>
      <c r="C621" t="s">
        <v>4284</v>
      </c>
      <c r="D621">
        <v>8</v>
      </c>
      <c r="E621">
        <v>16</v>
      </c>
      <c r="F621">
        <v>338</v>
      </c>
      <c r="G621">
        <v>5408</v>
      </c>
      <c r="H621">
        <v>40</v>
      </c>
      <c r="I621">
        <v>8.5</v>
      </c>
      <c r="J621">
        <v>0.61</v>
      </c>
      <c r="K621">
        <v>3298.88</v>
      </c>
    </row>
    <row r="622" spans="1:11" x14ac:dyDescent="0.2">
      <c r="A622">
        <v>76180</v>
      </c>
      <c r="B622">
        <v>2206</v>
      </c>
      <c r="C622" t="s">
        <v>4285</v>
      </c>
      <c r="D622">
        <v>8</v>
      </c>
      <c r="E622">
        <v>7</v>
      </c>
      <c r="F622">
        <v>1214</v>
      </c>
      <c r="G622">
        <v>8498</v>
      </c>
      <c r="H622">
        <v>60</v>
      </c>
      <c r="I622">
        <v>20.2</v>
      </c>
      <c r="J622">
        <v>1.29</v>
      </c>
      <c r="K622">
        <v>10962.42</v>
      </c>
    </row>
    <row r="623" spans="1:11" x14ac:dyDescent="0.2">
      <c r="B623">
        <v>2208</v>
      </c>
      <c r="C623" t="s">
        <v>4286</v>
      </c>
      <c r="D623">
        <v>11</v>
      </c>
      <c r="E623">
        <v>14</v>
      </c>
      <c r="F623">
        <v>-4</v>
      </c>
      <c r="G623">
        <v>-56</v>
      </c>
      <c r="H623">
        <v>42</v>
      </c>
      <c r="I623">
        <v>-0.1</v>
      </c>
      <c r="J623">
        <v>1.99</v>
      </c>
      <c r="K623">
        <v>-111.44</v>
      </c>
    </row>
    <row r="624" spans="1:11" x14ac:dyDescent="0.2">
      <c r="A624">
        <v>73089</v>
      </c>
      <c r="B624">
        <v>2210</v>
      </c>
      <c r="C624" t="s">
        <v>4287</v>
      </c>
      <c r="D624">
        <v>8</v>
      </c>
      <c r="E624">
        <v>12</v>
      </c>
      <c r="F624">
        <v>828</v>
      </c>
      <c r="G624">
        <v>9938</v>
      </c>
      <c r="H624">
        <v>120</v>
      </c>
      <c r="I624">
        <v>6.9</v>
      </c>
      <c r="J624">
        <v>2.89</v>
      </c>
      <c r="K624">
        <v>28720.82</v>
      </c>
    </row>
    <row r="625" spans="1:11" x14ac:dyDescent="0.2">
      <c r="A625">
        <v>76175</v>
      </c>
      <c r="B625">
        <v>2213</v>
      </c>
      <c r="C625" t="s">
        <v>4288</v>
      </c>
      <c r="D625">
        <v>8</v>
      </c>
      <c r="E625">
        <v>16</v>
      </c>
      <c r="F625">
        <v>149</v>
      </c>
      <c r="G625">
        <v>2384</v>
      </c>
      <c r="H625">
        <v>36</v>
      </c>
      <c r="I625">
        <v>4.0999999999999996</v>
      </c>
      <c r="J625">
        <v>1.78</v>
      </c>
      <c r="K625">
        <v>4243.5200000000004</v>
      </c>
    </row>
    <row r="626" spans="1:11" x14ac:dyDescent="0.2">
      <c r="A626">
        <v>95710</v>
      </c>
      <c r="B626">
        <v>2215</v>
      </c>
      <c r="C626" t="s">
        <v>4289</v>
      </c>
      <c r="D626">
        <v>8</v>
      </c>
      <c r="E626">
        <v>14</v>
      </c>
      <c r="F626">
        <v>933</v>
      </c>
      <c r="G626">
        <v>13062</v>
      </c>
      <c r="H626">
        <v>40</v>
      </c>
      <c r="I626">
        <v>23.3</v>
      </c>
      <c r="J626">
        <v>0.79</v>
      </c>
      <c r="K626">
        <v>10318.98</v>
      </c>
    </row>
    <row r="627" spans="1:11" x14ac:dyDescent="0.2">
      <c r="A627">
        <v>76268</v>
      </c>
      <c r="B627">
        <v>2216</v>
      </c>
      <c r="C627" t="s">
        <v>4290</v>
      </c>
      <c r="D627">
        <v>8</v>
      </c>
      <c r="E627">
        <v>7</v>
      </c>
      <c r="F627">
        <v>454</v>
      </c>
      <c r="G627">
        <v>3178</v>
      </c>
      <c r="H627">
        <v>88</v>
      </c>
      <c r="I627">
        <v>5.2</v>
      </c>
      <c r="J627">
        <v>1.1399999999999999</v>
      </c>
      <c r="K627">
        <v>3622.92</v>
      </c>
    </row>
    <row r="628" spans="1:11" x14ac:dyDescent="0.2">
      <c r="A628">
        <v>76162</v>
      </c>
      <c r="B628">
        <v>2221</v>
      </c>
      <c r="C628" t="s">
        <v>4291</v>
      </c>
      <c r="D628">
        <v>8</v>
      </c>
      <c r="E628">
        <v>7</v>
      </c>
      <c r="F628">
        <v>529</v>
      </c>
      <c r="G628">
        <v>3700</v>
      </c>
      <c r="H628">
        <v>64</v>
      </c>
      <c r="I628">
        <v>8.3000000000000007</v>
      </c>
      <c r="J628">
        <v>0.88</v>
      </c>
      <c r="K628">
        <v>3256</v>
      </c>
    </row>
    <row r="629" spans="1:11" x14ac:dyDescent="0.2">
      <c r="A629">
        <v>76235</v>
      </c>
      <c r="B629">
        <v>2222</v>
      </c>
      <c r="C629" t="s">
        <v>4292</v>
      </c>
      <c r="D629">
        <v>8</v>
      </c>
      <c r="E629">
        <v>7</v>
      </c>
      <c r="F629">
        <v>778</v>
      </c>
      <c r="G629">
        <v>5446</v>
      </c>
      <c r="H629">
        <v>88</v>
      </c>
      <c r="I629">
        <v>8.8000000000000007</v>
      </c>
      <c r="J629">
        <v>1.1499999999999999</v>
      </c>
      <c r="K629">
        <v>6262.9</v>
      </c>
    </row>
    <row r="630" spans="1:11" x14ac:dyDescent="0.2">
      <c r="A630">
        <v>76206</v>
      </c>
      <c r="B630">
        <v>2227</v>
      </c>
      <c r="C630" t="s">
        <v>4293</v>
      </c>
      <c r="D630">
        <v>8</v>
      </c>
      <c r="E630">
        <v>7</v>
      </c>
      <c r="F630">
        <v>407</v>
      </c>
      <c r="G630">
        <v>2847</v>
      </c>
      <c r="H630">
        <v>64</v>
      </c>
      <c r="I630">
        <v>6.4</v>
      </c>
      <c r="J630">
        <v>0.89</v>
      </c>
      <c r="K630">
        <v>2533.83</v>
      </c>
    </row>
    <row r="631" spans="1:11" x14ac:dyDescent="0.2">
      <c r="A631">
        <v>76265</v>
      </c>
      <c r="B631">
        <v>2228</v>
      </c>
      <c r="C631" t="s">
        <v>4294</v>
      </c>
      <c r="D631">
        <v>8</v>
      </c>
      <c r="E631">
        <v>12</v>
      </c>
      <c r="F631">
        <v>525</v>
      </c>
      <c r="G631">
        <v>6300</v>
      </c>
      <c r="H631">
        <v>84</v>
      </c>
      <c r="I631">
        <v>6.3</v>
      </c>
      <c r="J631">
        <v>1.29</v>
      </c>
      <c r="K631">
        <v>8127</v>
      </c>
    </row>
    <row r="632" spans="1:11" x14ac:dyDescent="0.2">
      <c r="A632">
        <v>72041</v>
      </c>
      <c r="B632">
        <v>2230</v>
      </c>
      <c r="C632" t="s">
        <v>4295</v>
      </c>
      <c r="D632">
        <v>8</v>
      </c>
      <c r="E632">
        <v>12</v>
      </c>
      <c r="F632">
        <v>1145</v>
      </c>
      <c r="G632">
        <v>13740</v>
      </c>
      <c r="H632">
        <v>54</v>
      </c>
      <c r="I632">
        <v>21.2</v>
      </c>
      <c r="J632">
        <v>0.67</v>
      </c>
      <c r="K632">
        <v>9205.7999999999993</v>
      </c>
    </row>
    <row r="633" spans="1:11" x14ac:dyDescent="0.2">
      <c r="A633">
        <v>76069</v>
      </c>
      <c r="B633">
        <v>2231</v>
      </c>
      <c r="C633" t="s">
        <v>4296</v>
      </c>
      <c r="D633">
        <v>8</v>
      </c>
      <c r="E633">
        <v>12</v>
      </c>
      <c r="F633">
        <v>373</v>
      </c>
      <c r="G633">
        <v>4476</v>
      </c>
      <c r="H633">
        <v>42</v>
      </c>
      <c r="I633">
        <v>8.9</v>
      </c>
      <c r="J633">
        <v>2.69</v>
      </c>
      <c r="K633">
        <v>12040.44</v>
      </c>
    </row>
    <row r="634" spans="1:11" x14ac:dyDescent="0.2">
      <c r="A634">
        <v>73072</v>
      </c>
      <c r="B634">
        <v>2232</v>
      </c>
      <c r="C634" t="s">
        <v>4297</v>
      </c>
      <c r="D634">
        <v>8</v>
      </c>
      <c r="E634">
        <v>12</v>
      </c>
      <c r="F634">
        <v>1222</v>
      </c>
      <c r="G634">
        <v>14664</v>
      </c>
      <c r="H634">
        <v>130</v>
      </c>
      <c r="I634">
        <v>9.4</v>
      </c>
      <c r="J634">
        <v>1.0900000000000001</v>
      </c>
      <c r="K634">
        <v>15983.76</v>
      </c>
    </row>
    <row r="635" spans="1:11" x14ac:dyDescent="0.2">
      <c r="A635">
        <v>76213</v>
      </c>
      <c r="B635">
        <v>2233</v>
      </c>
      <c r="C635" t="s">
        <v>4298</v>
      </c>
      <c r="D635">
        <v>8</v>
      </c>
      <c r="E635">
        <v>7</v>
      </c>
      <c r="F635">
        <v>1989</v>
      </c>
      <c r="G635">
        <v>13923</v>
      </c>
      <c r="H635">
        <v>80</v>
      </c>
      <c r="I635">
        <v>24.9</v>
      </c>
      <c r="J635">
        <v>0.99</v>
      </c>
      <c r="K635">
        <v>13783.77</v>
      </c>
    </row>
    <row r="636" spans="1:11" x14ac:dyDescent="0.2">
      <c r="A636">
        <v>74006</v>
      </c>
      <c r="B636">
        <v>2244</v>
      </c>
      <c r="C636" t="s">
        <v>4299</v>
      </c>
      <c r="D636">
        <v>8</v>
      </c>
      <c r="E636">
        <v>6</v>
      </c>
      <c r="F636">
        <v>2365</v>
      </c>
      <c r="G636">
        <v>14192</v>
      </c>
      <c r="H636">
        <v>128</v>
      </c>
      <c r="I636">
        <v>18.5</v>
      </c>
      <c r="J636">
        <v>4.09</v>
      </c>
      <c r="K636">
        <v>58045.279999999999</v>
      </c>
    </row>
    <row r="637" spans="1:11" x14ac:dyDescent="0.2">
      <c r="A637">
        <v>73091</v>
      </c>
      <c r="B637">
        <v>2252</v>
      </c>
      <c r="C637" t="s">
        <v>4300</v>
      </c>
      <c r="D637">
        <v>8</v>
      </c>
      <c r="E637">
        <v>12</v>
      </c>
      <c r="F637">
        <v>525</v>
      </c>
      <c r="G637">
        <v>6299</v>
      </c>
      <c r="H637">
        <v>120</v>
      </c>
      <c r="I637">
        <v>4.4000000000000004</v>
      </c>
      <c r="J637">
        <v>3.05</v>
      </c>
      <c r="K637">
        <v>19211.95</v>
      </c>
    </row>
    <row r="638" spans="1:11" x14ac:dyDescent="0.2">
      <c r="A638">
        <v>73080</v>
      </c>
      <c r="B638">
        <v>2256</v>
      </c>
      <c r="C638" t="s">
        <v>4301</v>
      </c>
      <c r="D638">
        <v>8</v>
      </c>
      <c r="E638">
        <v>12</v>
      </c>
      <c r="F638">
        <v>624</v>
      </c>
      <c r="G638">
        <v>7488</v>
      </c>
      <c r="H638">
        <v>130</v>
      </c>
      <c r="I638">
        <v>4.8</v>
      </c>
      <c r="J638">
        <v>1.39</v>
      </c>
      <c r="K638">
        <v>10408.32</v>
      </c>
    </row>
    <row r="639" spans="1:11" x14ac:dyDescent="0.2">
      <c r="A639">
        <v>0</v>
      </c>
      <c r="B639">
        <v>2268</v>
      </c>
      <c r="C639" t="s">
        <v>4302</v>
      </c>
      <c r="D639">
        <v>11</v>
      </c>
      <c r="E639">
        <v>30</v>
      </c>
      <c r="F639">
        <v>0</v>
      </c>
      <c r="G639">
        <v>0</v>
      </c>
      <c r="H639">
        <v>56</v>
      </c>
      <c r="I639">
        <v>0</v>
      </c>
      <c r="J639">
        <v>1.99</v>
      </c>
      <c r="K639">
        <v>0</v>
      </c>
    </row>
    <row r="640" spans="1:11" x14ac:dyDescent="0.2">
      <c r="A640">
        <v>76154</v>
      </c>
      <c r="B640">
        <v>2274</v>
      </c>
      <c r="C640" t="s">
        <v>4303</v>
      </c>
      <c r="D640">
        <v>8</v>
      </c>
      <c r="E640">
        <v>16</v>
      </c>
      <c r="F640">
        <v>417</v>
      </c>
      <c r="G640">
        <v>6672</v>
      </c>
      <c r="H640">
        <v>28</v>
      </c>
      <c r="I640">
        <v>14.9</v>
      </c>
      <c r="J640">
        <v>1.45</v>
      </c>
      <c r="K640">
        <v>9674.4</v>
      </c>
    </row>
    <row r="641" spans="1:11" x14ac:dyDescent="0.2">
      <c r="A641">
        <v>76219</v>
      </c>
      <c r="B641">
        <v>2276</v>
      </c>
      <c r="C641" t="s">
        <v>4304</v>
      </c>
      <c r="D641">
        <v>8</v>
      </c>
      <c r="E641">
        <v>10</v>
      </c>
      <c r="F641">
        <v>369</v>
      </c>
      <c r="G641">
        <v>3690</v>
      </c>
      <c r="H641">
        <v>56</v>
      </c>
      <c r="I641">
        <v>6.6</v>
      </c>
      <c r="J641">
        <v>1.19</v>
      </c>
      <c r="K641">
        <v>4391.1000000000004</v>
      </c>
    </row>
    <row r="642" spans="1:11" x14ac:dyDescent="0.2">
      <c r="A642">
        <v>95747</v>
      </c>
      <c r="B642">
        <v>2277</v>
      </c>
      <c r="C642" t="s">
        <v>4305</v>
      </c>
      <c r="D642">
        <v>8</v>
      </c>
      <c r="E642">
        <v>12</v>
      </c>
      <c r="F642">
        <v>604</v>
      </c>
      <c r="G642">
        <v>7248</v>
      </c>
      <c r="H642">
        <v>42</v>
      </c>
      <c r="I642">
        <v>14.4</v>
      </c>
      <c r="J642">
        <v>1.99</v>
      </c>
      <c r="K642">
        <v>14423.52</v>
      </c>
    </row>
    <row r="643" spans="1:11" x14ac:dyDescent="0.2">
      <c r="A643">
        <v>95704</v>
      </c>
      <c r="B643">
        <v>2278</v>
      </c>
      <c r="C643" t="s">
        <v>4306</v>
      </c>
      <c r="D643">
        <v>8</v>
      </c>
      <c r="E643">
        <v>12</v>
      </c>
      <c r="F643">
        <v>1273</v>
      </c>
      <c r="G643">
        <v>15276</v>
      </c>
      <c r="H643">
        <v>42</v>
      </c>
      <c r="I643">
        <v>30.3</v>
      </c>
      <c r="J643">
        <v>1.99</v>
      </c>
      <c r="K643">
        <v>30399.24</v>
      </c>
    </row>
    <row r="644" spans="1:11" x14ac:dyDescent="0.2">
      <c r="A644">
        <v>91089</v>
      </c>
      <c r="B644">
        <v>2285</v>
      </c>
      <c r="C644" t="s">
        <v>4307</v>
      </c>
      <c r="D644">
        <v>8</v>
      </c>
      <c r="E644">
        <v>1</v>
      </c>
      <c r="F644">
        <v>768</v>
      </c>
      <c r="G644">
        <v>768</v>
      </c>
      <c r="H644">
        <v>352</v>
      </c>
      <c r="I644">
        <v>2.2000000000000002</v>
      </c>
      <c r="J644">
        <v>3.49</v>
      </c>
      <c r="K644">
        <v>2680.32</v>
      </c>
    </row>
    <row r="645" spans="1:11" x14ac:dyDescent="0.2">
      <c r="A645">
        <v>2665</v>
      </c>
      <c r="B645">
        <v>2288</v>
      </c>
      <c r="C645" t="s">
        <v>4308</v>
      </c>
      <c r="D645">
        <v>6</v>
      </c>
      <c r="E645">
        <v>234</v>
      </c>
      <c r="F645">
        <v>2</v>
      </c>
      <c r="G645">
        <v>468</v>
      </c>
      <c r="H645">
        <v>4</v>
      </c>
      <c r="I645">
        <v>0.5</v>
      </c>
      <c r="J645">
        <v>1.99</v>
      </c>
      <c r="K645">
        <v>931.32</v>
      </c>
    </row>
    <row r="646" spans="1:11" x14ac:dyDescent="0.2">
      <c r="A646">
        <v>81089</v>
      </c>
      <c r="B646">
        <v>2291</v>
      </c>
      <c r="C646" t="s">
        <v>4309</v>
      </c>
      <c r="D646">
        <v>8</v>
      </c>
      <c r="E646">
        <v>12</v>
      </c>
      <c r="F646">
        <v>339</v>
      </c>
      <c r="G646">
        <v>4068</v>
      </c>
      <c r="H646">
        <v>112</v>
      </c>
      <c r="I646">
        <v>3</v>
      </c>
      <c r="J646">
        <v>2.9</v>
      </c>
      <c r="K646">
        <v>11797.2</v>
      </c>
    </row>
    <row r="647" spans="1:11" x14ac:dyDescent="0.2">
      <c r="A647">
        <v>85089</v>
      </c>
      <c r="B647">
        <v>2295</v>
      </c>
      <c r="C647" t="s">
        <v>4310</v>
      </c>
      <c r="D647">
        <v>8</v>
      </c>
      <c r="E647">
        <v>8</v>
      </c>
      <c r="F647">
        <v>115</v>
      </c>
      <c r="G647">
        <v>920</v>
      </c>
      <c r="H647">
        <v>48</v>
      </c>
      <c r="I647">
        <v>2.4</v>
      </c>
      <c r="J647">
        <v>1.1200000000000001</v>
      </c>
      <c r="K647">
        <v>1030.4000000000001</v>
      </c>
    </row>
    <row r="648" spans="1:11" x14ac:dyDescent="0.2">
      <c r="B648">
        <v>2303</v>
      </c>
      <c r="C648" t="s">
        <v>4311</v>
      </c>
      <c r="D648">
        <v>12</v>
      </c>
      <c r="E648">
        <v>32</v>
      </c>
      <c r="F648">
        <v>0</v>
      </c>
      <c r="G648">
        <v>0</v>
      </c>
      <c r="H648">
        <v>234</v>
      </c>
      <c r="I648">
        <v>0</v>
      </c>
      <c r="J648">
        <v>0.59</v>
      </c>
      <c r="K648">
        <v>0</v>
      </c>
    </row>
    <row r="649" spans="1:11" x14ac:dyDescent="0.2">
      <c r="A649">
        <v>82204</v>
      </c>
      <c r="B649">
        <v>2306</v>
      </c>
      <c r="C649" t="s">
        <v>4312</v>
      </c>
      <c r="D649">
        <v>8</v>
      </c>
      <c r="E649">
        <v>16</v>
      </c>
      <c r="F649">
        <v>1103</v>
      </c>
      <c r="G649">
        <v>17648</v>
      </c>
      <c r="H649">
        <v>72</v>
      </c>
      <c r="I649">
        <v>15.3</v>
      </c>
      <c r="J649">
        <v>1.25</v>
      </c>
      <c r="K649">
        <v>22060</v>
      </c>
    </row>
    <row r="650" spans="1:11" x14ac:dyDescent="0.2">
      <c r="A650">
        <v>1620</v>
      </c>
      <c r="B650">
        <v>2312</v>
      </c>
      <c r="C650" t="s">
        <v>4313</v>
      </c>
      <c r="D650">
        <v>10</v>
      </c>
      <c r="E650">
        <v>10</v>
      </c>
      <c r="F650">
        <v>5</v>
      </c>
      <c r="G650">
        <v>50</v>
      </c>
      <c r="H650">
        <v>48</v>
      </c>
      <c r="I650">
        <v>0.1</v>
      </c>
      <c r="J650">
        <v>5.99</v>
      </c>
      <c r="K650">
        <v>299.5</v>
      </c>
    </row>
    <row r="651" spans="1:11" x14ac:dyDescent="0.2">
      <c r="A651">
        <v>88046</v>
      </c>
      <c r="B651">
        <v>2319</v>
      </c>
      <c r="C651" t="s">
        <v>4314</v>
      </c>
      <c r="D651">
        <v>8</v>
      </c>
      <c r="E651">
        <v>12</v>
      </c>
      <c r="F651">
        <v>312</v>
      </c>
      <c r="G651">
        <v>3744</v>
      </c>
      <c r="H651">
        <v>104</v>
      </c>
      <c r="I651">
        <v>3</v>
      </c>
      <c r="J651">
        <v>1.49</v>
      </c>
      <c r="K651">
        <v>5578.56</v>
      </c>
    </row>
    <row r="652" spans="1:11" x14ac:dyDescent="0.2">
      <c r="A652">
        <v>66091</v>
      </c>
      <c r="B652">
        <v>2334</v>
      </c>
      <c r="C652" t="s">
        <v>4315</v>
      </c>
      <c r="D652">
        <v>8</v>
      </c>
      <c r="E652">
        <v>33</v>
      </c>
      <c r="F652">
        <v>285</v>
      </c>
      <c r="G652">
        <v>9405</v>
      </c>
      <c r="H652">
        <v>143</v>
      </c>
      <c r="I652">
        <v>2</v>
      </c>
      <c r="J652">
        <v>0.37</v>
      </c>
      <c r="K652">
        <v>3479.85</v>
      </c>
    </row>
    <row r="653" spans="1:11" x14ac:dyDescent="0.2">
      <c r="B653">
        <v>2345</v>
      </c>
      <c r="C653" t="s">
        <v>4316</v>
      </c>
      <c r="D653">
        <v>7</v>
      </c>
      <c r="E653">
        <v>1</v>
      </c>
      <c r="F653">
        <v>0</v>
      </c>
      <c r="G653">
        <v>0</v>
      </c>
      <c r="H653">
        <v>44</v>
      </c>
      <c r="I653">
        <v>0</v>
      </c>
      <c r="J653">
        <v>0.01</v>
      </c>
      <c r="K653">
        <v>0</v>
      </c>
    </row>
    <row r="654" spans="1:11" x14ac:dyDescent="0.2">
      <c r="A654">
        <v>88019</v>
      </c>
      <c r="B654">
        <v>2347</v>
      </c>
      <c r="C654" t="s">
        <v>4317</v>
      </c>
      <c r="D654">
        <v>8</v>
      </c>
      <c r="E654">
        <v>12</v>
      </c>
      <c r="F654">
        <v>144</v>
      </c>
      <c r="G654">
        <v>1728</v>
      </c>
      <c r="H654">
        <v>72</v>
      </c>
      <c r="I654">
        <v>2</v>
      </c>
      <c r="J654">
        <v>3.29</v>
      </c>
      <c r="K654">
        <v>5685.12</v>
      </c>
    </row>
    <row r="655" spans="1:11" x14ac:dyDescent="0.2">
      <c r="A655">
        <v>87040</v>
      </c>
      <c r="B655">
        <v>2352</v>
      </c>
      <c r="C655" t="s">
        <v>4318</v>
      </c>
      <c r="D655">
        <v>8</v>
      </c>
      <c r="E655">
        <v>12</v>
      </c>
      <c r="F655">
        <v>168</v>
      </c>
      <c r="G655">
        <v>2016</v>
      </c>
      <c r="H655">
        <v>84</v>
      </c>
      <c r="I655">
        <v>2</v>
      </c>
      <c r="J655">
        <v>1.99</v>
      </c>
      <c r="K655">
        <v>4011.84</v>
      </c>
    </row>
    <row r="656" spans="1:11" x14ac:dyDescent="0.2">
      <c r="A656">
        <v>0</v>
      </c>
      <c r="B656">
        <v>2353</v>
      </c>
      <c r="C656" t="s">
        <v>4319</v>
      </c>
      <c r="D656">
        <v>12</v>
      </c>
      <c r="E656">
        <v>18</v>
      </c>
      <c r="F656">
        <v>0</v>
      </c>
      <c r="G656">
        <v>0</v>
      </c>
      <c r="H656">
        <v>64</v>
      </c>
      <c r="I656">
        <v>0</v>
      </c>
      <c r="J656">
        <v>2.99</v>
      </c>
      <c r="K656">
        <v>0</v>
      </c>
    </row>
    <row r="657" spans="1:11" x14ac:dyDescent="0.2">
      <c r="A657">
        <v>72074</v>
      </c>
      <c r="B657">
        <v>2353</v>
      </c>
      <c r="C657" t="s">
        <v>4319</v>
      </c>
      <c r="D657">
        <v>8</v>
      </c>
      <c r="E657">
        <v>24</v>
      </c>
      <c r="F657">
        <v>909</v>
      </c>
      <c r="G657">
        <v>21816</v>
      </c>
      <c r="H657">
        <v>64</v>
      </c>
      <c r="I657">
        <v>14.2</v>
      </c>
      <c r="J657">
        <v>2.99</v>
      </c>
      <c r="K657">
        <v>65229.84</v>
      </c>
    </row>
    <row r="658" spans="1:11" x14ac:dyDescent="0.2">
      <c r="B658">
        <v>2355</v>
      </c>
      <c r="C658" t="s">
        <v>4320</v>
      </c>
      <c r="D658">
        <v>10</v>
      </c>
      <c r="E658">
        <v>10</v>
      </c>
      <c r="F658">
        <v>0</v>
      </c>
      <c r="G658">
        <v>0</v>
      </c>
      <c r="H658">
        <v>72</v>
      </c>
      <c r="I658">
        <v>0</v>
      </c>
      <c r="J658">
        <v>0.85</v>
      </c>
      <c r="K658">
        <v>0</v>
      </c>
    </row>
    <row r="659" spans="1:11" x14ac:dyDescent="0.2">
      <c r="A659">
        <v>69171</v>
      </c>
      <c r="B659">
        <v>2358</v>
      </c>
      <c r="C659" t="s">
        <v>4321</v>
      </c>
      <c r="D659">
        <v>8</v>
      </c>
      <c r="E659">
        <v>4</v>
      </c>
      <c r="F659">
        <v>900</v>
      </c>
      <c r="G659">
        <v>3600</v>
      </c>
      <c r="H659">
        <v>72</v>
      </c>
      <c r="I659">
        <v>12.5</v>
      </c>
      <c r="J659">
        <v>3.62</v>
      </c>
      <c r="K659">
        <v>13032</v>
      </c>
    </row>
    <row r="660" spans="1:11" x14ac:dyDescent="0.2">
      <c r="A660">
        <v>69164</v>
      </c>
      <c r="B660">
        <v>2359</v>
      </c>
      <c r="C660" t="s">
        <v>4322</v>
      </c>
      <c r="D660">
        <v>8</v>
      </c>
      <c r="E660">
        <v>4</v>
      </c>
      <c r="F660">
        <v>813</v>
      </c>
      <c r="G660">
        <v>3252</v>
      </c>
      <c r="H660">
        <v>72</v>
      </c>
      <c r="I660">
        <v>11.3</v>
      </c>
      <c r="J660">
        <v>3.87</v>
      </c>
      <c r="K660">
        <v>12585.24</v>
      </c>
    </row>
    <row r="661" spans="1:11" x14ac:dyDescent="0.2">
      <c r="A661">
        <v>40635</v>
      </c>
      <c r="B661">
        <v>2361</v>
      </c>
      <c r="C661" t="s">
        <v>4323</v>
      </c>
      <c r="D661">
        <v>10</v>
      </c>
      <c r="E661">
        <v>1</v>
      </c>
      <c r="F661">
        <v>0</v>
      </c>
      <c r="G661">
        <v>0</v>
      </c>
      <c r="H661">
        <v>96</v>
      </c>
      <c r="I661">
        <v>0</v>
      </c>
      <c r="J661">
        <v>7.49</v>
      </c>
      <c r="K661">
        <v>0</v>
      </c>
    </row>
    <row r="662" spans="1:11" x14ac:dyDescent="0.2">
      <c r="A662">
        <v>82252</v>
      </c>
      <c r="B662">
        <v>2364</v>
      </c>
      <c r="C662" t="s">
        <v>4324</v>
      </c>
      <c r="D662">
        <v>8</v>
      </c>
      <c r="E662">
        <v>15</v>
      </c>
      <c r="F662">
        <v>294</v>
      </c>
      <c r="G662">
        <v>4410</v>
      </c>
      <c r="H662">
        <v>60</v>
      </c>
      <c r="I662">
        <v>4.9000000000000004</v>
      </c>
      <c r="J662">
        <v>1.86</v>
      </c>
      <c r="K662">
        <v>8202.6</v>
      </c>
    </row>
    <row r="663" spans="1:11" x14ac:dyDescent="0.2">
      <c r="A663">
        <v>67010</v>
      </c>
      <c r="B663">
        <v>2367</v>
      </c>
      <c r="C663" t="s">
        <v>4325</v>
      </c>
      <c r="D663">
        <v>8</v>
      </c>
      <c r="E663">
        <v>10</v>
      </c>
      <c r="F663">
        <v>1658</v>
      </c>
      <c r="G663">
        <v>16579</v>
      </c>
      <c r="H663">
        <v>120</v>
      </c>
      <c r="I663">
        <v>13.8</v>
      </c>
      <c r="J663">
        <v>1.49</v>
      </c>
      <c r="K663">
        <v>24702.71</v>
      </c>
    </row>
    <row r="664" spans="1:11" x14ac:dyDescent="0.2">
      <c r="A664">
        <v>76021</v>
      </c>
      <c r="B664">
        <v>2390</v>
      </c>
      <c r="C664" t="s">
        <v>4326</v>
      </c>
      <c r="D664">
        <v>8</v>
      </c>
      <c r="E664">
        <v>24</v>
      </c>
      <c r="F664">
        <v>342</v>
      </c>
      <c r="G664">
        <v>8208</v>
      </c>
      <c r="H664">
        <v>132</v>
      </c>
      <c r="I664">
        <v>2.6</v>
      </c>
      <c r="J664">
        <v>1.19</v>
      </c>
      <c r="K664">
        <v>9767.52</v>
      </c>
    </row>
    <row r="665" spans="1:11" x14ac:dyDescent="0.2">
      <c r="A665">
        <v>61017</v>
      </c>
      <c r="B665">
        <v>2393</v>
      </c>
      <c r="C665" t="s">
        <v>4327</v>
      </c>
      <c r="D665">
        <v>8</v>
      </c>
      <c r="E665">
        <v>6</v>
      </c>
      <c r="F665">
        <v>733</v>
      </c>
      <c r="G665">
        <v>4398</v>
      </c>
      <c r="H665">
        <v>125</v>
      </c>
      <c r="I665">
        <v>5.9</v>
      </c>
      <c r="J665">
        <v>2.59</v>
      </c>
      <c r="K665">
        <v>11390.82</v>
      </c>
    </row>
    <row r="666" spans="1:11" x14ac:dyDescent="0.2">
      <c r="A666">
        <v>85025</v>
      </c>
      <c r="B666">
        <v>2394</v>
      </c>
      <c r="C666" t="s">
        <v>4328</v>
      </c>
      <c r="D666">
        <v>8</v>
      </c>
      <c r="E666">
        <v>6</v>
      </c>
      <c r="F666">
        <v>267</v>
      </c>
      <c r="G666">
        <v>1602</v>
      </c>
      <c r="H666">
        <v>64</v>
      </c>
      <c r="I666">
        <v>4.2</v>
      </c>
      <c r="J666">
        <v>1.99</v>
      </c>
      <c r="K666">
        <v>3187.98</v>
      </c>
    </row>
    <row r="667" spans="1:11" x14ac:dyDescent="0.2">
      <c r="A667">
        <v>61054</v>
      </c>
      <c r="B667">
        <v>2397</v>
      </c>
      <c r="C667" t="s">
        <v>4329</v>
      </c>
      <c r="D667">
        <v>8</v>
      </c>
      <c r="E667">
        <v>6</v>
      </c>
      <c r="F667">
        <v>748</v>
      </c>
      <c r="G667">
        <v>4486</v>
      </c>
      <c r="H667">
        <v>100</v>
      </c>
      <c r="I667">
        <v>7.5</v>
      </c>
      <c r="J667">
        <v>2.99</v>
      </c>
      <c r="K667">
        <v>13413.14</v>
      </c>
    </row>
    <row r="668" spans="1:11" x14ac:dyDescent="0.2">
      <c r="B668">
        <v>2403</v>
      </c>
      <c r="C668" t="s">
        <v>4330</v>
      </c>
      <c r="D668">
        <v>10</v>
      </c>
      <c r="E668">
        <v>16</v>
      </c>
      <c r="F668">
        <v>0</v>
      </c>
      <c r="G668">
        <v>0</v>
      </c>
      <c r="H668">
        <v>112</v>
      </c>
      <c r="I668">
        <v>0</v>
      </c>
      <c r="J668">
        <v>0.89</v>
      </c>
      <c r="K668">
        <v>0</v>
      </c>
    </row>
    <row r="669" spans="1:11" x14ac:dyDescent="0.2">
      <c r="A669">
        <v>65115</v>
      </c>
      <c r="B669">
        <v>2412</v>
      </c>
      <c r="C669" t="s">
        <v>4331</v>
      </c>
      <c r="D669">
        <v>8</v>
      </c>
      <c r="E669">
        <v>6</v>
      </c>
      <c r="F669">
        <v>934</v>
      </c>
      <c r="G669">
        <v>5603</v>
      </c>
      <c r="H669">
        <v>140</v>
      </c>
      <c r="I669">
        <v>6.7</v>
      </c>
      <c r="J669">
        <v>1.77</v>
      </c>
      <c r="K669">
        <v>9917.31</v>
      </c>
    </row>
    <row r="670" spans="1:11" x14ac:dyDescent="0.2">
      <c r="A670">
        <v>91084</v>
      </c>
      <c r="B670">
        <v>2418</v>
      </c>
      <c r="C670" t="s">
        <v>4332</v>
      </c>
      <c r="D670">
        <v>8</v>
      </c>
      <c r="E670">
        <v>1</v>
      </c>
      <c r="F670">
        <v>584</v>
      </c>
      <c r="G670">
        <v>584</v>
      </c>
      <c r="H670">
        <v>704</v>
      </c>
      <c r="I670">
        <v>0.8</v>
      </c>
      <c r="J670">
        <v>3.31</v>
      </c>
      <c r="K670">
        <v>1933.04</v>
      </c>
    </row>
    <row r="671" spans="1:11" x14ac:dyDescent="0.2">
      <c r="B671">
        <v>2423</v>
      </c>
      <c r="C671" t="s">
        <v>4333</v>
      </c>
      <c r="D671">
        <v>6</v>
      </c>
      <c r="E671">
        <v>6</v>
      </c>
      <c r="F671">
        <v>0</v>
      </c>
      <c r="G671">
        <v>0</v>
      </c>
      <c r="H671">
        <v>125</v>
      </c>
      <c r="I671">
        <v>0</v>
      </c>
      <c r="J671">
        <v>2.19</v>
      </c>
      <c r="K671">
        <v>0</v>
      </c>
    </row>
    <row r="672" spans="1:11" x14ac:dyDescent="0.2">
      <c r="A672">
        <v>99741</v>
      </c>
      <c r="B672">
        <v>2426</v>
      </c>
      <c r="C672" t="s">
        <v>4334</v>
      </c>
      <c r="D672">
        <v>10</v>
      </c>
      <c r="E672">
        <v>6</v>
      </c>
      <c r="F672">
        <v>0</v>
      </c>
      <c r="G672">
        <v>0</v>
      </c>
      <c r="H672">
        <v>150</v>
      </c>
      <c r="I672">
        <v>0</v>
      </c>
      <c r="J672">
        <v>3.4</v>
      </c>
      <c r="K672">
        <v>0</v>
      </c>
    </row>
    <row r="673" spans="1:12" x14ac:dyDescent="0.2">
      <c r="A673">
        <v>74017</v>
      </c>
      <c r="B673">
        <v>2429</v>
      </c>
      <c r="C673" t="s">
        <v>4335</v>
      </c>
      <c r="D673">
        <v>8</v>
      </c>
      <c r="E673">
        <v>12</v>
      </c>
      <c r="F673">
        <v>233</v>
      </c>
      <c r="G673">
        <v>2795</v>
      </c>
      <c r="H673">
        <v>50</v>
      </c>
      <c r="I673">
        <v>4.7</v>
      </c>
      <c r="J673">
        <v>2.75</v>
      </c>
      <c r="K673">
        <v>7686.25</v>
      </c>
    </row>
    <row r="674" spans="1:12" x14ac:dyDescent="0.2">
      <c r="A674">
        <v>57228</v>
      </c>
      <c r="B674">
        <v>2434</v>
      </c>
      <c r="C674" t="s">
        <v>4336</v>
      </c>
      <c r="D674">
        <v>11</v>
      </c>
      <c r="E674">
        <v>72</v>
      </c>
      <c r="F674">
        <v>0</v>
      </c>
      <c r="G674">
        <v>0</v>
      </c>
      <c r="H674">
        <v>4</v>
      </c>
      <c r="I674">
        <v>0</v>
      </c>
      <c r="J674">
        <v>5.56</v>
      </c>
      <c r="K674">
        <v>0</v>
      </c>
    </row>
    <row r="675" spans="1:12" x14ac:dyDescent="0.2">
      <c r="A675">
        <v>30670</v>
      </c>
      <c r="B675">
        <v>2439</v>
      </c>
      <c r="C675" t="s">
        <v>4337</v>
      </c>
      <c r="D675">
        <v>11</v>
      </c>
      <c r="E675">
        <v>1</v>
      </c>
      <c r="F675">
        <v>1039</v>
      </c>
      <c r="G675">
        <v>1039</v>
      </c>
      <c r="H675">
        <v>4</v>
      </c>
      <c r="I675">
        <v>259.8</v>
      </c>
      <c r="J675">
        <v>8.89</v>
      </c>
      <c r="K675">
        <v>9236.7099999999991</v>
      </c>
      <c r="L675" t="s">
        <v>3699</v>
      </c>
    </row>
    <row r="676" spans="1:12" x14ac:dyDescent="0.2">
      <c r="A676">
        <v>30671</v>
      </c>
      <c r="B676">
        <v>2440</v>
      </c>
      <c r="C676" t="s">
        <v>4338</v>
      </c>
      <c r="D676">
        <v>11</v>
      </c>
      <c r="E676">
        <v>1</v>
      </c>
      <c r="F676">
        <v>679</v>
      </c>
      <c r="G676">
        <v>679</v>
      </c>
      <c r="H676">
        <v>4</v>
      </c>
      <c r="I676">
        <v>169.8</v>
      </c>
      <c r="J676">
        <v>9.2899999999999991</v>
      </c>
      <c r="K676">
        <v>6307.91</v>
      </c>
      <c r="L676" t="s">
        <v>3699</v>
      </c>
    </row>
    <row r="677" spans="1:12" x14ac:dyDescent="0.2">
      <c r="A677">
        <v>30672</v>
      </c>
      <c r="B677">
        <v>2441</v>
      </c>
      <c r="C677" t="s">
        <v>4339</v>
      </c>
      <c r="D677">
        <v>11</v>
      </c>
      <c r="E677">
        <v>1</v>
      </c>
      <c r="F677">
        <v>1588</v>
      </c>
      <c r="G677">
        <v>1588</v>
      </c>
      <c r="H677">
        <v>4</v>
      </c>
      <c r="I677">
        <v>397</v>
      </c>
      <c r="J677">
        <v>9.2899999999999991</v>
      </c>
      <c r="K677">
        <v>14752.52</v>
      </c>
      <c r="L677" t="s">
        <v>3699</v>
      </c>
    </row>
    <row r="678" spans="1:12" x14ac:dyDescent="0.2">
      <c r="A678">
        <v>30673</v>
      </c>
      <c r="B678">
        <v>2444</v>
      </c>
      <c r="C678" t="s">
        <v>4340</v>
      </c>
      <c r="D678">
        <v>11</v>
      </c>
      <c r="E678">
        <v>1</v>
      </c>
      <c r="F678">
        <v>108</v>
      </c>
      <c r="G678">
        <v>108</v>
      </c>
      <c r="H678">
        <v>4</v>
      </c>
      <c r="I678">
        <v>27</v>
      </c>
      <c r="J678">
        <v>9.89</v>
      </c>
      <c r="K678">
        <v>1068.1199999999999</v>
      </c>
      <c r="L678" t="s">
        <v>3699</v>
      </c>
    </row>
    <row r="679" spans="1:12" x14ac:dyDescent="0.2">
      <c r="A679">
        <v>30675</v>
      </c>
      <c r="B679">
        <v>2445</v>
      </c>
      <c r="C679" t="s">
        <v>4341</v>
      </c>
      <c r="D679">
        <v>11</v>
      </c>
      <c r="E679">
        <v>1</v>
      </c>
      <c r="F679">
        <v>381</v>
      </c>
      <c r="G679">
        <v>381</v>
      </c>
      <c r="H679">
        <v>4</v>
      </c>
      <c r="I679">
        <v>95.3</v>
      </c>
      <c r="J679">
        <v>9.2899999999999991</v>
      </c>
      <c r="K679">
        <v>3539.49</v>
      </c>
      <c r="L679" t="s">
        <v>3699</v>
      </c>
    </row>
    <row r="680" spans="1:12" x14ac:dyDescent="0.2">
      <c r="A680">
        <v>30676</v>
      </c>
      <c r="B680">
        <v>2446</v>
      </c>
      <c r="C680" t="s">
        <v>4342</v>
      </c>
      <c r="D680">
        <v>11</v>
      </c>
      <c r="E680">
        <v>1</v>
      </c>
      <c r="F680">
        <v>264</v>
      </c>
      <c r="G680">
        <v>264</v>
      </c>
      <c r="H680">
        <v>4</v>
      </c>
      <c r="I680">
        <v>66</v>
      </c>
      <c r="J680">
        <v>7.29</v>
      </c>
      <c r="K680">
        <v>1924.56</v>
      </c>
      <c r="L680" t="s">
        <v>3699</v>
      </c>
    </row>
    <row r="681" spans="1:12" x14ac:dyDescent="0.2">
      <c r="A681">
        <v>30678</v>
      </c>
      <c r="B681">
        <v>2447</v>
      </c>
      <c r="C681" t="s">
        <v>4343</v>
      </c>
      <c r="D681">
        <v>11</v>
      </c>
      <c r="E681">
        <v>1</v>
      </c>
      <c r="F681">
        <v>862</v>
      </c>
      <c r="G681">
        <v>862</v>
      </c>
      <c r="H681">
        <v>4</v>
      </c>
      <c r="I681">
        <v>215.5</v>
      </c>
      <c r="J681">
        <v>9.9</v>
      </c>
      <c r="K681">
        <v>8533.7999999999993</v>
      </c>
      <c r="L681" t="s">
        <v>3699</v>
      </c>
    </row>
    <row r="682" spans="1:12" x14ac:dyDescent="0.2">
      <c r="A682">
        <v>70190</v>
      </c>
      <c r="B682">
        <v>2449</v>
      </c>
      <c r="C682" t="s">
        <v>4344</v>
      </c>
      <c r="D682">
        <v>8</v>
      </c>
      <c r="E682">
        <v>12</v>
      </c>
      <c r="F682">
        <v>338</v>
      </c>
      <c r="G682">
        <v>4054</v>
      </c>
      <c r="H682">
        <v>120</v>
      </c>
      <c r="I682">
        <v>2.8</v>
      </c>
      <c r="J682">
        <v>1.97</v>
      </c>
      <c r="K682">
        <v>7986.38</v>
      </c>
    </row>
    <row r="683" spans="1:12" x14ac:dyDescent="0.2">
      <c r="A683">
        <v>70175</v>
      </c>
      <c r="B683">
        <v>2450</v>
      </c>
      <c r="C683" t="s">
        <v>4345</v>
      </c>
      <c r="D683">
        <v>8</v>
      </c>
      <c r="E683">
        <v>12</v>
      </c>
      <c r="F683">
        <v>462</v>
      </c>
      <c r="G683">
        <v>5544</v>
      </c>
      <c r="H683">
        <v>120</v>
      </c>
      <c r="I683">
        <v>3.9</v>
      </c>
      <c r="J683">
        <v>1.94</v>
      </c>
      <c r="K683">
        <v>10755.36</v>
      </c>
    </row>
    <row r="684" spans="1:12" x14ac:dyDescent="0.2">
      <c r="A684">
        <v>70124</v>
      </c>
      <c r="B684">
        <v>2451</v>
      </c>
      <c r="C684" t="s">
        <v>4346</v>
      </c>
      <c r="D684">
        <v>8</v>
      </c>
      <c r="E684">
        <v>12</v>
      </c>
      <c r="F684">
        <v>284</v>
      </c>
      <c r="G684">
        <v>3408</v>
      </c>
      <c r="H684">
        <v>96</v>
      </c>
      <c r="I684">
        <v>3</v>
      </c>
      <c r="J684">
        <v>3.66</v>
      </c>
      <c r="K684">
        <v>12473.28</v>
      </c>
    </row>
    <row r="685" spans="1:12" x14ac:dyDescent="0.2">
      <c r="A685">
        <v>95113</v>
      </c>
      <c r="B685">
        <v>2465</v>
      </c>
      <c r="C685" t="s">
        <v>4347</v>
      </c>
      <c r="D685">
        <v>8</v>
      </c>
      <c r="E685">
        <v>4</v>
      </c>
      <c r="F685">
        <v>5252</v>
      </c>
      <c r="G685">
        <v>21009</v>
      </c>
      <c r="H685">
        <v>72</v>
      </c>
      <c r="I685">
        <v>72.900000000000006</v>
      </c>
      <c r="J685">
        <v>1.99</v>
      </c>
      <c r="K685">
        <v>41807.910000000003</v>
      </c>
    </row>
    <row r="686" spans="1:12" x14ac:dyDescent="0.2">
      <c r="A686">
        <v>57335</v>
      </c>
      <c r="B686">
        <v>2469</v>
      </c>
      <c r="C686" t="s">
        <v>4348</v>
      </c>
      <c r="D686">
        <v>10</v>
      </c>
      <c r="E686">
        <v>1</v>
      </c>
      <c r="F686">
        <v>0</v>
      </c>
      <c r="G686">
        <v>0</v>
      </c>
      <c r="H686">
        <v>140</v>
      </c>
      <c r="I686">
        <v>0</v>
      </c>
      <c r="J686">
        <v>4.99</v>
      </c>
      <c r="K686">
        <v>0</v>
      </c>
    </row>
    <row r="687" spans="1:12" x14ac:dyDescent="0.2">
      <c r="A687">
        <v>95440</v>
      </c>
      <c r="B687">
        <v>2471</v>
      </c>
      <c r="C687" t="s">
        <v>4349</v>
      </c>
      <c r="D687">
        <v>8</v>
      </c>
      <c r="E687">
        <v>1</v>
      </c>
      <c r="F687">
        <v>5182</v>
      </c>
      <c r="G687">
        <v>5182</v>
      </c>
      <c r="H687">
        <v>140</v>
      </c>
      <c r="I687">
        <v>37</v>
      </c>
      <c r="J687">
        <v>5.19</v>
      </c>
      <c r="K687">
        <v>26894.58</v>
      </c>
    </row>
    <row r="688" spans="1:12" x14ac:dyDescent="0.2">
      <c r="A688">
        <v>57409</v>
      </c>
      <c r="B688">
        <v>2488</v>
      </c>
      <c r="C688" t="s">
        <v>4350</v>
      </c>
      <c r="D688">
        <v>10</v>
      </c>
      <c r="E688">
        <v>1</v>
      </c>
      <c r="F688">
        <v>0</v>
      </c>
      <c r="G688">
        <v>0</v>
      </c>
      <c r="H688">
        <v>4</v>
      </c>
      <c r="I688">
        <v>0</v>
      </c>
      <c r="J688">
        <v>1</v>
      </c>
      <c r="K688">
        <v>0</v>
      </c>
    </row>
    <row r="689" spans="1:11" x14ac:dyDescent="0.2">
      <c r="A689">
        <v>57410</v>
      </c>
      <c r="B689">
        <v>2489</v>
      </c>
      <c r="C689" t="s">
        <v>4351</v>
      </c>
      <c r="D689">
        <v>10</v>
      </c>
      <c r="E689">
        <v>1</v>
      </c>
      <c r="F689">
        <v>0</v>
      </c>
      <c r="G689">
        <v>0</v>
      </c>
      <c r="H689">
        <v>4</v>
      </c>
      <c r="I689">
        <v>0</v>
      </c>
      <c r="J689">
        <v>1</v>
      </c>
      <c r="K689">
        <v>0</v>
      </c>
    </row>
    <row r="690" spans="1:11" x14ac:dyDescent="0.2">
      <c r="A690">
        <v>57411</v>
      </c>
      <c r="B690">
        <v>2498</v>
      </c>
      <c r="C690" t="s">
        <v>4352</v>
      </c>
      <c r="D690">
        <v>10</v>
      </c>
      <c r="E690">
        <v>1</v>
      </c>
      <c r="F690">
        <v>0</v>
      </c>
      <c r="G690">
        <v>0</v>
      </c>
      <c r="H690">
        <v>4</v>
      </c>
      <c r="I690">
        <v>0</v>
      </c>
      <c r="J690">
        <v>1</v>
      </c>
      <c r="K690">
        <v>0</v>
      </c>
    </row>
    <row r="691" spans="1:11" x14ac:dyDescent="0.2">
      <c r="A691">
        <v>88013</v>
      </c>
      <c r="B691">
        <v>2505</v>
      </c>
      <c r="C691" t="s">
        <v>4353</v>
      </c>
      <c r="D691">
        <v>8</v>
      </c>
      <c r="E691">
        <v>16</v>
      </c>
      <c r="F691">
        <v>147</v>
      </c>
      <c r="G691">
        <v>2352</v>
      </c>
      <c r="H691">
        <v>49</v>
      </c>
      <c r="I691">
        <v>3</v>
      </c>
      <c r="J691">
        <v>2.19</v>
      </c>
      <c r="K691">
        <v>5150.88</v>
      </c>
    </row>
    <row r="692" spans="1:11" x14ac:dyDescent="0.2">
      <c r="B692">
        <v>2509</v>
      </c>
      <c r="C692" t="s">
        <v>4354</v>
      </c>
      <c r="D692">
        <v>11</v>
      </c>
      <c r="E692">
        <v>24</v>
      </c>
      <c r="F692">
        <v>0</v>
      </c>
      <c r="G692">
        <v>0</v>
      </c>
      <c r="H692">
        <v>54</v>
      </c>
      <c r="I692">
        <v>0</v>
      </c>
      <c r="J692">
        <v>3.99</v>
      </c>
      <c r="K692">
        <v>0</v>
      </c>
    </row>
    <row r="693" spans="1:11" x14ac:dyDescent="0.2">
      <c r="A693">
        <v>87085</v>
      </c>
      <c r="B693">
        <v>2517</v>
      </c>
      <c r="C693" t="s">
        <v>4355</v>
      </c>
      <c r="D693">
        <v>8</v>
      </c>
      <c r="E693">
        <v>8</v>
      </c>
      <c r="F693">
        <v>0</v>
      </c>
      <c r="G693">
        <v>0</v>
      </c>
      <c r="H693">
        <v>77</v>
      </c>
      <c r="I693">
        <v>0</v>
      </c>
      <c r="J693">
        <v>7.78</v>
      </c>
      <c r="K693">
        <v>0</v>
      </c>
    </row>
    <row r="694" spans="1:11" x14ac:dyDescent="0.2">
      <c r="A694">
        <v>89001</v>
      </c>
      <c r="B694">
        <v>2541</v>
      </c>
      <c r="C694" t="s">
        <v>4356</v>
      </c>
      <c r="D694">
        <v>8</v>
      </c>
      <c r="E694">
        <v>10</v>
      </c>
      <c r="F694">
        <v>270</v>
      </c>
      <c r="G694">
        <v>2700</v>
      </c>
      <c r="H694">
        <v>45</v>
      </c>
      <c r="I694">
        <v>6</v>
      </c>
      <c r="J694">
        <v>1.1399999999999999</v>
      </c>
      <c r="K694">
        <v>3078</v>
      </c>
    </row>
    <row r="695" spans="1:11" x14ac:dyDescent="0.2">
      <c r="A695">
        <v>88001</v>
      </c>
      <c r="B695">
        <v>2543</v>
      </c>
      <c r="C695" t="s">
        <v>4357</v>
      </c>
      <c r="D695">
        <v>8</v>
      </c>
      <c r="E695">
        <v>8</v>
      </c>
      <c r="F695">
        <v>0</v>
      </c>
      <c r="G695">
        <v>0</v>
      </c>
      <c r="H695">
        <v>77</v>
      </c>
      <c r="I695">
        <v>0</v>
      </c>
      <c r="J695">
        <v>5.75</v>
      </c>
      <c r="K695">
        <v>0</v>
      </c>
    </row>
    <row r="696" spans="1:11" x14ac:dyDescent="0.2">
      <c r="A696">
        <v>86062</v>
      </c>
      <c r="B696">
        <v>2547</v>
      </c>
      <c r="C696" t="s">
        <v>4358</v>
      </c>
      <c r="D696">
        <v>8</v>
      </c>
      <c r="E696">
        <v>12</v>
      </c>
      <c r="F696">
        <v>405</v>
      </c>
      <c r="G696">
        <v>4860</v>
      </c>
      <c r="H696">
        <v>60</v>
      </c>
      <c r="I696">
        <v>6.8</v>
      </c>
      <c r="J696">
        <v>0.95</v>
      </c>
      <c r="K696">
        <v>4617</v>
      </c>
    </row>
    <row r="697" spans="1:11" x14ac:dyDescent="0.2">
      <c r="A697">
        <v>88049</v>
      </c>
      <c r="B697">
        <v>2548</v>
      </c>
      <c r="C697" t="s">
        <v>4359</v>
      </c>
      <c r="D697">
        <v>8</v>
      </c>
      <c r="E697">
        <v>12</v>
      </c>
      <c r="F697">
        <v>189</v>
      </c>
      <c r="G697">
        <v>2268</v>
      </c>
      <c r="H697">
        <v>63</v>
      </c>
      <c r="I697">
        <v>3</v>
      </c>
      <c r="J697">
        <v>1.99</v>
      </c>
      <c r="K697">
        <v>4513.32</v>
      </c>
    </row>
    <row r="698" spans="1:11" x14ac:dyDescent="0.2">
      <c r="A698">
        <v>87074</v>
      </c>
      <c r="B698">
        <v>2554</v>
      </c>
      <c r="C698" t="s">
        <v>4360</v>
      </c>
      <c r="D698">
        <v>8</v>
      </c>
      <c r="E698">
        <v>8</v>
      </c>
      <c r="F698">
        <v>0</v>
      </c>
      <c r="G698">
        <v>0</v>
      </c>
      <c r="H698">
        <v>70</v>
      </c>
      <c r="I698">
        <v>0</v>
      </c>
      <c r="J698">
        <v>4.6900000000000004</v>
      </c>
      <c r="K698">
        <v>0</v>
      </c>
    </row>
    <row r="699" spans="1:11" x14ac:dyDescent="0.2">
      <c r="A699">
        <v>87062</v>
      </c>
      <c r="B699">
        <v>2557</v>
      </c>
      <c r="C699" t="s">
        <v>4361</v>
      </c>
      <c r="D699">
        <v>8</v>
      </c>
      <c r="E699">
        <v>14</v>
      </c>
      <c r="F699">
        <v>150</v>
      </c>
      <c r="G699">
        <v>2100</v>
      </c>
      <c r="H699">
        <v>50</v>
      </c>
      <c r="I699">
        <v>3</v>
      </c>
      <c r="J699">
        <v>2.99</v>
      </c>
      <c r="K699">
        <v>6279</v>
      </c>
    </row>
    <row r="700" spans="1:11" x14ac:dyDescent="0.2">
      <c r="A700">
        <v>83144</v>
      </c>
      <c r="B700">
        <v>2560</v>
      </c>
      <c r="C700" t="s">
        <v>4362</v>
      </c>
      <c r="D700">
        <v>8</v>
      </c>
      <c r="E700">
        <v>6</v>
      </c>
      <c r="F700">
        <v>268</v>
      </c>
      <c r="G700">
        <v>1608</v>
      </c>
      <c r="H700">
        <v>30</v>
      </c>
      <c r="I700">
        <v>8.9</v>
      </c>
      <c r="J700">
        <v>2.72</v>
      </c>
      <c r="K700">
        <v>4373.76</v>
      </c>
    </row>
    <row r="701" spans="1:11" x14ac:dyDescent="0.2">
      <c r="A701">
        <v>87077</v>
      </c>
      <c r="B701">
        <v>2569</v>
      </c>
      <c r="C701" t="s">
        <v>4363</v>
      </c>
      <c r="D701">
        <v>8</v>
      </c>
      <c r="E701">
        <v>12</v>
      </c>
      <c r="F701">
        <v>0</v>
      </c>
      <c r="G701">
        <v>0</v>
      </c>
      <c r="H701">
        <v>40</v>
      </c>
      <c r="I701">
        <v>0</v>
      </c>
      <c r="J701">
        <v>5.45</v>
      </c>
      <c r="K701">
        <v>0</v>
      </c>
    </row>
    <row r="702" spans="1:11" x14ac:dyDescent="0.2">
      <c r="A702">
        <v>99099</v>
      </c>
      <c r="B702">
        <v>2570</v>
      </c>
      <c r="C702" t="s">
        <v>4364</v>
      </c>
      <c r="D702">
        <v>10</v>
      </c>
      <c r="E702">
        <v>10</v>
      </c>
      <c r="F702">
        <v>0</v>
      </c>
      <c r="G702">
        <v>0</v>
      </c>
      <c r="H702">
        <v>50</v>
      </c>
      <c r="I702">
        <v>0</v>
      </c>
      <c r="J702">
        <v>2.79</v>
      </c>
      <c r="K702">
        <v>0</v>
      </c>
    </row>
    <row r="703" spans="1:11" x14ac:dyDescent="0.2">
      <c r="A703">
        <v>86061</v>
      </c>
      <c r="B703">
        <v>2591</v>
      </c>
      <c r="C703" t="s">
        <v>4365</v>
      </c>
      <c r="D703">
        <v>8</v>
      </c>
      <c r="E703">
        <v>10</v>
      </c>
      <c r="F703">
        <v>126</v>
      </c>
      <c r="G703">
        <v>1260</v>
      </c>
      <c r="H703">
        <v>63</v>
      </c>
      <c r="I703">
        <v>2</v>
      </c>
      <c r="J703">
        <v>0.89</v>
      </c>
      <c r="K703">
        <v>1121.4000000000001</v>
      </c>
    </row>
    <row r="704" spans="1:11" x14ac:dyDescent="0.2">
      <c r="A704">
        <v>69170</v>
      </c>
      <c r="B704">
        <v>2601</v>
      </c>
      <c r="C704" t="s">
        <v>4366</v>
      </c>
      <c r="D704">
        <v>8</v>
      </c>
      <c r="E704">
        <v>68</v>
      </c>
      <c r="F704">
        <v>637</v>
      </c>
      <c r="G704">
        <v>43313</v>
      </c>
      <c r="H704">
        <v>96</v>
      </c>
      <c r="I704">
        <v>6.6</v>
      </c>
      <c r="J704">
        <v>0.24</v>
      </c>
      <c r="K704">
        <v>10395.120000000001</v>
      </c>
    </row>
    <row r="705" spans="1:11" x14ac:dyDescent="0.2">
      <c r="A705">
        <v>69120</v>
      </c>
      <c r="B705">
        <v>2602</v>
      </c>
      <c r="C705" t="s">
        <v>4367</v>
      </c>
      <c r="D705">
        <v>8</v>
      </c>
      <c r="E705">
        <v>18</v>
      </c>
      <c r="F705">
        <v>284</v>
      </c>
      <c r="G705">
        <v>5109</v>
      </c>
      <c r="H705">
        <v>104</v>
      </c>
      <c r="I705">
        <v>2.7</v>
      </c>
      <c r="J705">
        <v>0.65</v>
      </c>
      <c r="K705">
        <v>3320.85</v>
      </c>
    </row>
    <row r="706" spans="1:11" x14ac:dyDescent="0.2">
      <c r="B706">
        <v>2604</v>
      </c>
      <c r="C706" t="s">
        <v>4368</v>
      </c>
      <c r="D706">
        <v>11</v>
      </c>
      <c r="E706">
        <v>30</v>
      </c>
      <c r="F706">
        <v>0</v>
      </c>
      <c r="G706">
        <v>0</v>
      </c>
      <c r="H706">
        <v>64</v>
      </c>
      <c r="I706">
        <v>0</v>
      </c>
      <c r="J706">
        <v>0.99</v>
      </c>
      <c r="K706">
        <v>0</v>
      </c>
    </row>
    <row r="707" spans="1:11" x14ac:dyDescent="0.2">
      <c r="A707">
        <v>69118</v>
      </c>
      <c r="B707">
        <v>2607</v>
      </c>
      <c r="C707" t="s">
        <v>4369</v>
      </c>
      <c r="D707">
        <v>8</v>
      </c>
      <c r="E707">
        <v>6</v>
      </c>
      <c r="F707">
        <v>146</v>
      </c>
      <c r="G707">
        <v>875</v>
      </c>
      <c r="H707">
        <v>144</v>
      </c>
      <c r="I707">
        <v>1</v>
      </c>
      <c r="J707">
        <v>1.39</v>
      </c>
      <c r="K707">
        <v>1216.25</v>
      </c>
    </row>
    <row r="708" spans="1:11" x14ac:dyDescent="0.2">
      <c r="B708">
        <v>2609</v>
      </c>
      <c r="C708" t="s">
        <v>4370</v>
      </c>
      <c r="D708">
        <v>11</v>
      </c>
      <c r="E708">
        <v>1</v>
      </c>
      <c r="F708">
        <v>0</v>
      </c>
      <c r="G708">
        <v>0</v>
      </c>
      <c r="H708">
        <v>210</v>
      </c>
      <c r="I708">
        <v>0</v>
      </c>
      <c r="J708">
        <v>2.99</v>
      </c>
      <c r="K708">
        <v>0</v>
      </c>
    </row>
    <row r="709" spans="1:11" x14ac:dyDescent="0.2">
      <c r="A709">
        <v>50630</v>
      </c>
      <c r="B709">
        <v>2614</v>
      </c>
      <c r="C709" t="s">
        <v>4371</v>
      </c>
      <c r="D709">
        <v>10</v>
      </c>
      <c r="E709">
        <v>48</v>
      </c>
      <c r="F709">
        <v>0</v>
      </c>
      <c r="G709">
        <v>0</v>
      </c>
      <c r="H709">
        <v>4</v>
      </c>
      <c r="I709">
        <v>0</v>
      </c>
      <c r="J709">
        <v>8.99</v>
      </c>
      <c r="K709">
        <v>0</v>
      </c>
    </row>
    <row r="710" spans="1:11" x14ac:dyDescent="0.2">
      <c r="A710">
        <v>67192</v>
      </c>
      <c r="B710">
        <v>2622</v>
      </c>
      <c r="C710" t="s">
        <v>4372</v>
      </c>
      <c r="D710">
        <v>8</v>
      </c>
      <c r="E710">
        <v>6</v>
      </c>
      <c r="F710">
        <v>756</v>
      </c>
      <c r="G710">
        <v>4536</v>
      </c>
      <c r="H710">
        <v>80</v>
      </c>
      <c r="I710">
        <v>9.5</v>
      </c>
      <c r="J710">
        <v>6.19</v>
      </c>
      <c r="K710">
        <v>28077.84</v>
      </c>
    </row>
    <row r="711" spans="1:11" x14ac:dyDescent="0.2">
      <c r="A711">
        <v>67153</v>
      </c>
      <c r="B711">
        <v>2623</v>
      </c>
      <c r="C711" t="s">
        <v>4373</v>
      </c>
      <c r="D711">
        <v>8</v>
      </c>
      <c r="E711">
        <v>8</v>
      </c>
      <c r="F711">
        <v>310</v>
      </c>
      <c r="G711">
        <v>2480</v>
      </c>
      <c r="H711">
        <v>45</v>
      </c>
      <c r="I711">
        <v>6.9</v>
      </c>
      <c r="J711">
        <v>2.89</v>
      </c>
      <c r="K711">
        <v>7167.2</v>
      </c>
    </row>
    <row r="712" spans="1:11" x14ac:dyDescent="0.2">
      <c r="A712">
        <v>57229</v>
      </c>
      <c r="B712">
        <v>2624</v>
      </c>
      <c r="C712" t="s">
        <v>4374</v>
      </c>
      <c r="D712">
        <v>11</v>
      </c>
      <c r="E712">
        <v>64</v>
      </c>
      <c r="F712">
        <v>0</v>
      </c>
      <c r="G712">
        <v>0</v>
      </c>
      <c r="H712">
        <v>2</v>
      </c>
      <c r="I712">
        <v>0</v>
      </c>
      <c r="J712">
        <v>6.3</v>
      </c>
      <c r="K712">
        <v>0</v>
      </c>
    </row>
    <row r="713" spans="1:11" x14ac:dyDescent="0.2">
      <c r="A713">
        <v>72017</v>
      </c>
      <c r="B713">
        <v>2626</v>
      </c>
      <c r="C713" t="s">
        <v>4375</v>
      </c>
      <c r="D713">
        <v>8</v>
      </c>
      <c r="E713">
        <v>16</v>
      </c>
      <c r="F713">
        <v>173</v>
      </c>
      <c r="G713">
        <v>2767</v>
      </c>
      <c r="H713">
        <v>42</v>
      </c>
      <c r="I713">
        <v>4.0999999999999996</v>
      </c>
      <c r="J713">
        <v>0.89</v>
      </c>
      <c r="K713">
        <v>2462.63</v>
      </c>
    </row>
    <row r="714" spans="1:11" x14ac:dyDescent="0.2">
      <c r="A714">
        <v>38503</v>
      </c>
      <c r="B714">
        <v>2628</v>
      </c>
      <c r="C714" t="s">
        <v>4376</v>
      </c>
      <c r="D714">
        <v>10</v>
      </c>
      <c r="E714">
        <v>16</v>
      </c>
      <c r="F714">
        <v>0</v>
      </c>
      <c r="G714">
        <v>0</v>
      </c>
      <c r="H714">
        <v>72</v>
      </c>
      <c r="I714">
        <v>0</v>
      </c>
      <c r="J714">
        <v>2.2799999999999998</v>
      </c>
      <c r="K714">
        <v>0</v>
      </c>
    </row>
    <row r="715" spans="1:11" x14ac:dyDescent="0.2">
      <c r="A715">
        <v>50622</v>
      </c>
      <c r="B715">
        <v>2629</v>
      </c>
      <c r="C715" t="s">
        <v>4299</v>
      </c>
      <c r="D715">
        <v>10</v>
      </c>
      <c r="E715">
        <v>120</v>
      </c>
      <c r="F715">
        <v>-1</v>
      </c>
      <c r="G715">
        <v>-98</v>
      </c>
      <c r="H715">
        <v>4</v>
      </c>
      <c r="I715">
        <v>-0.2</v>
      </c>
      <c r="J715">
        <v>4.8899999999999997</v>
      </c>
      <c r="K715">
        <v>-479.22</v>
      </c>
    </row>
    <row r="716" spans="1:11" x14ac:dyDescent="0.2">
      <c r="A716">
        <v>47670</v>
      </c>
      <c r="B716">
        <v>2634</v>
      </c>
      <c r="C716" t="s">
        <v>4377</v>
      </c>
      <c r="D716">
        <v>10</v>
      </c>
      <c r="E716">
        <v>1</v>
      </c>
      <c r="F716">
        <v>0</v>
      </c>
      <c r="G716">
        <v>0</v>
      </c>
      <c r="H716">
        <v>168</v>
      </c>
      <c r="I716">
        <v>0</v>
      </c>
      <c r="J716">
        <v>5.99</v>
      </c>
      <c r="K716">
        <v>0</v>
      </c>
    </row>
    <row r="717" spans="1:11" x14ac:dyDescent="0.2">
      <c r="B717">
        <v>2637</v>
      </c>
      <c r="C717" t="s">
        <v>4378</v>
      </c>
      <c r="D717">
        <v>11</v>
      </c>
      <c r="E717">
        <v>48</v>
      </c>
      <c r="F717">
        <v>0</v>
      </c>
      <c r="G717">
        <v>0</v>
      </c>
      <c r="H717">
        <v>72</v>
      </c>
      <c r="I717">
        <v>0</v>
      </c>
      <c r="J717">
        <v>3.09</v>
      </c>
      <c r="K717">
        <v>0</v>
      </c>
    </row>
    <row r="718" spans="1:11" x14ac:dyDescent="0.2">
      <c r="A718">
        <v>70170</v>
      </c>
      <c r="B718">
        <v>2638</v>
      </c>
      <c r="C718" t="s">
        <v>4379</v>
      </c>
      <c r="D718">
        <v>8</v>
      </c>
      <c r="E718">
        <v>48</v>
      </c>
      <c r="F718">
        <v>203</v>
      </c>
      <c r="G718">
        <v>9744</v>
      </c>
      <c r="H718">
        <v>126</v>
      </c>
      <c r="I718">
        <v>1.6</v>
      </c>
      <c r="J718">
        <v>1.45</v>
      </c>
      <c r="K718">
        <v>14128.8</v>
      </c>
    </row>
    <row r="719" spans="1:11" x14ac:dyDescent="0.2">
      <c r="B719">
        <v>2640</v>
      </c>
      <c r="C719" t="s">
        <v>4380</v>
      </c>
      <c r="D719">
        <v>11</v>
      </c>
      <c r="E719">
        <v>60</v>
      </c>
      <c r="F719">
        <v>0</v>
      </c>
      <c r="G719">
        <v>0</v>
      </c>
      <c r="H719">
        <v>2</v>
      </c>
      <c r="I719">
        <v>0</v>
      </c>
      <c r="J719">
        <v>3.15</v>
      </c>
      <c r="K719">
        <v>0</v>
      </c>
    </row>
    <row r="720" spans="1:11" x14ac:dyDescent="0.2">
      <c r="A720">
        <v>69087</v>
      </c>
      <c r="B720">
        <v>2642</v>
      </c>
      <c r="C720" t="s">
        <v>4381</v>
      </c>
      <c r="D720">
        <v>8</v>
      </c>
      <c r="E720">
        <v>20</v>
      </c>
      <c r="F720">
        <v>1122</v>
      </c>
      <c r="G720">
        <v>22446</v>
      </c>
      <c r="H720">
        <v>104</v>
      </c>
      <c r="I720">
        <v>10.8</v>
      </c>
      <c r="J720">
        <v>0.42</v>
      </c>
      <c r="K720">
        <v>9427.32</v>
      </c>
    </row>
    <row r="721" spans="1:11" x14ac:dyDescent="0.2">
      <c r="A721">
        <v>69093</v>
      </c>
      <c r="B721">
        <v>2643</v>
      </c>
      <c r="C721" t="s">
        <v>4382</v>
      </c>
      <c r="D721">
        <v>8</v>
      </c>
      <c r="E721">
        <v>20</v>
      </c>
      <c r="F721">
        <v>482</v>
      </c>
      <c r="G721">
        <v>9640</v>
      </c>
      <c r="H721">
        <v>104</v>
      </c>
      <c r="I721">
        <v>4.5999999999999996</v>
      </c>
      <c r="J721">
        <v>0.55000000000000004</v>
      </c>
      <c r="K721">
        <v>5302</v>
      </c>
    </row>
    <row r="722" spans="1:11" x14ac:dyDescent="0.2">
      <c r="A722">
        <v>69105</v>
      </c>
      <c r="B722">
        <v>2647</v>
      </c>
      <c r="C722" t="s">
        <v>4383</v>
      </c>
      <c r="D722">
        <v>8</v>
      </c>
      <c r="E722">
        <v>6</v>
      </c>
      <c r="F722">
        <v>1612</v>
      </c>
      <c r="G722">
        <v>9669</v>
      </c>
      <c r="H722">
        <v>104</v>
      </c>
      <c r="I722">
        <v>15.5</v>
      </c>
      <c r="J722">
        <v>0.99</v>
      </c>
      <c r="K722">
        <v>9572.31</v>
      </c>
    </row>
    <row r="723" spans="1:11" x14ac:dyDescent="0.2">
      <c r="A723">
        <v>69127</v>
      </c>
      <c r="B723">
        <v>2648</v>
      </c>
      <c r="C723" t="s">
        <v>4384</v>
      </c>
      <c r="D723">
        <v>8</v>
      </c>
      <c r="E723">
        <v>10</v>
      </c>
      <c r="F723">
        <v>530</v>
      </c>
      <c r="G723">
        <v>5298</v>
      </c>
      <c r="H723">
        <v>56</v>
      </c>
      <c r="I723">
        <v>9.5</v>
      </c>
      <c r="J723">
        <v>1.55</v>
      </c>
      <c r="K723">
        <v>8211.9</v>
      </c>
    </row>
    <row r="724" spans="1:11" x14ac:dyDescent="0.2">
      <c r="A724">
        <v>69147</v>
      </c>
      <c r="B724">
        <v>2650</v>
      </c>
      <c r="C724" t="s">
        <v>4385</v>
      </c>
      <c r="D724">
        <v>8</v>
      </c>
      <c r="E724">
        <v>6</v>
      </c>
      <c r="F724">
        <v>2682</v>
      </c>
      <c r="G724">
        <v>16092</v>
      </c>
      <c r="H724">
        <v>48</v>
      </c>
      <c r="I724">
        <v>55.9</v>
      </c>
      <c r="J724">
        <v>2.29</v>
      </c>
      <c r="K724">
        <v>36850.68</v>
      </c>
    </row>
    <row r="725" spans="1:11" x14ac:dyDescent="0.2">
      <c r="B725">
        <v>2651</v>
      </c>
      <c r="C725" t="s">
        <v>4386</v>
      </c>
      <c r="D725">
        <v>11</v>
      </c>
      <c r="E725">
        <v>4</v>
      </c>
      <c r="F725">
        <v>-1</v>
      </c>
      <c r="G725">
        <v>-4</v>
      </c>
      <c r="H725">
        <v>48</v>
      </c>
      <c r="I725">
        <v>0</v>
      </c>
      <c r="J725">
        <v>3.59</v>
      </c>
      <c r="K725">
        <v>-14.36</v>
      </c>
    </row>
    <row r="726" spans="1:11" x14ac:dyDescent="0.2">
      <c r="A726">
        <v>69177</v>
      </c>
      <c r="B726">
        <v>2654</v>
      </c>
      <c r="C726" t="s">
        <v>4387</v>
      </c>
      <c r="D726">
        <v>8</v>
      </c>
      <c r="E726">
        <v>12</v>
      </c>
      <c r="F726">
        <v>286</v>
      </c>
      <c r="G726">
        <v>3432</v>
      </c>
      <c r="H726">
        <v>99</v>
      </c>
      <c r="I726">
        <v>2.9</v>
      </c>
      <c r="J726">
        <v>0.9</v>
      </c>
      <c r="K726">
        <v>3088.8</v>
      </c>
    </row>
    <row r="727" spans="1:11" x14ac:dyDescent="0.2">
      <c r="A727">
        <v>74063</v>
      </c>
      <c r="B727">
        <v>2656</v>
      </c>
      <c r="C727" t="s">
        <v>4388</v>
      </c>
      <c r="D727">
        <v>8</v>
      </c>
      <c r="E727">
        <v>12</v>
      </c>
      <c r="F727">
        <v>447</v>
      </c>
      <c r="G727">
        <v>5364</v>
      </c>
      <c r="H727">
        <v>30</v>
      </c>
      <c r="I727">
        <v>14.9</v>
      </c>
      <c r="J727">
        <v>2.65</v>
      </c>
      <c r="K727">
        <v>14214.6</v>
      </c>
    </row>
    <row r="728" spans="1:11" x14ac:dyDescent="0.2">
      <c r="A728">
        <v>70146</v>
      </c>
      <c r="B728">
        <v>2659</v>
      </c>
      <c r="C728" t="s">
        <v>4389</v>
      </c>
      <c r="D728">
        <v>8</v>
      </c>
      <c r="E728">
        <v>18</v>
      </c>
      <c r="F728">
        <v>323</v>
      </c>
      <c r="G728">
        <v>5814</v>
      </c>
      <c r="H728">
        <v>112</v>
      </c>
      <c r="I728">
        <v>2.9</v>
      </c>
      <c r="J728">
        <v>2.25</v>
      </c>
      <c r="K728">
        <v>13081.5</v>
      </c>
    </row>
    <row r="729" spans="1:11" x14ac:dyDescent="0.2">
      <c r="A729">
        <v>83008</v>
      </c>
      <c r="B729">
        <v>2660</v>
      </c>
      <c r="C729" t="s">
        <v>4390</v>
      </c>
      <c r="D729">
        <v>8</v>
      </c>
      <c r="E729">
        <v>16</v>
      </c>
      <c r="F729">
        <v>240</v>
      </c>
      <c r="G729">
        <v>3840</v>
      </c>
      <c r="H729">
        <v>76</v>
      </c>
      <c r="I729">
        <v>3.2</v>
      </c>
      <c r="J729">
        <v>1.99</v>
      </c>
      <c r="K729">
        <v>7641.6</v>
      </c>
    </row>
    <row r="730" spans="1:11" x14ac:dyDescent="0.2">
      <c r="B730">
        <v>2663</v>
      </c>
      <c r="C730" t="s">
        <v>4391</v>
      </c>
      <c r="D730">
        <v>11</v>
      </c>
      <c r="E730">
        <v>14</v>
      </c>
      <c r="F730">
        <v>0</v>
      </c>
      <c r="G730">
        <v>0</v>
      </c>
      <c r="H730">
        <v>288</v>
      </c>
      <c r="I730">
        <v>0</v>
      </c>
      <c r="J730">
        <v>0.3</v>
      </c>
      <c r="K730">
        <v>0</v>
      </c>
    </row>
    <row r="731" spans="1:11" x14ac:dyDescent="0.2">
      <c r="B731">
        <v>2664</v>
      </c>
      <c r="C731" t="s">
        <v>4392</v>
      </c>
      <c r="D731">
        <v>11</v>
      </c>
      <c r="E731">
        <v>13</v>
      </c>
      <c r="F731">
        <v>0</v>
      </c>
      <c r="G731">
        <v>0</v>
      </c>
      <c r="H731">
        <v>288</v>
      </c>
      <c r="I731">
        <v>0</v>
      </c>
      <c r="J731">
        <v>0.41</v>
      </c>
      <c r="K731">
        <v>0</v>
      </c>
    </row>
    <row r="732" spans="1:11" x14ac:dyDescent="0.2">
      <c r="B732">
        <v>2665</v>
      </c>
      <c r="C732" t="s">
        <v>4393</v>
      </c>
      <c r="D732">
        <v>12</v>
      </c>
      <c r="E732">
        <v>18</v>
      </c>
      <c r="F732">
        <v>0</v>
      </c>
      <c r="G732">
        <v>0</v>
      </c>
      <c r="H732">
        <v>288</v>
      </c>
      <c r="I732">
        <v>0</v>
      </c>
      <c r="J732">
        <v>0.45</v>
      </c>
      <c r="K732">
        <v>0</v>
      </c>
    </row>
    <row r="733" spans="1:11" x14ac:dyDescent="0.2">
      <c r="A733">
        <v>73261</v>
      </c>
      <c r="B733">
        <v>2666</v>
      </c>
      <c r="C733" t="s">
        <v>4394</v>
      </c>
      <c r="D733">
        <v>10</v>
      </c>
      <c r="E733">
        <v>36</v>
      </c>
      <c r="F733">
        <v>2</v>
      </c>
      <c r="G733">
        <v>74</v>
      </c>
      <c r="H733">
        <v>8</v>
      </c>
      <c r="I733">
        <v>0.3</v>
      </c>
      <c r="J733">
        <v>1.22</v>
      </c>
      <c r="K733">
        <v>90.28</v>
      </c>
    </row>
    <row r="734" spans="1:11" x14ac:dyDescent="0.2">
      <c r="A734">
        <v>30640</v>
      </c>
      <c r="B734">
        <v>2674</v>
      </c>
      <c r="C734" t="s">
        <v>4395</v>
      </c>
      <c r="D734">
        <v>10</v>
      </c>
      <c r="E734">
        <v>15</v>
      </c>
      <c r="F734">
        <v>0</v>
      </c>
      <c r="G734">
        <v>0</v>
      </c>
      <c r="H734">
        <v>80</v>
      </c>
      <c r="I734">
        <v>0</v>
      </c>
      <c r="J734">
        <v>2.5</v>
      </c>
      <c r="K734">
        <v>0</v>
      </c>
    </row>
    <row r="735" spans="1:11" x14ac:dyDescent="0.2">
      <c r="A735">
        <v>99098</v>
      </c>
      <c r="B735">
        <v>2685</v>
      </c>
      <c r="C735" t="s">
        <v>4396</v>
      </c>
      <c r="D735">
        <v>10</v>
      </c>
      <c r="E735">
        <v>12</v>
      </c>
      <c r="F735">
        <v>0</v>
      </c>
      <c r="G735">
        <v>-3</v>
      </c>
      <c r="H735">
        <v>96</v>
      </c>
      <c r="I735">
        <v>0</v>
      </c>
      <c r="J735">
        <v>2.99</v>
      </c>
      <c r="K735">
        <v>-8.9700000000000006</v>
      </c>
    </row>
    <row r="736" spans="1:11" x14ac:dyDescent="0.2">
      <c r="B736">
        <v>2686</v>
      </c>
      <c r="C736" t="s">
        <v>4397</v>
      </c>
      <c r="D736">
        <v>11</v>
      </c>
      <c r="E736">
        <v>12</v>
      </c>
      <c r="F736">
        <v>0</v>
      </c>
      <c r="G736">
        <v>0</v>
      </c>
      <c r="H736">
        <v>132</v>
      </c>
      <c r="I736">
        <v>0</v>
      </c>
      <c r="J736">
        <v>2.5</v>
      </c>
      <c r="K736">
        <v>0</v>
      </c>
    </row>
    <row r="737" spans="1:11" x14ac:dyDescent="0.2">
      <c r="A737">
        <v>73028</v>
      </c>
      <c r="B737">
        <v>2704</v>
      </c>
      <c r="C737" t="s">
        <v>4398</v>
      </c>
      <c r="D737">
        <v>8</v>
      </c>
      <c r="E737">
        <v>44</v>
      </c>
      <c r="F737">
        <v>309</v>
      </c>
      <c r="G737">
        <v>13596</v>
      </c>
      <c r="H737">
        <v>160</v>
      </c>
      <c r="I737">
        <v>1.9</v>
      </c>
      <c r="J737">
        <v>0.59</v>
      </c>
      <c r="K737">
        <v>8021.64</v>
      </c>
    </row>
    <row r="738" spans="1:11" x14ac:dyDescent="0.2">
      <c r="A738">
        <v>74241</v>
      </c>
      <c r="B738">
        <v>2715</v>
      </c>
      <c r="C738" t="s">
        <v>4399</v>
      </c>
      <c r="D738">
        <v>8</v>
      </c>
      <c r="E738">
        <v>60</v>
      </c>
      <c r="F738">
        <v>442</v>
      </c>
      <c r="G738">
        <v>26520</v>
      </c>
      <c r="H738">
        <v>112</v>
      </c>
      <c r="I738">
        <v>3.9</v>
      </c>
      <c r="J738">
        <v>0.75</v>
      </c>
      <c r="K738">
        <v>19890</v>
      </c>
    </row>
    <row r="739" spans="1:11" x14ac:dyDescent="0.2">
      <c r="B739">
        <v>2716</v>
      </c>
      <c r="C739" t="s">
        <v>3721</v>
      </c>
      <c r="D739">
        <v>11</v>
      </c>
      <c r="E739">
        <v>36</v>
      </c>
      <c r="F739">
        <v>0</v>
      </c>
      <c r="G739">
        <v>0</v>
      </c>
      <c r="H739">
        <v>126</v>
      </c>
      <c r="I739">
        <v>0</v>
      </c>
      <c r="J739">
        <v>2.79</v>
      </c>
      <c r="K739">
        <v>0</v>
      </c>
    </row>
    <row r="740" spans="1:11" x14ac:dyDescent="0.2">
      <c r="A740">
        <v>76023</v>
      </c>
      <c r="B740">
        <v>2721</v>
      </c>
      <c r="C740" t="s">
        <v>4400</v>
      </c>
      <c r="D740">
        <v>8</v>
      </c>
      <c r="E740">
        <v>32</v>
      </c>
      <c r="F740">
        <v>153</v>
      </c>
      <c r="G740">
        <v>4896</v>
      </c>
      <c r="H740">
        <v>80</v>
      </c>
      <c r="I740">
        <v>1.9</v>
      </c>
      <c r="J740">
        <v>2.75</v>
      </c>
      <c r="K740">
        <v>13464</v>
      </c>
    </row>
    <row r="741" spans="1:11" x14ac:dyDescent="0.2">
      <c r="B741">
        <v>2727</v>
      </c>
      <c r="C741" t="s">
        <v>4401</v>
      </c>
      <c r="D741">
        <v>6</v>
      </c>
      <c r="E741">
        <v>144</v>
      </c>
      <c r="F741">
        <v>0</v>
      </c>
      <c r="G741">
        <v>0</v>
      </c>
      <c r="H741">
        <v>4</v>
      </c>
      <c r="I741">
        <v>0</v>
      </c>
      <c r="J741">
        <v>2.29</v>
      </c>
      <c r="K741">
        <v>0</v>
      </c>
    </row>
    <row r="742" spans="1:11" x14ac:dyDescent="0.2">
      <c r="A742">
        <v>72027</v>
      </c>
      <c r="B742">
        <v>2730</v>
      </c>
      <c r="C742" t="s">
        <v>4402</v>
      </c>
      <c r="D742">
        <v>8</v>
      </c>
      <c r="E742">
        <v>6</v>
      </c>
      <c r="F742">
        <v>460</v>
      </c>
      <c r="G742">
        <v>2757</v>
      </c>
      <c r="H742">
        <v>96</v>
      </c>
      <c r="I742">
        <v>4.8</v>
      </c>
      <c r="J742">
        <v>3.75</v>
      </c>
      <c r="K742">
        <v>10338.75</v>
      </c>
    </row>
    <row r="743" spans="1:11" x14ac:dyDescent="0.2">
      <c r="B743">
        <v>2733</v>
      </c>
      <c r="C743" t="s">
        <v>4403</v>
      </c>
      <c r="D743">
        <v>11</v>
      </c>
      <c r="E743">
        <v>30</v>
      </c>
      <c r="F743">
        <v>0</v>
      </c>
      <c r="G743">
        <v>0</v>
      </c>
      <c r="H743">
        <v>85</v>
      </c>
      <c r="I743">
        <v>0</v>
      </c>
      <c r="J743">
        <v>2.0499999999999998</v>
      </c>
      <c r="K743">
        <v>0</v>
      </c>
    </row>
    <row r="744" spans="1:11" x14ac:dyDescent="0.2">
      <c r="B744">
        <v>2742</v>
      </c>
      <c r="C744" t="s">
        <v>4404</v>
      </c>
      <c r="D744">
        <v>11</v>
      </c>
      <c r="E744">
        <v>30</v>
      </c>
      <c r="F744">
        <v>0</v>
      </c>
      <c r="G744">
        <v>0</v>
      </c>
      <c r="H744">
        <v>160</v>
      </c>
      <c r="I744">
        <v>0</v>
      </c>
      <c r="J744">
        <v>1.69</v>
      </c>
      <c r="K744">
        <v>0</v>
      </c>
    </row>
    <row r="745" spans="1:11" x14ac:dyDescent="0.2">
      <c r="A745">
        <v>74219</v>
      </c>
      <c r="B745">
        <v>2743</v>
      </c>
      <c r="C745" t="s">
        <v>4405</v>
      </c>
      <c r="D745">
        <v>8</v>
      </c>
      <c r="E745">
        <v>17</v>
      </c>
      <c r="F745">
        <v>342</v>
      </c>
      <c r="G745">
        <v>5814</v>
      </c>
      <c r="H745">
        <v>96</v>
      </c>
      <c r="I745">
        <v>3.6</v>
      </c>
      <c r="J745">
        <v>1.45</v>
      </c>
      <c r="K745">
        <v>8430.2999999999993</v>
      </c>
    </row>
    <row r="746" spans="1:11" x14ac:dyDescent="0.2">
      <c r="A746">
        <v>74258</v>
      </c>
      <c r="B746">
        <v>2746</v>
      </c>
      <c r="C746" t="s">
        <v>4406</v>
      </c>
      <c r="D746">
        <v>8</v>
      </c>
      <c r="E746">
        <v>10</v>
      </c>
      <c r="F746">
        <v>569</v>
      </c>
      <c r="G746">
        <v>5690</v>
      </c>
      <c r="H746">
        <v>104</v>
      </c>
      <c r="I746">
        <v>5.5</v>
      </c>
      <c r="J746">
        <v>3.35</v>
      </c>
      <c r="K746">
        <v>19061.5</v>
      </c>
    </row>
    <row r="747" spans="1:11" x14ac:dyDescent="0.2">
      <c r="B747">
        <v>2747</v>
      </c>
      <c r="C747" t="s">
        <v>4407</v>
      </c>
      <c r="D747">
        <v>11</v>
      </c>
      <c r="E747">
        <v>18</v>
      </c>
      <c r="F747">
        <v>0</v>
      </c>
      <c r="G747">
        <v>0</v>
      </c>
      <c r="H747">
        <v>48</v>
      </c>
      <c r="I747">
        <v>0</v>
      </c>
      <c r="J747">
        <v>2.99</v>
      </c>
      <c r="K747">
        <v>0</v>
      </c>
    </row>
    <row r="748" spans="1:11" x14ac:dyDescent="0.2">
      <c r="A748">
        <v>76006</v>
      </c>
      <c r="B748">
        <v>2748</v>
      </c>
      <c r="C748" t="s">
        <v>4408</v>
      </c>
      <c r="D748">
        <v>8</v>
      </c>
      <c r="E748">
        <v>10</v>
      </c>
      <c r="F748">
        <v>461</v>
      </c>
      <c r="G748">
        <v>4607</v>
      </c>
      <c r="H748">
        <v>240</v>
      </c>
      <c r="I748">
        <v>1.9</v>
      </c>
      <c r="J748">
        <v>2.29</v>
      </c>
      <c r="K748">
        <v>10550.03</v>
      </c>
    </row>
    <row r="749" spans="1:11" x14ac:dyDescent="0.2">
      <c r="B749">
        <v>2749</v>
      </c>
      <c r="C749" t="s">
        <v>4409</v>
      </c>
      <c r="D749">
        <v>12</v>
      </c>
      <c r="E749">
        <v>60</v>
      </c>
      <c r="F749">
        <v>0</v>
      </c>
      <c r="G749">
        <v>0</v>
      </c>
      <c r="H749">
        <v>72</v>
      </c>
      <c r="I749">
        <v>0</v>
      </c>
      <c r="J749">
        <v>1.95</v>
      </c>
      <c r="K749">
        <v>0</v>
      </c>
    </row>
    <row r="750" spans="1:11" x14ac:dyDescent="0.2">
      <c r="A750">
        <v>72030</v>
      </c>
      <c r="B750">
        <v>2754</v>
      </c>
      <c r="C750" t="s">
        <v>4410</v>
      </c>
      <c r="D750">
        <v>8</v>
      </c>
      <c r="E750">
        <v>14</v>
      </c>
      <c r="F750">
        <v>292</v>
      </c>
      <c r="G750">
        <v>4088</v>
      </c>
      <c r="H750">
        <v>40</v>
      </c>
      <c r="I750">
        <v>7.3</v>
      </c>
      <c r="J750">
        <v>1.69</v>
      </c>
      <c r="K750">
        <v>6908.72</v>
      </c>
    </row>
    <row r="751" spans="1:11" x14ac:dyDescent="0.2">
      <c r="A751">
        <v>73001</v>
      </c>
      <c r="B751">
        <v>2755</v>
      </c>
      <c r="C751" t="s">
        <v>4411</v>
      </c>
      <c r="D751">
        <v>8</v>
      </c>
      <c r="E751">
        <v>32</v>
      </c>
      <c r="F751">
        <v>275</v>
      </c>
      <c r="G751">
        <v>8798</v>
      </c>
      <c r="H751">
        <v>96</v>
      </c>
      <c r="I751">
        <v>2.9</v>
      </c>
      <c r="J751">
        <v>1.89</v>
      </c>
      <c r="K751">
        <v>16628.22</v>
      </c>
    </row>
    <row r="752" spans="1:11" x14ac:dyDescent="0.2">
      <c r="A752">
        <v>73025</v>
      </c>
      <c r="B752">
        <v>2756</v>
      </c>
      <c r="C752" t="s">
        <v>4412</v>
      </c>
      <c r="D752">
        <v>8</v>
      </c>
      <c r="E752">
        <v>72</v>
      </c>
      <c r="F752">
        <v>296</v>
      </c>
      <c r="G752">
        <v>21312</v>
      </c>
      <c r="H752">
        <v>136</v>
      </c>
      <c r="I752">
        <v>2.2000000000000002</v>
      </c>
      <c r="J752">
        <v>1.39</v>
      </c>
      <c r="K752">
        <v>29623.68</v>
      </c>
    </row>
    <row r="753" spans="1:12" x14ac:dyDescent="0.2">
      <c r="A753">
        <v>74256</v>
      </c>
      <c r="B753">
        <v>2765</v>
      </c>
      <c r="C753" t="s">
        <v>4413</v>
      </c>
      <c r="D753">
        <v>8</v>
      </c>
      <c r="E753">
        <v>32</v>
      </c>
      <c r="F753">
        <v>149</v>
      </c>
      <c r="G753">
        <v>4764</v>
      </c>
      <c r="H753">
        <v>110</v>
      </c>
      <c r="I753">
        <v>1.4</v>
      </c>
      <c r="J753">
        <v>1.65</v>
      </c>
      <c r="K753">
        <v>7860.6</v>
      </c>
    </row>
    <row r="754" spans="1:12" x14ac:dyDescent="0.2">
      <c r="A754">
        <v>72010</v>
      </c>
      <c r="B754">
        <v>2766</v>
      </c>
      <c r="C754" t="s">
        <v>4414</v>
      </c>
      <c r="D754">
        <v>8</v>
      </c>
      <c r="E754">
        <v>27</v>
      </c>
      <c r="F754">
        <v>205</v>
      </c>
      <c r="G754">
        <v>5535</v>
      </c>
      <c r="H754">
        <v>52</v>
      </c>
      <c r="I754">
        <v>3.9</v>
      </c>
      <c r="J754">
        <v>1.45</v>
      </c>
      <c r="K754">
        <v>8025.75</v>
      </c>
    </row>
    <row r="755" spans="1:12" x14ac:dyDescent="0.2">
      <c r="B755">
        <v>2770</v>
      </c>
      <c r="C755" t="s">
        <v>4415</v>
      </c>
      <c r="D755">
        <v>11</v>
      </c>
      <c r="E755">
        <v>14</v>
      </c>
      <c r="F755">
        <v>0</v>
      </c>
      <c r="G755">
        <v>0</v>
      </c>
      <c r="H755">
        <v>48</v>
      </c>
      <c r="I755">
        <v>0</v>
      </c>
      <c r="J755">
        <v>2.65</v>
      </c>
      <c r="K755">
        <v>0</v>
      </c>
    </row>
    <row r="756" spans="1:12" x14ac:dyDescent="0.2">
      <c r="A756">
        <v>61221</v>
      </c>
      <c r="B756">
        <v>2780</v>
      </c>
      <c r="C756" t="s">
        <v>4416</v>
      </c>
      <c r="D756">
        <v>8</v>
      </c>
      <c r="E756">
        <v>6</v>
      </c>
      <c r="F756">
        <v>255</v>
      </c>
      <c r="G756">
        <v>1530</v>
      </c>
      <c r="H756">
        <v>95</v>
      </c>
      <c r="I756">
        <v>2.7</v>
      </c>
      <c r="J756">
        <v>5.99</v>
      </c>
      <c r="K756">
        <v>9164.7000000000007</v>
      </c>
    </row>
    <row r="757" spans="1:12" x14ac:dyDescent="0.2">
      <c r="A757">
        <v>99560</v>
      </c>
      <c r="B757">
        <v>2782</v>
      </c>
      <c r="C757" t="s">
        <v>4417</v>
      </c>
      <c r="D757">
        <v>10</v>
      </c>
      <c r="E757">
        <v>8</v>
      </c>
      <c r="F757">
        <v>0</v>
      </c>
      <c r="G757">
        <v>0</v>
      </c>
      <c r="H757">
        <v>70</v>
      </c>
      <c r="I757">
        <v>0</v>
      </c>
      <c r="J757">
        <v>3.29</v>
      </c>
      <c r="K757">
        <v>0</v>
      </c>
    </row>
    <row r="758" spans="1:12" x14ac:dyDescent="0.2">
      <c r="A758">
        <v>3527</v>
      </c>
      <c r="B758">
        <v>2785</v>
      </c>
      <c r="C758" t="s">
        <v>4418</v>
      </c>
      <c r="D758">
        <v>6</v>
      </c>
      <c r="E758">
        <v>25</v>
      </c>
      <c r="F758">
        <v>0</v>
      </c>
      <c r="G758">
        <v>0</v>
      </c>
      <c r="H758">
        <v>42</v>
      </c>
      <c r="I758">
        <v>0</v>
      </c>
      <c r="J758">
        <v>0.79</v>
      </c>
      <c r="K758">
        <v>0</v>
      </c>
    </row>
    <row r="759" spans="1:12" x14ac:dyDescent="0.2">
      <c r="A759">
        <v>40501</v>
      </c>
      <c r="B759">
        <v>2787</v>
      </c>
      <c r="C759" t="s">
        <v>4419</v>
      </c>
      <c r="D759">
        <v>10</v>
      </c>
      <c r="E759">
        <v>4</v>
      </c>
      <c r="F759">
        <v>8</v>
      </c>
      <c r="G759">
        <v>32</v>
      </c>
      <c r="H759">
        <v>90</v>
      </c>
      <c r="I759">
        <v>0.1</v>
      </c>
      <c r="J759">
        <v>2.99</v>
      </c>
      <c r="K759">
        <v>95.68</v>
      </c>
    </row>
    <row r="760" spans="1:12" x14ac:dyDescent="0.2">
      <c r="B760">
        <v>2791</v>
      </c>
      <c r="C760" t="s">
        <v>4420</v>
      </c>
      <c r="D760">
        <v>11</v>
      </c>
      <c r="E760">
        <v>4</v>
      </c>
      <c r="F760">
        <v>0</v>
      </c>
      <c r="G760">
        <v>0</v>
      </c>
      <c r="H760">
        <v>36</v>
      </c>
      <c r="I760">
        <v>0</v>
      </c>
      <c r="J760">
        <v>3</v>
      </c>
      <c r="K760">
        <v>0</v>
      </c>
    </row>
    <row r="761" spans="1:12" x14ac:dyDescent="0.2">
      <c r="B761">
        <v>2803</v>
      </c>
      <c r="C761" t="s">
        <v>4421</v>
      </c>
      <c r="D761">
        <v>12</v>
      </c>
      <c r="E761">
        <v>6</v>
      </c>
      <c r="F761">
        <v>0</v>
      </c>
      <c r="G761">
        <v>0</v>
      </c>
      <c r="H761">
        <v>105</v>
      </c>
      <c r="I761">
        <v>0</v>
      </c>
      <c r="J761">
        <v>2.29</v>
      </c>
      <c r="K761">
        <v>0</v>
      </c>
    </row>
    <row r="762" spans="1:12" x14ac:dyDescent="0.2">
      <c r="B762">
        <v>2804</v>
      </c>
      <c r="C762" t="s">
        <v>4422</v>
      </c>
      <c r="D762">
        <v>6</v>
      </c>
      <c r="E762">
        <v>6</v>
      </c>
      <c r="F762">
        <v>0</v>
      </c>
      <c r="G762">
        <v>0</v>
      </c>
      <c r="H762">
        <v>100</v>
      </c>
      <c r="I762">
        <v>0</v>
      </c>
      <c r="J762">
        <v>5.79</v>
      </c>
      <c r="K762">
        <v>0</v>
      </c>
    </row>
    <row r="763" spans="1:12" x14ac:dyDescent="0.2">
      <c r="B763">
        <v>2809</v>
      </c>
      <c r="C763" t="s">
        <v>4423</v>
      </c>
      <c r="D763">
        <v>12</v>
      </c>
      <c r="E763">
        <v>6</v>
      </c>
      <c r="F763">
        <v>0</v>
      </c>
      <c r="G763">
        <v>0</v>
      </c>
      <c r="H763">
        <v>100</v>
      </c>
      <c r="I763">
        <v>0</v>
      </c>
      <c r="J763">
        <v>4.49</v>
      </c>
      <c r="K763">
        <v>0</v>
      </c>
    </row>
    <row r="764" spans="1:12" x14ac:dyDescent="0.2">
      <c r="A764">
        <v>32610</v>
      </c>
      <c r="B764">
        <v>2811</v>
      </c>
      <c r="C764" t="s">
        <v>4424</v>
      </c>
      <c r="D764">
        <v>12</v>
      </c>
      <c r="E764">
        <v>1</v>
      </c>
      <c r="F764">
        <v>0</v>
      </c>
      <c r="G764">
        <v>0</v>
      </c>
      <c r="H764">
        <v>154</v>
      </c>
      <c r="I764">
        <v>0</v>
      </c>
      <c r="J764">
        <v>5</v>
      </c>
      <c r="K764">
        <v>0</v>
      </c>
      <c r="L764" t="s">
        <v>3699</v>
      </c>
    </row>
    <row r="765" spans="1:12" x14ac:dyDescent="0.2">
      <c r="A765">
        <v>61193</v>
      </c>
      <c r="B765">
        <v>2813</v>
      </c>
      <c r="C765" t="s">
        <v>4425</v>
      </c>
      <c r="D765">
        <v>8</v>
      </c>
      <c r="E765">
        <v>6</v>
      </c>
      <c r="F765">
        <v>148</v>
      </c>
      <c r="G765">
        <v>888</v>
      </c>
      <c r="H765">
        <v>85</v>
      </c>
      <c r="I765">
        <v>1.7</v>
      </c>
      <c r="J765">
        <v>1.99</v>
      </c>
      <c r="K765">
        <v>1767.12</v>
      </c>
    </row>
    <row r="766" spans="1:12" x14ac:dyDescent="0.2">
      <c r="A766">
        <v>62113</v>
      </c>
      <c r="B766">
        <v>2817</v>
      </c>
      <c r="C766" t="s">
        <v>4426</v>
      </c>
      <c r="D766">
        <v>8</v>
      </c>
      <c r="E766">
        <v>8</v>
      </c>
      <c r="F766">
        <v>738</v>
      </c>
      <c r="G766">
        <v>5904</v>
      </c>
      <c r="H766">
        <v>64</v>
      </c>
      <c r="I766">
        <v>11.5</v>
      </c>
      <c r="J766">
        <v>2.39</v>
      </c>
      <c r="K766">
        <v>14110.56</v>
      </c>
    </row>
    <row r="767" spans="1:12" x14ac:dyDescent="0.2">
      <c r="A767">
        <v>61032</v>
      </c>
      <c r="B767">
        <v>2819</v>
      </c>
      <c r="C767" t="s">
        <v>4427</v>
      </c>
      <c r="D767">
        <v>8</v>
      </c>
      <c r="E767">
        <v>6</v>
      </c>
      <c r="F767">
        <v>267</v>
      </c>
      <c r="G767">
        <v>1602</v>
      </c>
      <c r="H767">
        <v>100</v>
      </c>
      <c r="I767">
        <v>2.7</v>
      </c>
      <c r="J767">
        <v>4.3899999999999997</v>
      </c>
      <c r="K767">
        <v>7032.78</v>
      </c>
    </row>
    <row r="768" spans="1:12" x14ac:dyDescent="0.2">
      <c r="A768">
        <v>62116</v>
      </c>
      <c r="B768">
        <v>2820</v>
      </c>
      <c r="C768" t="s">
        <v>4428</v>
      </c>
      <c r="D768">
        <v>8</v>
      </c>
      <c r="E768">
        <v>8</v>
      </c>
      <c r="F768">
        <v>825</v>
      </c>
      <c r="G768">
        <v>6600</v>
      </c>
      <c r="H768">
        <v>64</v>
      </c>
      <c r="I768">
        <v>12.9</v>
      </c>
      <c r="J768">
        <v>2.39</v>
      </c>
      <c r="K768">
        <v>15774</v>
      </c>
    </row>
    <row r="769" spans="1:11" x14ac:dyDescent="0.2">
      <c r="A769">
        <v>52647</v>
      </c>
      <c r="B769">
        <v>2821</v>
      </c>
      <c r="C769" t="s">
        <v>4429</v>
      </c>
      <c r="D769">
        <v>6</v>
      </c>
      <c r="E769">
        <v>120</v>
      </c>
      <c r="F769">
        <v>80</v>
      </c>
      <c r="G769">
        <v>9600</v>
      </c>
      <c r="H769">
        <v>2</v>
      </c>
      <c r="I769">
        <v>40</v>
      </c>
      <c r="J769">
        <v>7.49</v>
      </c>
      <c r="K769">
        <v>71904</v>
      </c>
    </row>
    <row r="770" spans="1:11" x14ac:dyDescent="0.2">
      <c r="B770">
        <v>2822</v>
      </c>
      <c r="C770" t="s">
        <v>4430</v>
      </c>
      <c r="D770">
        <v>11</v>
      </c>
      <c r="E770">
        <v>6</v>
      </c>
      <c r="F770">
        <v>0</v>
      </c>
      <c r="G770">
        <v>0</v>
      </c>
      <c r="H770">
        <v>120</v>
      </c>
      <c r="I770">
        <v>0</v>
      </c>
      <c r="J770">
        <v>2.69</v>
      </c>
      <c r="K770">
        <v>0</v>
      </c>
    </row>
    <row r="771" spans="1:11" x14ac:dyDescent="0.2">
      <c r="A771">
        <v>62089</v>
      </c>
      <c r="B771">
        <v>2826</v>
      </c>
      <c r="C771" t="s">
        <v>4431</v>
      </c>
      <c r="D771">
        <v>11</v>
      </c>
      <c r="E771">
        <v>1</v>
      </c>
      <c r="F771">
        <v>18</v>
      </c>
      <c r="G771">
        <v>18</v>
      </c>
      <c r="H771">
        <v>220</v>
      </c>
      <c r="I771">
        <v>0.1</v>
      </c>
      <c r="J771">
        <v>5.99</v>
      </c>
      <c r="K771">
        <v>107.82</v>
      </c>
    </row>
    <row r="772" spans="1:11" x14ac:dyDescent="0.2">
      <c r="A772">
        <v>61208</v>
      </c>
      <c r="B772">
        <v>2827</v>
      </c>
      <c r="C772" t="s">
        <v>4432</v>
      </c>
      <c r="D772">
        <v>8</v>
      </c>
      <c r="E772">
        <v>6</v>
      </c>
      <c r="F772">
        <v>507</v>
      </c>
      <c r="G772">
        <v>3042</v>
      </c>
      <c r="H772">
        <v>105</v>
      </c>
      <c r="I772">
        <v>4.8</v>
      </c>
      <c r="J772">
        <v>2.79</v>
      </c>
      <c r="K772">
        <v>8487.18</v>
      </c>
    </row>
    <row r="773" spans="1:11" x14ac:dyDescent="0.2">
      <c r="A773">
        <v>61223</v>
      </c>
      <c r="B773">
        <v>2829</v>
      </c>
      <c r="C773" t="s">
        <v>4433</v>
      </c>
      <c r="D773">
        <v>8</v>
      </c>
      <c r="E773">
        <v>6</v>
      </c>
      <c r="F773">
        <v>407</v>
      </c>
      <c r="G773">
        <v>2442</v>
      </c>
      <c r="H773">
        <v>80</v>
      </c>
      <c r="I773">
        <v>5.0999999999999996</v>
      </c>
      <c r="J773">
        <v>4.1900000000000004</v>
      </c>
      <c r="K773">
        <v>10231.98</v>
      </c>
    </row>
    <row r="774" spans="1:11" x14ac:dyDescent="0.2">
      <c r="A774">
        <v>61126</v>
      </c>
      <c r="B774">
        <v>2832</v>
      </c>
      <c r="C774" t="s">
        <v>4434</v>
      </c>
      <c r="D774">
        <v>8</v>
      </c>
      <c r="E774">
        <v>6</v>
      </c>
      <c r="F774">
        <v>1033</v>
      </c>
      <c r="G774">
        <v>6198</v>
      </c>
      <c r="H774">
        <v>105</v>
      </c>
      <c r="I774">
        <v>9.8000000000000007</v>
      </c>
      <c r="J774">
        <v>2.19</v>
      </c>
      <c r="K774">
        <v>13573.62</v>
      </c>
    </row>
    <row r="775" spans="1:11" x14ac:dyDescent="0.2">
      <c r="A775">
        <v>62039</v>
      </c>
      <c r="B775">
        <v>2835</v>
      </c>
      <c r="C775" t="s">
        <v>4435</v>
      </c>
      <c r="D775">
        <v>8</v>
      </c>
      <c r="E775">
        <v>6</v>
      </c>
      <c r="F775">
        <v>316</v>
      </c>
      <c r="G775">
        <v>1896</v>
      </c>
      <c r="H775">
        <v>95</v>
      </c>
      <c r="I775">
        <v>3.3</v>
      </c>
      <c r="J775">
        <v>6.99</v>
      </c>
      <c r="K775">
        <v>13253.04</v>
      </c>
    </row>
    <row r="776" spans="1:11" x14ac:dyDescent="0.2">
      <c r="A776">
        <v>1638</v>
      </c>
      <c r="B776">
        <v>2838</v>
      </c>
      <c r="C776" t="s">
        <v>4436</v>
      </c>
      <c r="D776">
        <v>6</v>
      </c>
      <c r="E776">
        <v>24</v>
      </c>
      <c r="F776">
        <v>1</v>
      </c>
      <c r="G776">
        <v>32</v>
      </c>
      <c r="H776">
        <v>8</v>
      </c>
      <c r="I776">
        <v>0.2</v>
      </c>
      <c r="J776">
        <v>2.1</v>
      </c>
      <c r="K776">
        <v>67.2</v>
      </c>
    </row>
    <row r="777" spans="1:11" x14ac:dyDescent="0.2">
      <c r="A777">
        <v>57556</v>
      </c>
      <c r="B777">
        <v>2847</v>
      </c>
      <c r="C777" t="s">
        <v>4437</v>
      </c>
      <c r="D777">
        <v>10</v>
      </c>
      <c r="E777">
        <v>8</v>
      </c>
      <c r="F777">
        <v>5</v>
      </c>
      <c r="G777">
        <v>40</v>
      </c>
      <c r="H777">
        <v>90</v>
      </c>
      <c r="I777">
        <v>0.1</v>
      </c>
      <c r="J777">
        <v>2.99</v>
      </c>
      <c r="K777">
        <v>119.6</v>
      </c>
    </row>
    <row r="778" spans="1:11" x14ac:dyDescent="0.2">
      <c r="A778">
        <v>57557</v>
      </c>
      <c r="B778">
        <v>2849</v>
      </c>
      <c r="C778" t="s">
        <v>4438</v>
      </c>
      <c r="D778">
        <v>10</v>
      </c>
      <c r="E778">
        <v>8</v>
      </c>
      <c r="F778">
        <v>7</v>
      </c>
      <c r="G778">
        <v>55</v>
      </c>
      <c r="H778">
        <v>90</v>
      </c>
      <c r="I778">
        <v>0.1</v>
      </c>
      <c r="J778">
        <v>2.99</v>
      </c>
      <c r="K778">
        <v>164.45</v>
      </c>
    </row>
    <row r="779" spans="1:11" x14ac:dyDescent="0.2">
      <c r="A779">
        <v>49600</v>
      </c>
      <c r="B779">
        <v>2871</v>
      </c>
      <c r="C779" t="s">
        <v>4439</v>
      </c>
      <c r="D779">
        <v>10</v>
      </c>
      <c r="E779">
        <v>10</v>
      </c>
      <c r="F779">
        <v>-2</v>
      </c>
      <c r="G779">
        <v>-19</v>
      </c>
      <c r="H779">
        <v>96</v>
      </c>
      <c r="I779">
        <v>0</v>
      </c>
      <c r="J779">
        <v>5.99</v>
      </c>
      <c r="K779">
        <v>-113.81</v>
      </c>
    </row>
    <row r="780" spans="1:11" x14ac:dyDescent="0.2">
      <c r="A780">
        <v>47689</v>
      </c>
      <c r="B780">
        <v>2874</v>
      </c>
      <c r="C780" t="s">
        <v>4440</v>
      </c>
      <c r="D780">
        <v>10</v>
      </c>
      <c r="E780">
        <v>12</v>
      </c>
      <c r="F780">
        <v>-2</v>
      </c>
      <c r="G780">
        <v>-24</v>
      </c>
      <c r="H780">
        <v>64</v>
      </c>
      <c r="I780">
        <v>0</v>
      </c>
      <c r="J780">
        <v>3.59</v>
      </c>
      <c r="K780">
        <v>-86.16</v>
      </c>
    </row>
    <row r="781" spans="1:11" x14ac:dyDescent="0.2">
      <c r="A781">
        <v>47691</v>
      </c>
      <c r="B781">
        <v>2881</v>
      </c>
      <c r="C781" t="s">
        <v>4441</v>
      </c>
      <c r="D781">
        <v>10</v>
      </c>
      <c r="E781">
        <v>16</v>
      </c>
      <c r="F781">
        <v>1</v>
      </c>
      <c r="G781">
        <v>16</v>
      </c>
      <c r="H781">
        <v>48</v>
      </c>
      <c r="I781">
        <v>0</v>
      </c>
      <c r="J781">
        <v>3.25</v>
      </c>
      <c r="K781">
        <v>52</v>
      </c>
    </row>
    <row r="782" spans="1:11" x14ac:dyDescent="0.2">
      <c r="A782">
        <v>95003</v>
      </c>
      <c r="B782">
        <v>2886</v>
      </c>
      <c r="C782" t="s">
        <v>4442</v>
      </c>
      <c r="D782">
        <v>10</v>
      </c>
      <c r="E782">
        <v>84</v>
      </c>
      <c r="F782">
        <v>0</v>
      </c>
      <c r="G782">
        <v>0</v>
      </c>
      <c r="H782">
        <v>4</v>
      </c>
      <c r="I782">
        <v>0</v>
      </c>
      <c r="J782">
        <v>4.8899999999999997</v>
      </c>
      <c r="K782">
        <v>0</v>
      </c>
    </row>
    <row r="783" spans="1:11" x14ac:dyDescent="0.2">
      <c r="A783">
        <v>46600</v>
      </c>
      <c r="B783">
        <v>2889</v>
      </c>
      <c r="C783" t="s">
        <v>4443</v>
      </c>
      <c r="D783">
        <v>10</v>
      </c>
      <c r="E783">
        <v>16</v>
      </c>
      <c r="F783">
        <v>0</v>
      </c>
      <c r="G783">
        <v>0</v>
      </c>
      <c r="H783">
        <v>36</v>
      </c>
      <c r="I783">
        <v>0</v>
      </c>
      <c r="J783">
        <v>3.29</v>
      </c>
      <c r="K783">
        <v>0</v>
      </c>
    </row>
    <row r="784" spans="1:11" x14ac:dyDescent="0.2">
      <c r="A784">
        <v>47692</v>
      </c>
      <c r="B784">
        <v>2891</v>
      </c>
      <c r="C784" t="s">
        <v>4444</v>
      </c>
      <c r="D784">
        <v>10</v>
      </c>
      <c r="E784">
        <v>12</v>
      </c>
      <c r="F784">
        <v>-3</v>
      </c>
      <c r="G784">
        <v>-36</v>
      </c>
      <c r="H784">
        <v>25</v>
      </c>
      <c r="I784">
        <v>-0.1</v>
      </c>
      <c r="J784">
        <v>4.99</v>
      </c>
      <c r="K784">
        <v>-179.64</v>
      </c>
    </row>
    <row r="785" spans="1:11" x14ac:dyDescent="0.2">
      <c r="A785">
        <v>47693</v>
      </c>
      <c r="B785">
        <v>2892</v>
      </c>
      <c r="C785" t="s">
        <v>4445</v>
      </c>
      <c r="D785">
        <v>10</v>
      </c>
      <c r="E785">
        <v>13</v>
      </c>
      <c r="F785">
        <v>3</v>
      </c>
      <c r="G785">
        <v>39</v>
      </c>
      <c r="H785">
        <v>96</v>
      </c>
      <c r="I785">
        <v>0</v>
      </c>
      <c r="J785">
        <v>2.4900000000000002</v>
      </c>
      <c r="K785">
        <v>97.11</v>
      </c>
    </row>
    <row r="786" spans="1:11" x14ac:dyDescent="0.2">
      <c r="A786">
        <v>91144</v>
      </c>
      <c r="B786">
        <v>2939</v>
      </c>
      <c r="C786" t="s">
        <v>4446</v>
      </c>
      <c r="D786">
        <v>8</v>
      </c>
      <c r="E786">
        <v>1</v>
      </c>
      <c r="F786">
        <v>1019</v>
      </c>
      <c r="G786">
        <v>1019</v>
      </c>
      <c r="H786">
        <v>100</v>
      </c>
      <c r="I786">
        <v>10.199999999999999</v>
      </c>
      <c r="J786">
        <v>4.79</v>
      </c>
      <c r="K786">
        <v>4881.01</v>
      </c>
    </row>
    <row r="787" spans="1:11" x14ac:dyDescent="0.2">
      <c r="B787">
        <v>2946</v>
      </c>
      <c r="C787" t="s">
        <v>4447</v>
      </c>
      <c r="D787">
        <v>11</v>
      </c>
      <c r="E787">
        <v>1</v>
      </c>
      <c r="F787">
        <v>-35</v>
      </c>
      <c r="G787">
        <v>-35</v>
      </c>
      <c r="H787">
        <v>324</v>
      </c>
      <c r="I787">
        <v>-0.1</v>
      </c>
      <c r="J787">
        <v>14.19</v>
      </c>
      <c r="K787">
        <v>-496.65</v>
      </c>
    </row>
    <row r="788" spans="1:11" x14ac:dyDescent="0.2">
      <c r="A788">
        <v>33503</v>
      </c>
      <c r="B788">
        <v>2948</v>
      </c>
      <c r="C788" t="s">
        <v>4448</v>
      </c>
      <c r="D788">
        <v>10</v>
      </c>
      <c r="E788">
        <v>6</v>
      </c>
      <c r="F788">
        <v>0</v>
      </c>
      <c r="G788">
        <v>0</v>
      </c>
      <c r="H788">
        <v>125</v>
      </c>
      <c r="I788">
        <v>0</v>
      </c>
      <c r="J788">
        <v>1.49</v>
      </c>
      <c r="K788">
        <v>0</v>
      </c>
    </row>
    <row r="789" spans="1:11" x14ac:dyDescent="0.2">
      <c r="A789">
        <v>34801</v>
      </c>
      <c r="B789">
        <v>3033</v>
      </c>
      <c r="C789" t="s">
        <v>4449</v>
      </c>
      <c r="D789">
        <v>10</v>
      </c>
      <c r="E789">
        <v>90</v>
      </c>
      <c r="F789">
        <v>0</v>
      </c>
      <c r="G789">
        <v>0</v>
      </c>
      <c r="H789">
        <v>10</v>
      </c>
      <c r="I789">
        <v>0</v>
      </c>
      <c r="J789">
        <v>5.99</v>
      </c>
      <c r="K789">
        <v>0</v>
      </c>
    </row>
    <row r="790" spans="1:11" x14ac:dyDescent="0.2">
      <c r="A790">
        <v>57176</v>
      </c>
      <c r="B790">
        <v>3037</v>
      </c>
      <c r="C790" t="s">
        <v>4450</v>
      </c>
      <c r="D790">
        <v>11</v>
      </c>
      <c r="E790">
        <v>1</v>
      </c>
      <c r="F790">
        <v>0</v>
      </c>
      <c r="G790">
        <v>0</v>
      </c>
      <c r="H790">
        <v>4</v>
      </c>
      <c r="I790">
        <v>0</v>
      </c>
      <c r="J790">
        <v>4.49</v>
      </c>
      <c r="K790">
        <v>0</v>
      </c>
    </row>
    <row r="791" spans="1:11" x14ac:dyDescent="0.2">
      <c r="A791">
        <v>72223</v>
      </c>
      <c r="B791">
        <v>3042</v>
      </c>
      <c r="C791" t="s">
        <v>4451</v>
      </c>
      <c r="D791">
        <v>9</v>
      </c>
      <c r="E791">
        <v>6</v>
      </c>
      <c r="F791">
        <v>72</v>
      </c>
      <c r="G791">
        <v>429</v>
      </c>
      <c r="H791">
        <v>85</v>
      </c>
      <c r="I791">
        <v>0.8</v>
      </c>
      <c r="J791">
        <v>1.99</v>
      </c>
      <c r="K791">
        <v>853.71</v>
      </c>
    </row>
    <row r="792" spans="1:11" x14ac:dyDescent="0.2">
      <c r="A792">
        <v>47672</v>
      </c>
      <c r="B792">
        <v>3057</v>
      </c>
      <c r="C792" t="s">
        <v>4452</v>
      </c>
      <c r="D792">
        <v>10</v>
      </c>
      <c r="E792">
        <v>80</v>
      </c>
      <c r="F792">
        <v>0</v>
      </c>
      <c r="G792">
        <v>0</v>
      </c>
      <c r="H792">
        <v>8</v>
      </c>
      <c r="I792">
        <v>0</v>
      </c>
      <c r="J792">
        <v>3.37</v>
      </c>
      <c r="K792">
        <v>0</v>
      </c>
    </row>
    <row r="793" spans="1:11" x14ac:dyDescent="0.2">
      <c r="A793">
        <v>91140</v>
      </c>
      <c r="B793">
        <v>3068</v>
      </c>
      <c r="C793" t="s">
        <v>4453</v>
      </c>
      <c r="D793">
        <v>8</v>
      </c>
      <c r="E793">
        <v>1</v>
      </c>
      <c r="F793">
        <v>401</v>
      </c>
      <c r="G793">
        <v>401</v>
      </c>
      <c r="H793">
        <v>100</v>
      </c>
      <c r="I793">
        <v>4</v>
      </c>
      <c r="J793">
        <v>11.49</v>
      </c>
      <c r="K793">
        <v>4607.49</v>
      </c>
    </row>
    <row r="794" spans="1:11" x14ac:dyDescent="0.2">
      <c r="A794">
        <v>1636</v>
      </c>
      <c r="B794">
        <v>3091</v>
      </c>
      <c r="C794" t="s">
        <v>4454</v>
      </c>
      <c r="D794">
        <v>6</v>
      </c>
      <c r="E794">
        <v>56</v>
      </c>
      <c r="F794">
        <v>0</v>
      </c>
      <c r="G794">
        <v>0</v>
      </c>
      <c r="H794">
        <v>4</v>
      </c>
      <c r="I794">
        <v>0</v>
      </c>
      <c r="J794">
        <v>3.5</v>
      </c>
      <c r="K794">
        <v>0</v>
      </c>
    </row>
    <row r="795" spans="1:11" x14ac:dyDescent="0.2">
      <c r="A795">
        <v>83204</v>
      </c>
      <c r="B795">
        <v>3101</v>
      </c>
      <c r="C795" t="s">
        <v>4455</v>
      </c>
      <c r="D795">
        <v>8</v>
      </c>
      <c r="E795">
        <v>5</v>
      </c>
      <c r="F795">
        <v>490</v>
      </c>
      <c r="G795">
        <v>2450</v>
      </c>
      <c r="H795">
        <v>108</v>
      </c>
      <c r="I795">
        <v>4.5</v>
      </c>
      <c r="J795">
        <v>1.65</v>
      </c>
      <c r="K795">
        <v>4042.5</v>
      </c>
    </row>
    <row r="796" spans="1:11" x14ac:dyDescent="0.2">
      <c r="B796">
        <v>3130</v>
      </c>
      <c r="C796" t="s">
        <v>4456</v>
      </c>
      <c r="D796">
        <v>11</v>
      </c>
      <c r="E796">
        <v>1</v>
      </c>
      <c r="F796">
        <v>2</v>
      </c>
      <c r="G796">
        <v>2</v>
      </c>
      <c r="H796">
        <v>864</v>
      </c>
      <c r="I796">
        <v>0</v>
      </c>
      <c r="J796">
        <v>5.99</v>
      </c>
      <c r="K796">
        <v>11.98</v>
      </c>
    </row>
    <row r="797" spans="1:11" x14ac:dyDescent="0.2">
      <c r="A797">
        <v>57412</v>
      </c>
      <c r="B797">
        <v>3163</v>
      </c>
      <c r="C797" t="s">
        <v>4457</v>
      </c>
      <c r="D797">
        <v>10</v>
      </c>
      <c r="E797">
        <v>1</v>
      </c>
      <c r="F797">
        <v>0</v>
      </c>
      <c r="G797">
        <v>0</v>
      </c>
      <c r="H797">
        <v>4</v>
      </c>
      <c r="I797">
        <v>0</v>
      </c>
      <c r="J797">
        <v>1</v>
      </c>
      <c r="K797">
        <v>0</v>
      </c>
    </row>
    <row r="798" spans="1:11" x14ac:dyDescent="0.2">
      <c r="A798">
        <v>57658</v>
      </c>
      <c r="B798">
        <v>3192</v>
      </c>
      <c r="C798" t="s">
        <v>4458</v>
      </c>
      <c r="D798">
        <v>10</v>
      </c>
      <c r="E798">
        <v>10</v>
      </c>
      <c r="F798">
        <v>7</v>
      </c>
      <c r="G798">
        <v>69</v>
      </c>
      <c r="H798">
        <v>24</v>
      </c>
      <c r="I798">
        <v>0.3</v>
      </c>
      <c r="J798">
        <v>1.85</v>
      </c>
      <c r="K798">
        <v>127.65</v>
      </c>
    </row>
    <row r="799" spans="1:11" x14ac:dyDescent="0.2">
      <c r="A799">
        <v>45430</v>
      </c>
      <c r="B799">
        <v>3196</v>
      </c>
      <c r="C799" t="s">
        <v>4459</v>
      </c>
      <c r="D799">
        <v>10</v>
      </c>
      <c r="E799">
        <v>5</v>
      </c>
      <c r="F799">
        <v>13</v>
      </c>
      <c r="G799">
        <v>65</v>
      </c>
      <c r="H799">
        <v>100</v>
      </c>
      <c r="I799">
        <v>0.1</v>
      </c>
      <c r="J799">
        <v>7.99</v>
      </c>
      <c r="K799">
        <v>519.35</v>
      </c>
    </row>
    <row r="800" spans="1:11" x14ac:dyDescent="0.2">
      <c r="A800">
        <v>37502</v>
      </c>
      <c r="B800">
        <v>3206</v>
      </c>
      <c r="C800" t="s">
        <v>4460</v>
      </c>
      <c r="D800">
        <v>10</v>
      </c>
      <c r="E800">
        <v>6</v>
      </c>
      <c r="F800">
        <v>0</v>
      </c>
      <c r="G800">
        <v>0</v>
      </c>
      <c r="H800">
        <v>143</v>
      </c>
      <c r="I800">
        <v>0</v>
      </c>
      <c r="J800">
        <v>1.99</v>
      </c>
      <c r="K800">
        <v>0</v>
      </c>
    </row>
    <row r="801" spans="1:11" x14ac:dyDescent="0.2">
      <c r="A801">
        <v>57413</v>
      </c>
      <c r="B801">
        <v>3211</v>
      </c>
      <c r="C801" t="s">
        <v>4461</v>
      </c>
      <c r="D801">
        <v>10</v>
      </c>
      <c r="E801">
        <v>1</v>
      </c>
      <c r="F801">
        <v>0</v>
      </c>
      <c r="G801">
        <v>0</v>
      </c>
      <c r="H801">
        <v>4</v>
      </c>
      <c r="I801">
        <v>0</v>
      </c>
      <c r="J801">
        <v>1</v>
      </c>
      <c r="K801">
        <v>0</v>
      </c>
    </row>
    <row r="802" spans="1:11" x14ac:dyDescent="0.2">
      <c r="A802">
        <v>57414</v>
      </c>
      <c r="B802">
        <v>3212</v>
      </c>
      <c r="C802" t="s">
        <v>4462</v>
      </c>
      <c r="D802">
        <v>10</v>
      </c>
      <c r="E802">
        <v>1</v>
      </c>
      <c r="F802">
        <v>0</v>
      </c>
      <c r="G802">
        <v>0</v>
      </c>
      <c r="H802">
        <v>4</v>
      </c>
      <c r="I802">
        <v>0</v>
      </c>
      <c r="J802">
        <v>1</v>
      </c>
      <c r="K802">
        <v>0</v>
      </c>
    </row>
    <row r="803" spans="1:11" x14ac:dyDescent="0.2">
      <c r="A803">
        <v>45608</v>
      </c>
      <c r="B803">
        <v>3234</v>
      </c>
      <c r="C803" t="s">
        <v>4463</v>
      </c>
      <c r="D803">
        <v>10</v>
      </c>
      <c r="E803">
        <v>144</v>
      </c>
      <c r="F803">
        <v>0</v>
      </c>
      <c r="G803">
        <v>0</v>
      </c>
      <c r="H803">
        <v>4</v>
      </c>
      <c r="I803">
        <v>0</v>
      </c>
      <c r="J803">
        <v>2.4900000000000002</v>
      </c>
      <c r="K803">
        <v>0</v>
      </c>
    </row>
    <row r="804" spans="1:11" x14ac:dyDescent="0.2">
      <c r="A804">
        <v>48621</v>
      </c>
      <c r="B804">
        <v>3235</v>
      </c>
      <c r="C804" t="s">
        <v>4464</v>
      </c>
      <c r="D804">
        <v>10</v>
      </c>
      <c r="E804">
        <v>72</v>
      </c>
      <c r="F804">
        <v>0</v>
      </c>
      <c r="G804">
        <v>0</v>
      </c>
      <c r="H804">
        <v>4</v>
      </c>
      <c r="I804">
        <v>0</v>
      </c>
      <c r="J804">
        <v>2.25</v>
      </c>
      <c r="K804">
        <v>0</v>
      </c>
    </row>
    <row r="805" spans="1:11" x14ac:dyDescent="0.2">
      <c r="A805">
        <v>47698</v>
      </c>
      <c r="B805">
        <v>3237</v>
      </c>
      <c r="C805" t="s">
        <v>4465</v>
      </c>
      <c r="D805">
        <v>10</v>
      </c>
      <c r="E805">
        <v>27</v>
      </c>
      <c r="F805">
        <v>1</v>
      </c>
      <c r="G805">
        <v>27</v>
      </c>
      <c r="H805">
        <v>72</v>
      </c>
      <c r="I805">
        <v>0</v>
      </c>
      <c r="J805">
        <v>3.5</v>
      </c>
      <c r="K805">
        <v>94.5</v>
      </c>
    </row>
    <row r="806" spans="1:11" x14ac:dyDescent="0.2">
      <c r="A806">
        <v>70199</v>
      </c>
      <c r="B806">
        <v>3240</v>
      </c>
      <c r="C806" t="s">
        <v>4091</v>
      </c>
      <c r="D806">
        <v>8</v>
      </c>
      <c r="E806">
        <v>20</v>
      </c>
      <c r="F806">
        <v>380</v>
      </c>
      <c r="G806">
        <v>7600</v>
      </c>
      <c r="H806">
        <v>98</v>
      </c>
      <c r="I806">
        <v>3.9</v>
      </c>
      <c r="J806">
        <v>3.45</v>
      </c>
      <c r="K806">
        <v>26220</v>
      </c>
    </row>
    <row r="807" spans="1:11" x14ac:dyDescent="0.2">
      <c r="A807">
        <v>65241</v>
      </c>
      <c r="B807">
        <v>3244</v>
      </c>
      <c r="C807" t="s">
        <v>4466</v>
      </c>
      <c r="D807">
        <v>8</v>
      </c>
      <c r="E807">
        <v>12</v>
      </c>
      <c r="F807">
        <v>304</v>
      </c>
      <c r="G807">
        <v>3650</v>
      </c>
      <c r="H807">
        <v>85</v>
      </c>
      <c r="I807">
        <v>3.6</v>
      </c>
      <c r="J807">
        <v>1.59</v>
      </c>
      <c r="K807">
        <v>5803.5</v>
      </c>
    </row>
    <row r="808" spans="1:11" x14ac:dyDescent="0.2">
      <c r="A808">
        <v>70063</v>
      </c>
      <c r="B808">
        <v>3257</v>
      </c>
      <c r="C808" t="s">
        <v>4467</v>
      </c>
      <c r="D808">
        <v>8</v>
      </c>
      <c r="E808">
        <v>24</v>
      </c>
      <c r="F808">
        <v>198</v>
      </c>
      <c r="G808">
        <v>4752</v>
      </c>
      <c r="H808">
        <v>54</v>
      </c>
      <c r="I808">
        <v>3.7</v>
      </c>
      <c r="J808">
        <v>1.95</v>
      </c>
      <c r="K808">
        <v>9266.4</v>
      </c>
    </row>
    <row r="809" spans="1:11" x14ac:dyDescent="0.2">
      <c r="A809">
        <v>70177</v>
      </c>
      <c r="B809">
        <v>3275</v>
      </c>
      <c r="C809" t="s">
        <v>4468</v>
      </c>
      <c r="D809">
        <v>8</v>
      </c>
      <c r="E809">
        <v>24</v>
      </c>
      <c r="F809">
        <v>217</v>
      </c>
      <c r="G809">
        <v>5206</v>
      </c>
      <c r="H809">
        <v>76</v>
      </c>
      <c r="I809">
        <v>2.9</v>
      </c>
      <c r="J809">
        <v>2.19</v>
      </c>
      <c r="K809">
        <v>11401.14</v>
      </c>
    </row>
    <row r="810" spans="1:11" x14ac:dyDescent="0.2">
      <c r="B810">
        <v>3278</v>
      </c>
      <c r="C810" t="s">
        <v>4469</v>
      </c>
      <c r="D810">
        <v>11</v>
      </c>
      <c r="E810">
        <v>3</v>
      </c>
      <c r="F810">
        <v>0</v>
      </c>
      <c r="G810">
        <v>0</v>
      </c>
      <c r="H810">
        <v>64</v>
      </c>
      <c r="I810">
        <v>0</v>
      </c>
      <c r="J810">
        <v>8.49</v>
      </c>
      <c r="K810">
        <v>0</v>
      </c>
    </row>
    <row r="811" spans="1:11" x14ac:dyDescent="0.2">
      <c r="A811">
        <v>74098</v>
      </c>
      <c r="B811">
        <v>3280</v>
      </c>
      <c r="C811" t="s">
        <v>4470</v>
      </c>
      <c r="D811">
        <v>8</v>
      </c>
      <c r="E811">
        <v>4</v>
      </c>
      <c r="F811">
        <v>1231</v>
      </c>
      <c r="G811">
        <v>4924</v>
      </c>
      <c r="H811">
        <v>70</v>
      </c>
      <c r="I811">
        <v>17.600000000000001</v>
      </c>
      <c r="J811">
        <v>3.18</v>
      </c>
      <c r="K811">
        <v>15658.32</v>
      </c>
    </row>
    <row r="812" spans="1:11" x14ac:dyDescent="0.2">
      <c r="A812">
        <v>66005</v>
      </c>
      <c r="B812">
        <v>3285</v>
      </c>
      <c r="C812" t="s">
        <v>4471</v>
      </c>
      <c r="D812">
        <v>8</v>
      </c>
      <c r="E812">
        <v>16</v>
      </c>
      <c r="F812">
        <v>182</v>
      </c>
      <c r="G812">
        <v>2912</v>
      </c>
      <c r="H812">
        <v>112</v>
      </c>
      <c r="I812">
        <v>1.6</v>
      </c>
      <c r="J812">
        <v>1.55</v>
      </c>
      <c r="K812">
        <v>4513.6000000000004</v>
      </c>
    </row>
    <row r="813" spans="1:11" x14ac:dyDescent="0.2">
      <c r="A813">
        <v>74182</v>
      </c>
      <c r="B813">
        <v>3288</v>
      </c>
      <c r="C813" t="s">
        <v>4472</v>
      </c>
      <c r="D813">
        <v>8</v>
      </c>
      <c r="E813">
        <v>24</v>
      </c>
      <c r="F813">
        <v>227</v>
      </c>
      <c r="G813">
        <v>5448</v>
      </c>
      <c r="H813">
        <v>36</v>
      </c>
      <c r="I813">
        <v>6.3</v>
      </c>
      <c r="J813">
        <v>2.4900000000000002</v>
      </c>
      <c r="K813">
        <v>13565.52</v>
      </c>
    </row>
    <row r="814" spans="1:11" x14ac:dyDescent="0.2">
      <c r="B814">
        <v>3294</v>
      </c>
      <c r="C814" t="s">
        <v>4473</v>
      </c>
      <c r="D814">
        <v>12</v>
      </c>
      <c r="E814">
        <v>1</v>
      </c>
      <c r="F814">
        <v>-120</v>
      </c>
      <c r="G814">
        <v>-120</v>
      </c>
      <c r="H814">
        <v>120</v>
      </c>
      <c r="I814">
        <v>-1</v>
      </c>
      <c r="J814">
        <v>1.29</v>
      </c>
      <c r="K814">
        <v>-154.80000000000001</v>
      </c>
    </row>
    <row r="815" spans="1:11" x14ac:dyDescent="0.2">
      <c r="A815">
        <v>93312</v>
      </c>
      <c r="B815">
        <v>3294</v>
      </c>
      <c r="C815" t="s">
        <v>4473</v>
      </c>
      <c r="D815">
        <v>10</v>
      </c>
      <c r="E815">
        <v>120</v>
      </c>
      <c r="F815">
        <v>0</v>
      </c>
      <c r="G815">
        <v>0</v>
      </c>
      <c r="H815">
        <v>1</v>
      </c>
      <c r="I815">
        <v>0</v>
      </c>
      <c r="J815">
        <v>1.29</v>
      </c>
      <c r="K815">
        <v>0</v>
      </c>
    </row>
    <row r="816" spans="1:11" x14ac:dyDescent="0.2">
      <c r="A816">
        <v>81061</v>
      </c>
      <c r="B816">
        <v>3300</v>
      </c>
      <c r="C816" t="s">
        <v>4474</v>
      </c>
      <c r="D816">
        <v>8</v>
      </c>
      <c r="E816">
        <v>6</v>
      </c>
      <c r="F816">
        <v>751</v>
      </c>
      <c r="G816">
        <v>4506</v>
      </c>
      <c r="H816">
        <v>150</v>
      </c>
      <c r="I816">
        <v>5</v>
      </c>
      <c r="J816">
        <v>0.95</v>
      </c>
      <c r="K816">
        <v>4280.7</v>
      </c>
    </row>
    <row r="817" spans="1:12" x14ac:dyDescent="0.2">
      <c r="A817">
        <v>82030</v>
      </c>
      <c r="B817">
        <v>3318</v>
      </c>
      <c r="C817" t="s">
        <v>4475</v>
      </c>
      <c r="D817">
        <v>8</v>
      </c>
      <c r="E817">
        <v>16</v>
      </c>
      <c r="F817">
        <v>-23</v>
      </c>
      <c r="G817">
        <v>-368</v>
      </c>
      <c r="H817">
        <v>72</v>
      </c>
      <c r="I817">
        <v>-0.3</v>
      </c>
      <c r="J817">
        <v>1.75</v>
      </c>
      <c r="K817">
        <v>-644</v>
      </c>
    </row>
    <row r="818" spans="1:12" x14ac:dyDescent="0.2">
      <c r="B818">
        <v>3319</v>
      </c>
      <c r="C818" t="s">
        <v>4476</v>
      </c>
      <c r="D818">
        <v>11</v>
      </c>
      <c r="E818">
        <v>12</v>
      </c>
      <c r="F818">
        <v>0</v>
      </c>
      <c r="G818">
        <v>0</v>
      </c>
      <c r="H818">
        <v>50</v>
      </c>
      <c r="I818">
        <v>0</v>
      </c>
      <c r="J818">
        <v>3.59</v>
      </c>
      <c r="K818">
        <v>0</v>
      </c>
    </row>
    <row r="819" spans="1:12" x14ac:dyDescent="0.2">
      <c r="A819">
        <v>80197</v>
      </c>
      <c r="B819">
        <v>3327</v>
      </c>
      <c r="C819" t="s">
        <v>4477</v>
      </c>
      <c r="D819">
        <v>8</v>
      </c>
      <c r="E819">
        <v>3</v>
      </c>
      <c r="F819">
        <v>677</v>
      </c>
      <c r="G819">
        <v>2031</v>
      </c>
      <c r="H819">
        <v>144</v>
      </c>
      <c r="I819">
        <v>4.7</v>
      </c>
      <c r="J819">
        <v>2.85</v>
      </c>
      <c r="K819">
        <v>5788.35</v>
      </c>
    </row>
    <row r="820" spans="1:12" x14ac:dyDescent="0.2">
      <c r="A820">
        <v>81017</v>
      </c>
      <c r="B820">
        <v>3330</v>
      </c>
      <c r="C820" t="s">
        <v>4478</v>
      </c>
      <c r="D820">
        <v>8</v>
      </c>
      <c r="E820">
        <v>3</v>
      </c>
      <c r="F820">
        <v>1001</v>
      </c>
      <c r="G820">
        <v>3002</v>
      </c>
      <c r="H820">
        <v>192</v>
      </c>
      <c r="I820">
        <v>5.2</v>
      </c>
      <c r="J820">
        <v>1.65</v>
      </c>
      <c r="K820">
        <v>4953.3</v>
      </c>
    </row>
    <row r="821" spans="1:12" x14ac:dyDescent="0.2">
      <c r="A821">
        <v>81138</v>
      </c>
      <c r="B821">
        <v>3331</v>
      </c>
      <c r="C821" t="s">
        <v>4479</v>
      </c>
      <c r="D821">
        <v>9</v>
      </c>
      <c r="E821">
        <v>5</v>
      </c>
      <c r="F821">
        <v>165</v>
      </c>
      <c r="G821">
        <v>825</v>
      </c>
      <c r="H821">
        <v>120</v>
      </c>
      <c r="I821">
        <v>1.4</v>
      </c>
      <c r="J821">
        <v>19.989999999999998</v>
      </c>
      <c r="K821">
        <v>16491.75</v>
      </c>
    </row>
    <row r="822" spans="1:12" x14ac:dyDescent="0.2">
      <c r="A822">
        <v>82061</v>
      </c>
      <c r="B822">
        <v>3334</v>
      </c>
      <c r="C822" t="s">
        <v>4480</v>
      </c>
      <c r="D822">
        <v>9</v>
      </c>
      <c r="E822">
        <v>40</v>
      </c>
      <c r="F822">
        <v>195</v>
      </c>
      <c r="G822">
        <v>7797</v>
      </c>
      <c r="H822">
        <v>64</v>
      </c>
      <c r="I822">
        <v>3</v>
      </c>
      <c r="J822">
        <v>2.75</v>
      </c>
      <c r="K822">
        <v>21441.75</v>
      </c>
    </row>
    <row r="823" spans="1:12" x14ac:dyDescent="0.2">
      <c r="A823">
        <v>82236</v>
      </c>
      <c r="B823">
        <v>3338</v>
      </c>
      <c r="C823" t="s">
        <v>4481</v>
      </c>
      <c r="D823">
        <v>8</v>
      </c>
      <c r="E823">
        <v>18</v>
      </c>
      <c r="F823">
        <v>150</v>
      </c>
      <c r="G823">
        <v>2700</v>
      </c>
      <c r="H823">
        <v>84</v>
      </c>
      <c r="I823">
        <v>1.8</v>
      </c>
      <c r="J823">
        <v>1.59</v>
      </c>
      <c r="K823">
        <v>4293</v>
      </c>
    </row>
    <row r="824" spans="1:12" x14ac:dyDescent="0.2">
      <c r="A824">
        <v>70237</v>
      </c>
      <c r="B824">
        <v>3339</v>
      </c>
      <c r="C824" t="s">
        <v>4482</v>
      </c>
      <c r="D824">
        <v>8</v>
      </c>
      <c r="E824">
        <v>18</v>
      </c>
      <c r="F824">
        <v>204</v>
      </c>
      <c r="G824">
        <v>3672</v>
      </c>
      <c r="H824">
        <v>70</v>
      </c>
      <c r="I824">
        <v>2.9</v>
      </c>
      <c r="J824">
        <v>3.05</v>
      </c>
      <c r="K824">
        <v>11199.6</v>
      </c>
    </row>
    <row r="825" spans="1:12" x14ac:dyDescent="0.2">
      <c r="B825">
        <v>3340</v>
      </c>
      <c r="C825" t="s">
        <v>4483</v>
      </c>
      <c r="D825">
        <v>11</v>
      </c>
      <c r="E825">
        <v>2.6</v>
      </c>
      <c r="F825">
        <v>38</v>
      </c>
      <c r="G825">
        <v>100</v>
      </c>
      <c r="H825">
        <v>100</v>
      </c>
      <c r="I825">
        <v>0.4</v>
      </c>
      <c r="J825">
        <v>10.99</v>
      </c>
      <c r="K825">
        <v>1096.8</v>
      </c>
      <c r="L825" t="s">
        <v>3699</v>
      </c>
    </row>
    <row r="826" spans="1:12" x14ac:dyDescent="0.2">
      <c r="A826">
        <v>81223</v>
      </c>
      <c r="B826">
        <v>3341</v>
      </c>
      <c r="C826" t="s">
        <v>4484</v>
      </c>
      <c r="D826">
        <v>8</v>
      </c>
      <c r="E826">
        <v>12</v>
      </c>
      <c r="F826">
        <v>223</v>
      </c>
      <c r="G826">
        <v>2676</v>
      </c>
      <c r="H826">
        <v>56</v>
      </c>
      <c r="I826">
        <v>4</v>
      </c>
      <c r="J826">
        <v>3.19</v>
      </c>
      <c r="K826">
        <v>8536.44</v>
      </c>
    </row>
    <row r="827" spans="1:12" x14ac:dyDescent="0.2">
      <c r="A827">
        <v>0</v>
      </c>
      <c r="B827">
        <v>3344</v>
      </c>
      <c r="C827" t="s">
        <v>4485</v>
      </c>
      <c r="D827">
        <v>10</v>
      </c>
      <c r="E827">
        <v>20</v>
      </c>
      <c r="F827">
        <v>0</v>
      </c>
      <c r="G827">
        <v>0</v>
      </c>
      <c r="H827">
        <v>168</v>
      </c>
      <c r="I827">
        <v>0</v>
      </c>
      <c r="J827">
        <v>1.66</v>
      </c>
      <c r="K827">
        <v>0</v>
      </c>
    </row>
    <row r="828" spans="1:12" x14ac:dyDescent="0.2">
      <c r="B828">
        <v>3346</v>
      </c>
      <c r="C828" t="s">
        <v>4486</v>
      </c>
      <c r="D828">
        <v>12</v>
      </c>
      <c r="E828">
        <v>10</v>
      </c>
      <c r="F828">
        <v>0</v>
      </c>
      <c r="G828">
        <v>0</v>
      </c>
      <c r="H828">
        <v>48</v>
      </c>
      <c r="I828">
        <v>0</v>
      </c>
      <c r="J828">
        <v>5.49</v>
      </c>
      <c r="K828">
        <v>0</v>
      </c>
    </row>
    <row r="829" spans="1:12" x14ac:dyDescent="0.2">
      <c r="B829">
        <v>3348</v>
      </c>
      <c r="C829" t="s">
        <v>4487</v>
      </c>
      <c r="D829">
        <v>10</v>
      </c>
      <c r="E829">
        <v>14</v>
      </c>
      <c r="F829">
        <v>0</v>
      </c>
      <c r="G829">
        <v>0</v>
      </c>
      <c r="H829">
        <v>64</v>
      </c>
      <c r="I829">
        <v>0</v>
      </c>
      <c r="J829">
        <v>1.59</v>
      </c>
      <c r="K829">
        <v>0</v>
      </c>
    </row>
    <row r="830" spans="1:12" x14ac:dyDescent="0.2">
      <c r="A830">
        <v>81234</v>
      </c>
      <c r="B830">
        <v>3350</v>
      </c>
      <c r="C830" t="s">
        <v>4488</v>
      </c>
      <c r="D830">
        <v>8</v>
      </c>
      <c r="E830">
        <v>15</v>
      </c>
      <c r="F830">
        <v>354</v>
      </c>
      <c r="G830">
        <v>5310</v>
      </c>
      <c r="H830">
        <v>80</v>
      </c>
      <c r="I830">
        <v>4.4000000000000004</v>
      </c>
      <c r="J830">
        <v>2.08</v>
      </c>
      <c r="K830">
        <v>11044.8</v>
      </c>
    </row>
    <row r="831" spans="1:12" x14ac:dyDescent="0.2">
      <c r="B831">
        <v>3350</v>
      </c>
      <c r="C831" t="s">
        <v>4488</v>
      </c>
      <c r="D831">
        <v>12</v>
      </c>
      <c r="E831">
        <v>18</v>
      </c>
      <c r="F831">
        <v>0</v>
      </c>
      <c r="G831">
        <v>0</v>
      </c>
      <c r="H831">
        <v>72</v>
      </c>
      <c r="I831">
        <v>0</v>
      </c>
      <c r="J831">
        <v>2.08</v>
      </c>
      <c r="K831">
        <v>0</v>
      </c>
    </row>
    <row r="832" spans="1:12" x14ac:dyDescent="0.2">
      <c r="A832">
        <v>82028</v>
      </c>
      <c r="B832">
        <v>3352</v>
      </c>
      <c r="C832" t="s">
        <v>4489</v>
      </c>
      <c r="D832">
        <v>8</v>
      </c>
      <c r="E832">
        <v>12</v>
      </c>
      <c r="F832">
        <v>249</v>
      </c>
      <c r="G832">
        <v>2988</v>
      </c>
      <c r="H832">
        <v>108</v>
      </c>
      <c r="I832">
        <v>2.2999999999999998</v>
      </c>
      <c r="J832">
        <v>1.19</v>
      </c>
      <c r="K832">
        <v>3555.72</v>
      </c>
    </row>
    <row r="833" spans="1:11" x14ac:dyDescent="0.2">
      <c r="B833">
        <v>3355</v>
      </c>
      <c r="C833" t="s">
        <v>4490</v>
      </c>
      <c r="D833">
        <v>11</v>
      </c>
      <c r="E833">
        <v>12</v>
      </c>
      <c r="F833">
        <v>0</v>
      </c>
      <c r="G833">
        <v>0</v>
      </c>
      <c r="H833">
        <v>70</v>
      </c>
      <c r="I833">
        <v>0</v>
      </c>
      <c r="J833">
        <v>1.7</v>
      </c>
      <c r="K833">
        <v>0</v>
      </c>
    </row>
    <row r="834" spans="1:11" x14ac:dyDescent="0.2">
      <c r="A834">
        <v>3632</v>
      </c>
      <c r="B834">
        <v>3356</v>
      </c>
      <c r="C834" t="s">
        <v>4491</v>
      </c>
      <c r="D834">
        <v>6</v>
      </c>
      <c r="E834">
        <v>12</v>
      </c>
      <c r="F834">
        <v>0</v>
      </c>
      <c r="G834">
        <v>0</v>
      </c>
      <c r="H834">
        <v>132</v>
      </c>
      <c r="I834">
        <v>0</v>
      </c>
      <c r="J834">
        <v>2.1</v>
      </c>
      <c r="K834">
        <v>0</v>
      </c>
    </row>
    <row r="835" spans="1:11" x14ac:dyDescent="0.2">
      <c r="A835">
        <v>81184</v>
      </c>
      <c r="B835">
        <v>3357</v>
      </c>
      <c r="C835" t="s">
        <v>4492</v>
      </c>
      <c r="D835">
        <v>8</v>
      </c>
      <c r="E835">
        <v>8</v>
      </c>
      <c r="F835">
        <v>292</v>
      </c>
      <c r="G835">
        <v>2336</v>
      </c>
      <c r="H835">
        <v>128</v>
      </c>
      <c r="I835">
        <v>2.2999999999999998</v>
      </c>
      <c r="J835">
        <v>2.23</v>
      </c>
      <c r="K835">
        <v>5209.28</v>
      </c>
    </row>
    <row r="836" spans="1:11" x14ac:dyDescent="0.2">
      <c r="B836">
        <v>3358</v>
      </c>
      <c r="C836" t="s">
        <v>4493</v>
      </c>
      <c r="D836">
        <v>11</v>
      </c>
      <c r="E836">
        <v>12</v>
      </c>
      <c r="F836">
        <v>0</v>
      </c>
      <c r="G836">
        <v>0</v>
      </c>
      <c r="H836">
        <v>144</v>
      </c>
      <c r="I836">
        <v>0</v>
      </c>
      <c r="J836">
        <v>0.87</v>
      </c>
      <c r="K836">
        <v>0</v>
      </c>
    </row>
    <row r="837" spans="1:11" x14ac:dyDescent="0.2">
      <c r="A837">
        <v>36500</v>
      </c>
      <c r="B837">
        <v>3364</v>
      </c>
      <c r="C837" t="s">
        <v>4494</v>
      </c>
      <c r="D837">
        <v>10</v>
      </c>
      <c r="E837">
        <v>12</v>
      </c>
      <c r="F837">
        <v>0</v>
      </c>
      <c r="G837">
        <v>0</v>
      </c>
      <c r="H837">
        <v>70</v>
      </c>
      <c r="I837">
        <v>0</v>
      </c>
      <c r="J837">
        <v>1.82</v>
      </c>
      <c r="K837">
        <v>0</v>
      </c>
    </row>
    <row r="838" spans="1:11" x14ac:dyDescent="0.2">
      <c r="A838">
        <v>81212</v>
      </c>
      <c r="B838">
        <v>3365</v>
      </c>
      <c r="C838" t="s">
        <v>4495</v>
      </c>
      <c r="D838">
        <v>8</v>
      </c>
      <c r="E838">
        <v>12</v>
      </c>
      <c r="F838">
        <v>233</v>
      </c>
      <c r="G838">
        <v>2796</v>
      </c>
      <c r="H838">
        <v>50</v>
      </c>
      <c r="I838">
        <v>4.7</v>
      </c>
      <c r="J838">
        <v>1.75</v>
      </c>
      <c r="K838">
        <v>4893</v>
      </c>
    </row>
    <row r="839" spans="1:11" x14ac:dyDescent="0.2">
      <c r="A839">
        <v>82144</v>
      </c>
      <c r="B839">
        <v>3367</v>
      </c>
      <c r="C839" t="s">
        <v>4496</v>
      </c>
      <c r="D839">
        <v>8</v>
      </c>
      <c r="E839">
        <v>8</v>
      </c>
      <c r="F839">
        <v>333</v>
      </c>
      <c r="G839">
        <v>2664</v>
      </c>
      <c r="H839">
        <v>58</v>
      </c>
      <c r="I839">
        <v>5.7</v>
      </c>
      <c r="J839">
        <v>2.99</v>
      </c>
      <c r="K839">
        <v>7965.36</v>
      </c>
    </row>
    <row r="840" spans="1:11" x14ac:dyDescent="0.2">
      <c r="A840">
        <v>42500</v>
      </c>
      <c r="B840">
        <v>3369</v>
      </c>
      <c r="C840" t="s">
        <v>4497</v>
      </c>
      <c r="D840">
        <v>10</v>
      </c>
      <c r="E840">
        <v>4</v>
      </c>
      <c r="F840">
        <v>-9</v>
      </c>
      <c r="G840">
        <v>-36</v>
      </c>
      <c r="H840">
        <v>48</v>
      </c>
      <c r="I840">
        <v>-0.2</v>
      </c>
      <c r="J840">
        <v>1.85</v>
      </c>
      <c r="K840">
        <v>-66.599999999999994</v>
      </c>
    </row>
    <row r="841" spans="1:11" x14ac:dyDescent="0.2">
      <c r="A841">
        <v>80204</v>
      </c>
      <c r="B841">
        <v>3370</v>
      </c>
      <c r="C841" t="s">
        <v>4498</v>
      </c>
      <c r="D841">
        <v>8</v>
      </c>
      <c r="E841">
        <v>6</v>
      </c>
      <c r="F841">
        <v>288</v>
      </c>
      <c r="G841">
        <v>1728</v>
      </c>
      <c r="H841">
        <v>72</v>
      </c>
      <c r="I841">
        <v>4</v>
      </c>
      <c r="J841">
        <v>1.49</v>
      </c>
      <c r="K841">
        <v>2574.7199999999998</v>
      </c>
    </row>
    <row r="842" spans="1:11" x14ac:dyDescent="0.2">
      <c r="A842">
        <v>80215</v>
      </c>
      <c r="B842">
        <v>3371</v>
      </c>
      <c r="C842" t="s">
        <v>4499</v>
      </c>
      <c r="D842">
        <v>8</v>
      </c>
      <c r="E842">
        <v>6</v>
      </c>
      <c r="F842">
        <v>289</v>
      </c>
      <c r="G842">
        <v>1731</v>
      </c>
      <c r="H842">
        <v>72</v>
      </c>
      <c r="I842">
        <v>4</v>
      </c>
      <c r="J842">
        <v>1.49</v>
      </c>
      <c r="K842">
        <v>2579.19</v>
      </c>
    </row>
    <row r="843" spans="1:11" x14ac:dyDescent="0.2">
      <c r="A843">
        <v>80223</v>
      </c>
      <c r="B843">
        <v>3372</v>
      </c>
      <c r="C843" t="s">
        <v>4500</v>
      </c>
      <c r="D843">
        <v>8</v>
      </c>
      <c r="E843">
        <v>6</v>
      </c>
      <c r="F843">
        <v>299</v>
      </c>
      <c r="G843">
        <v>1794</v>
      </c>
      <c r="H843">
        <v>72</v>
      </c>
      <c r="I843">
        <v>4.2</v>
      </c>
      <c r="J843">
        <v>1.39</v>
      </c>
      <c r="K843">
        <v>2493.66</v>
      </c>
    </row>
    <row r="844" spans="1:11" x14ac:dyDescent="0.2">
      <c r="A844">
        <v>80212</v>
      </c>
      <c r="B844">
        <v>3373</v>
      </c>
      <c r="C844" t="s">
        <v>4501</v>
      </c>
      <c r="D844">
        <v>8</v>
      </c>
      <c r="E844">
        <v>6</v>
      </c>
      <c r="F844">
        <v>226</v>
      </c>
      <c r="G844">
        <v>1356</v>
      </c>
      <c r="H844">
        <v>72</v>
      </c>
      <c r="I844">
        <v>3.1</v>
      </c>
      <c r="J844">
        <v>1.39</v>
      </c>
      <c r="K844">
        <v>1884.84</v>
      </c>
    </row>
    <row r="845" spans="1:11" x14ac:dyDescent="0.2">
      <c r="A845">
        <v>82001</v>
      </c>
      <c r="B845">
        <v>3375</v>
      </c>
      <c r="C845" t="s">
        <v>4502</v>
      </c>
      <c r="D845">
        <v>8</v>
      </c>
      <c r="E845">
        <v>15</v>
      </c>
      <c r="F845">
        <v>146</v>
      </c>
      <c r="G845">
        <v>2190</v>
      </c>
      <c r="H845">
        <v>48</v>
      </c>
      <c r="I845">
        <v>3</v>
      </c>
      <c r="J845">
        <v>2.35</v>
      </c>
      <c r="K845">
        <v>5146.5</v>
      </c>
    </row>
    <row r="846" spans="1:11" x14ac:dyDescent="0.2">
      <c r="B846">
        <v>3376</v>
      </c>
      <c r="C846" t="s">
        <v>4503</v>
      </c>
      <c r="D846">
        <v>11</v>
      </c>
      <c r="E846">
        <v>12</v>
      </c>
      <c r="F846">
        <v>0</v>
      </c>
      <c r="G846">
        <v>0</v>
      </c>
      <c r="H846">
        <v>130</v>
      </c>
      <c r="I846">
        <v>0</v>
      </c>
      <c r="J846">
        <v>1.49</v>
      </c>
      <c r="K846">
        <v>0</v>
      </c>
    </row>
    <row r="847" spans="1:11" x14ac:dyDescent="0.2">
      <c r="B847">
        <v>3380</v>
      </c>
      <c r="C847" t="s">
        <v>4504</v>
      </c>
      <c r="D847">
        <v>11</v>
      </c>
      <c r="E847">
        <v>6</v>
      </c>
      <c r="F847">
        <v>0</v>
      </c>
      <c r="G847">
        <v>0</v>
      </c>
      <c r="H847">
        <v>72</v>
      </c>
      <c r="I847">
        <v>0</v>
      </c>
      <c r="J847">
        <v>1.29</v>
      </c>
      <c r="K847">
        <v>0</v>
      </c>
    </row>
    <row r="848" spans="1:11" x14ac:dyDescent="0.2">
      <c r="A848">
        <v>85219</v>
      </c>
      <c r="B848">
        <v>3381</v>
      </c>
      <c r="C848" t="s">
        <v>4505</v>
      </c>
      <c r="D848">
        <v>9</v>
      </c>
      <c r="E848">
        <v>6</v>
      </c>
      <c r="F848">
        <v>1</v>
      </c>
      <c r="G848">
        <v>6</v>
      </c>
      <c r="H848">
        <v>40</v>
      </c>
      <c r="I848">
        <v>0</v>
      </c>
      <c r="J848">
        <v>4.1900000000000004</v>
      </c>
      <c r="K848">
        <v>25.14</v>
      </c>
    </row>
    <row r="849" spans="1:12" x14ac:dyDescent="0.2">
      <c r="A849">
        <v>1631</v>
      </c>
      <c r="B849">
        <v>3384</v>
      </c>
      <c r="C849" t="s">
        <v>4506</v>
      </c>
      <c r="D849">
        <v>6</v>
      </c>
      <c r="E849">
        <v>12</v>
      </c>
      <c r="F849">
        <v>0</v>
      </c>
      <c r="G849">
        <v>0</v>
      </c>
      <c r="H849">
        <v>112</v>
      </c>
      <c r="I849">
        <v>0</v>
      </c>
      <c r="J849">
        <v>2.69</v>
      </c>
      <c r="K849">
        <v>0</v>
      </c>
    </row>
    <row r="850" spans="1:12" x14ac:dyDescent="0.2">
      <c r="B850">
        <v>3385</v>
      </c>
      <c r="C850" t="s">
        <v>4507</v>
      </c>
      <c r="D850">
        <v>11</v>
      </c>
      <c r="E850">
        <v>8</v>
      </c>
      <c r="F850">
        <v>0</v>
      </c>
      <c r="G850">
        <v>0</v>
      </c>
      <c r="H850">
        <v>128</v>
      </c>
      <c r="I850">
        <v>0</v>
      </c>
      <c r="J850">
        <v>2.69</v>
      </c>
      <c r="K850">
        <v>0</v>
      </c>
    </row>
    <row r="851" spans="1:12" x14ac:dyDescent="0.2">
      <c r="A851">
        <v>57366</v>
      </c>
      <c r="B851">
        <v>3387</v>
      </c>
      <c r="C851" t="s">
        <v>4508</v>
      </c>
      <c r="D851">
        <v>11</v>
      </c>
      <c r="E851">
        <v>48</v>
      </c>
      <c r="F851">
        <v>0</v>
      </c>
      <c r="G851">
        <v>0</v>
      </c>
      <c r="H851">
        <v>2</v>
      </c>
      <c r="I851">
        <v>0</v>
      </c>
      <c r="J851">
        <v>0.01</v>
      </c>
      <c r="K851">
        <v>0</v>
      </c>
      <c r="L851" t="s">
        <v>3699</v>
      </c>
    </row>
    <row r="852" spans="1:12" x14ac:dyDescent="0.2">
      <c r="A852">
        <v>74148</v>
      </c>
      <c r="B852">
        <v>3608</v>
      </c>
      <c r="C852" t="s">
        <v>4509</v>
      </c>
      <c r="D852">
        <v>8</v>
      </c>
      <c r="E852">
        <v>14</v>
      </c>
      <c r="F852">
        <v>236</v>
      </c>
      <c r="G852">
        <v>3303</v>
      </c>
      <c r="H852">
        <v>50</v>
      </c>
      <c r="I852">
        <v>4.7</v>
      </c>
      <c r="J852">
        <v>1.79</v>
      </c>
      <c r="K852">
        <v>5912.37</v>
      </c>
    </row>
    <row r="853" spans="1:12" x14ac:dyDescent="0.2">
      <c r="A853">
        <v>73016</v>
      </c>
      <c r="B853">
        <v>3609</v>
      </c>
      <c r="C853" t="s">
        <v>4510</v>
      </c>
      <c r="D853">
        <v>8</v>
      </c>
      <c r="E853">
        <v>30</v>
      </c>
      <c r="F853">
        <v>345</v>
      </c>
      <c r="G853">
        <v>10350</v>
      </c>
      <c r="H853">
        <v>160</v>
      </c>
      <c r="I853">
        <v>2.2000000000000002</v>
      </c>
      <c r="J853">
        <v>1.69</v>
      </c>
      <c r="K853">
        <v>17491.5</v>
      </c>
    </row>
    <row r="854" spans="1:12" x14ac:dyDescent="0.2">
      <c r="A854">
        <v>74214</v>
      </c>
      <c r="B854">
        <v>3732</v>
      </c>
      <c r="C854" t="s">
        <v>4511</v>
      </c>
      <c r="D854">
        <v>8</v>
      </c>
      <c r="E854">
        <v>32</v>
      </c>
      <c r="F854">
        <v>281</v>
      </c>
      <c r="G854">
        <v>8992</v>
      </c>
      <c r="H854">
        <v>50</v>
      </c>
      <c r="I854">
        <v>5.6</v>
      </c>
      <c r="J854">
        <v>2.76</v>
      </c>
      <c r="K854">
        <v>24817.919999999998</v>
      </c>
    </row>
    <row r="855" spans="1:12" x14ac:dyDescent="0.2">
      <c r="B855">
        <v>3791</v>
      </c>
      <c r="C855" t="s">
        <v>4512</v>
      </c>
      <c r="D855">
        <v>10</v>
      </c>
      <c r="E855">
        <v>6</v>
      </c>
      <c r="F855">
        <v>0</v>
      </c>
      <c r="G855">
        <v>0</v>
      </c>
      <c r="H855">
        <v>121</v>
      </c>
      <c r="I855">
        <v>0</v>
      </c>
      <c r="J855">
        <v>4.99</v>
      </c>
      <c r="K855">
        <v>0</v>
      </c>
    </row>
    <row r="856" spans="1:12" x14ac:dyDescent="0.2">
      <c r="B856">
        <v>3833</v>
      </c>
      <c r="C856" t="s">
        <v>4513</v>
      </c>
      <c r="D856">
        <v>11</v>
      </c>
      <c r="E856">
        <v>6</v>
      </c>
      <c r="F856">
        <v>0</v>
      </c>
      <c r="G856">
        <v>0</v>
      </c>
      <c r="H856">
        <v>105</v>
      </c>
      <c r="I856">
        <v>0</v>
      </c>
      <c r="J856">
        <v>7.99</v>
      </c>
      <c r="K856">
        <v>0</v>
      </c>
    </row>
    <row r="857" spans="1:12" x14ac:dyDescent="0.2">
      <c r="A857">
        <v>99801</v>
      </c>
      <c r="B857">
        <v>4001</v>
      </c>
      <c r="C857" t="s">
        <v>4514</v>
      </c>
      <c r="D857">
        <v>6</v>
      </c>
      <c r="E857">
        <v>12</v>
      </c>
      <c r="F857">
        <v>0</v>
      </c>
      <c r="G857">
        <v>0</v>
      </c>
      <c r="H857">
        <v>56</v>
      </c>
      <c r="I857">
        <v>0</v>
      </c>
      <c r="J857">
        <v>9.99</v>
      </c>
      <c r="K857">
        <v>0</v>
      </c>
    </row>
    <row r="858" spans="1:12" x14ac:dyDescent="0.2">
      <c r="A858">
        <v>65259</v>
      </c>
      <c r="B858">
        <v>4002</v>
      </c>
      <c r="C858" t="s">
        <v>4515</v>
      </c>
      <c r="D858">
        <v>8</v>
      </c>
      <c r="E858">
        <v>15</v>
      </c>
      <c r="F858">
        <v>2439</v>
      </c>
      <c r="G858">
        <v>36582</v>
      </c>
      <c r="H858">
        <v>182</v>
      </c>
      <c r="I858">
        <v>13.4</v>
      </c>
      <c r="J858">
        <v>0.45</v>
      </c>
      <c r="K858">
        <v>16461.900000000001</v>
      </c>
    </row>
    <row r="859" spans="1:12" x14ac:dyDescent="0.2">
      <c r="B859">
        <v>4012</v>
      </c>
      <c r="C859" t="s">
        <v>4516</v>
      </c>
      <c r="D859">
        <v>10</v>
      </c>
      <c r="E859">
        <v>6</v>
      </c>
      <c r="F859">
        <v>0</v>
      </c>
      <c r="G859">
        <v>0</v>
      </c>
      <c r="H859">
        <v>64</v>
      </c>
      <c r="I859">
        <v>0</v>
      </c>
      <c r="J859">
        <v>1.35</v>
      </c>
      <c r="K859">
        <v>0</v>
      </c>
    </row>
    <row r="860" spans="1:12" x14ac:dyDescent="0.2">
      <c r="A860">
        <v>71258</v>
      </c>
      <c r="B860">
        <v>4013</v>
      </c>
      <c r="C860" t="s">
        <v>4517</v>
      </c>
      <c r="D860">
        <v>8</v>
      </c>
      <c r="E860">
        <v>1</v>
      </c>
      <c r="F860">
        <v>11556</v>
      </c>
      <c r="G860">
        <v>11556</v>
      </c>
      <c r="H860">
        <v>252</v>
      </c>
      <c r="I860">
        <v>45.9</v>
      </c>
      <c r="J860">
        <v>0.75</v>
      </c>
      <c r="K860">
        <v>8667</v>
      </c>
    </row>
    <row r="861" spans="1:12" x14ac:dyDescent="0.2">
      <c r="B861">
        <v>4020</v>
      </c>
      <c r="C861" t="s">
        <v>4518</v>
      </c>
      <c r="D861">
        <v>11</v>
      </c>
      <c r="E861">
        <v>6</v>
      </c>
      <c r="F861">
        <v>0</v>
      </c>
      <c r="G861">
        <v>0</v>
      </c>
      <c r="H861">
        <v>80</v>
      </c>
      <c r="I861">
        <v>0</v>
      </c>
      <c r="J861">
        <v>1.49</v>
      </c>
      <c r="K861">
        <v>0</v>
      </c>
    </row>
    <row r="862" spans="1:12" x14ac:dyDescent="0.2">
      <c r="B862">
        <v>4026</v>
      </c>
      <c r="C862" t="s">
        <v>4519</v>
      </c>
      <c r="D862">
        <v>10</v>
      </c>
      <c r="E862">
        <v>1</v>
      </c>
      <c r="F862">
        <v>0</v>
      </c>
      <c r="G862">
        <v>0</v>
      </c>
      <c r="H862">
        <v>322</v>
      </c>
      <c r="I862">
        <v>0</v>
      </c>
      <c r="J862">
        <v>2.65</v>
      </c>
      <c r="K862">
        <v>0</v>
      </c>
    </row>
    <row r="863" spans="1:12" x14ac:dyDescent="0.2">
      <c r="A863">
        <v>71127</v>
      </c>
      <c r="B863">
        <v>4030</v>
      </c>
      <c r="C863" t="s">
        <v>4520</v>
      </c>
      <c r="D863">
        <v>8</v>
      </c>
      <c r="E863">
        <v>3</v>
      </c>
      <c r="F863">
        <v>1278</v>
      </c>
      <c r="G863">
        <v>3834</v>
      </c>
      <c r="H863">
        <v>132</v>
      </c>
      <c r="I863">
        <v>9.6999999999999993</v>
      </c>
      <c r="J863">
        <v>2.4900000000000002</v>
      </c>
      <c r="K863">
        <v>9546.66</v>
      </c>
    </row>
    <row r="864" spans="1:12" x14ac:dyDescent="0.2">
      <c r="A864">
        <v>71050</v>
      </c>
      <c r="B864">
        <v>4035</v>
      </c>
      <c r="C864" t="s">
        <v>4521</v>
      </c>
      <c r="D864">
        <v>8</v>
      </c>
      <c r="E864">
        <v>6</v>
      </c>
      <c r="F864">
        <v>826</v>
      </c>
      <c r="G864">
        <v>4955</v>
      </c>
      <c r="H864">
        <v>125</v>
      </c>
      <c r="I864">
        <v>6.6</v>
      </c>
      <c r="J864">
        <v>1.69</v>
      </c>
      <c r="K864">
        <v>8373.9500000000007</v>
      </c>
    </row>
    <row r="865" spans="1:11" x14ac:dyDescent="0.2">
      <c r="A865">
        <v>71061</v>
      </c>
      <c r="B865">
        <v>4036</v>
      </c>
      <c r="C865" t="s">
        <v>4518</v>
      </c>
      <c r="D865">
        <v>8</v>
      </c>
      <c r="E865">
        <v>6</v>
      </c>
      <c r="F865">
        <v>1453</v>
      </c>
      <c r="G865">
        <v>8719</v>
      </c>
      <c r="H865">
        <v>125</v>
      </c>
      <c r="I865">
        <v>11.6</v>
      </c>
      <c r="J865">
        <v>1.1499999999999999</v>
      </c>
      <c r="K865">
        <v>10026.85</v>
      </c>
    </row>
    <row r="866" spans="1:11" x14ac:dyDescent="0.2">
      <c r="A866">
        <v>71056</v>
      </c>
      <c r="B866">
        <v>4037</v>
      </c>
      <c r="C866" t="s">
        <v>4522</v>
      </c>
      <c r="D866">
        <v>8</v>
      </c>
      <c r="E866">
        <v>6</v>
      </c>
      <c r="F866">
        <v>810</v>
      </c>
      <c r="G866">
        <v>4859</v>
      </c>
      <c r="H866">
        <v>125</v>
      </c>
      <c r="I866">
        <v>6.5</v>
      </c>
      <c r="J866">
        <v>1.99</v>
      </c>
      <c r="K866">
        <v>9669.41</v>
      </c>
    </row>
    <row r="867" spans="1:11" x14ac:dyDescent="0.2">
      <c r="A867">
        <v>71164</v>
      </c>
      <c r="B867">
        <v>4039</v>
      </c>
      <c r="C867" t="s">
        <v>4523</v>
      </c>
      <c r="D867">
        <v>8</v>
      </c>
      <c r="E867">
        <v>6</v>
      </c>
      <c r="F867">
        <v>3068</v>
      </c>
      <c r="G867">
        <v>18408</v>
      </c>
      <c r="H867">
        <v>130</v>
      </c>
      <c r="I867">
        <v>23.6</v>
      </c>
      <c r="J867">
        <v>0.99</v>
      </c>
      <c r="K867">
        <v>18223.919999999998</v>
      </c>
    </row>
    <row r="868" spans="1:11" x14ac:dyDescent="0.2">
      <c r="B868">
        <v>4046</v>
      </c>
      <c r="C868" t="s">
        <v>4524</v>
      </c>
      <c r="D868">
        <v>11</v>
      </c>
      <c r="E868">
        <v>30</v>
      </c>
      <c r="F868">
        <v>0</v>
      </c>
      <c r="G868">
        <v>0</v>
      </c>
      <c r="H868">
        <v>100</v>
      </c>
      <c r="I868">
        <v>0</v>
      </c>
      <c r="J868">
        <v>0.45</v>
      </c>
      <c r="K868">
        <v>0</v>
      </c>
    </row>
    <row r="869" spans="1:11" x14ac:dyDescent="0.2">
      <c r="A869">
        <v>95429</v>
      </c>
      <c r="B869">
        <v>4047</v>
      </c>
      <c r="C869" t="s">
        <v>4525</v>
      </c>
      <c r="D869">
        <v>8</v>
      </c>
      <c r="E869">
        <v>6</v>
      </c>
      <c r="F869">
        <v>1580</v>
      </c>
      <c r="G869">
        <v>9480</v>
      </c>
      <c r="H869">
        <v>88</v>
      </c>
      <c r="I869">
        <v>18</v>
      </c>
      <c r="J869">
        <v>0.99</v>
      </c>
      <c r="K869">
        <v>9385.2000000000007</v>
      </c>
    </row>
    <row r="870" spans="1:11" x14ac:dyDescent="0.2">
      <c r="B870">
        <v>4048</v>
      </c>
      <c r="C870" t="s">
        <v>4526</v>
      </c>
      <c r="D870">
        <v>12</v>
      </c>
      <c r="E870">
        <v>4</v>
      </c>
      <c r="F870">
        <v>0</v>
      </c>
      <c r="G870">
        <v>0</v>
      </c>
      <c r="H870">
        <v>63</v>
      </c>
      <c r="I870">
        <v>0</v>
      </c>
      <c r="J870">
        <v>1.65</v>
      </c>
      <c r="K870">
        <v>0</v>
      </c>
    </row>
    <row r="871" spans="1:11" x14ac:dyDescent="0.2">
      <c r="A871">
        <v>95407</v>
      </c>
      <c r="B871">
        <v>4051</v>
      </c>
      <c r="C871" t="s">
        <v>4527</v>
      </c>
      <c r="D871">
        <v>8</v>
      </c>
      <c r="E871">
        <v>6</v>
      </c>
      <c r="F871">
        <v>1821</v>
      </c>
      <c r="G871">
        <v>10926</v>
      </c>
      <c r="H871">
        <v>130</v>
      </c>
      <c r="I871">
        <v>14</v>
      </c>
      <c r="J871">
        <v>1.59</v>
      </c>
      <c r="K871">
        <v>17372.34</v>
      </c>
    </row>
    <row r="872" spans="1:11" x14ac:dyDescent="0.2">
      <c r="B872">
        <v>4055</v>
      </c>
      <c r="C872" t="s">
        <v>4528</v>
      </c>
      <c r="D872">
        <v>12</v>
      </c>
      <c r="E872">
        <v>6</v>
      </c>
      <c r="F872">
        <v>0</v>
      </c>
      <c r="G872">
        <v>0</v>
      </c>
      <c r="H872">
        <v>130</v>
      </c>
      <c r="I872">
        <v>0</v>
      </c>
      <c r="J872">
        <v>1.55</v>
      </c>
      <c r="K872">
        <v>0</v>
      </c>
    </row>
    <row r="873" spans="1:11" x14ac:dyDescent="0.2">
      <c r="A873">
        <v>71175</v>
      </c>
      <c r="B873">
        <v>4055</v>
      </c>
      <c r="C873" t="s">
        <v>4528</v>
      </c>
      <c r="D873">
        <v>9</v>
      </c>
      <c r="E873">
        <v>8</v>
      </c>
      <c r="F873">
        <v>424</v>
      </c>
      <c r="G873">
        <v>3392</v>
      </c>
      <c r="H873">
        <v>100</v>
      </c>
      <c r="I873">
        <v>4.2</v>
      </c>
      <c r="J873">
        <v>1.55</v>
      </c>
      <c r="K873">
        <v>5257.6</v>
      </c>
    </row>
    <row r="874" spans="1:11" x14ac:dyDescent="0.2">
      <c r="A874">
        <v>95166</v>
      </c>
      <c r="B874">
        <v>4058</v>
      </c>
      <c r="C874" t="s">
        <v>4529</v>
      </c>
      <c r="D874">
        <v>8</v>
      </c>
      <c r="E874">
        <v>6</v>
      </c>
      <c r="F874">
        <v>1920</v>
      </c>
      <c r="G874">
        <v>11520</v>
      </c>
      <c r="H874">
        <v>64</v>
      </c>
      <c r="I874">
        <v>30</v>
      </c>
      <c r="J874">
        <v>1.18</v>
      </c>
      <c r="K874">
        <v>13593.6</v>
      </c>
    </row>
    <row r="875" spans="1:11" x14ac:dyDescent="0.2">
      <c r="A875">
        <v>71210</v>
      </c>
      <c r="B875">
        <v>4062</v>
      </c>
      <c r="C875" t="s">
        <v>4530</v>
      </c>
      <c r="D875">
        <v>8</v>
      </c>
      <c r="E875">
        <v>6</v>
      </c>
      <c r="F875">
        <v>1904</v>
      </c>
      <c r="G875">
        <v>11424</v>
      </c>
      <c r="H875">
        <v>130</v>
      </c>
      <c r="I875">
        <v>14.6</v>
      </c>
      <c r="J875">
        <v>1.1499999999999999</v>
      </c>
      <c r="K875">
        <v>13137.6</v>
      </c>
    </row>
    <row r="876" spans="1:11" x14ac:dyDescent="0.2">
      <c r="A876">
        <v>71190</v>
      </c>
      <c r="B876">
        <v>4064</v>
      </c>
      <c r="C876" t="s">
        <v>4531</v>
      </c>
      <c r="D876">
        <v>8</v>
      </c>
      <c r="E876">
        <v>6</v>
      </c>
      <c r="F876">
        <v>1235</v>
      </c>
      <c r="G876">
        <v>7409</v>
      </c>
      <c r="H876">
        <v>80</v>
      </c>
      <c r="I876">
        <v>15.4</v>
      </c>
      <c r="J876">
        <v>0.99</v>
      </c>
      <c r="K876">
        <v>7334.91</v>
      </c>
    </row>
    <row r="877" spans="1:11" x14ac:dyDescent="0.2">
      <c r="A877">
        <v>71039</v>
      </c>
      <c r="B877">
        <v>4065</v>
      </c>
      <c r="C877" t="s">
        <v>4532</v>
      </c>
      <c r="D877">
        <v>8</v>
      </c>
      <c r="E877">
        <v>6</v>
      </c>
      <c r="F877">
        <v>688</v>
      </c>
      <c r="G877">
        <v>4127</v>
      </c>
      <c r="H877">
        <v>125</v>
      </c>
      <c r="I877">
        <v>5.5</v>
      </c>
      <c r="J877">
        <v>1.1499999999999999</v>
      </c>
      <c r="K877">
        <v>4746.05</v>
      </c>
    </row>
    <row r="878" spans="1:11" x14ac:dyDescent="0.2">
      <c r="B878">
        <v>4072</v>
      </c>
      <c r="C878" t="s">
        <v>4533</v>
      </c>
      <c r="D878">
        <v>10</v>
      </c>
      <c r="E878">
        <v>8</v>
      </c>
      <c r="F878">
        <v>-352</v>
      </c>
      <c r="G878">
        <v>-2816</v>
      </c>
      <c r="H878">
        <v>64</v>
      </c>
      <c r="I878">
        <v>-5.5</v>
      </c>
      <c r="J878">
        <v>1.27</v>
      </c>
      <c r="K878">
        <v>-3576.32</v>
      </c>
    </row>
    <row r="879" spans="1:11" x14ac:dyDescent="0.2">
      <c r="A879">
        <v>71219</v>
      </c>
      <c r="B879">
        <v>4073</v>
      </c>
      <c r="C879" t="s">
        <v>4534</v>
      </c>
      <c r="D879">
        <v>8</v>
      </c>
      <c r="E879">
        <v>6</v>
      </c>
      <c r="F879">
        <v>957</v>
      </c>
      <c r="G879">
        <v>5741</v>
      </c>
      <c r="H879">
        <v>104</v>
      </c>
      <c r="I879">
        <v>9.1999999999999993</v>
      </c>
      <c r="J879">
        <v>2.09</v>
      </c>
      <c r="K879">
        <v>11998.69</v>
      </c>
    </row>
    <row r="880" spans="1:11" x14ac:dyDescent="0.2">
      <c r="A880">
        <v>95457</v>
      </c>
      <c r="B880">
        <v>4077</v>
      </c>
      <c r="C880" t="s">
        <v>4535</v>
      </c>
      <c r="D880">
        <v>8</v>
      </c>
      <c r="E880">
        <v>8</v>
      </c>
      <c r="F880">
        <v>1024</v>
      </c>
      <c r="G880">
        <v>8192</v>
      </c>
      <c r="H880">
        <v>64</v>
      </c>
      <c r="I880">
        <v>16</v>
      </c>
      <c r="J880">
        <v>1.29</v>
      </c>
      <c r="K880">
        <v>10567.68</v>
      </c>
    </row>
    <row r="881" spans="1:11" x14ac:dyDescent="0.2">
      <c r="A881">
        <v>71234</v>
      </c>
      <c r="B881">
        <v>4078</v>
      </c>
      <c r="C881" t="s">
        <v>4536</v>
      </c>
      <c r="D881">
        <v>8</v>
      </c>
      <c r="E881">
        <v>6</v>
      </c>
      <c r="F881">
        <v>5729</v>
      </c>
      <c r="G881">
        <v>34374</v>
      </c>
      <c r="H881">
        <v>100</v>
      </c>
      <c r="I881">
        <v>57.3</v>
      </c>
      <c r="J881">
        <v>1.0900000000000001</v>
      </c>
      <c r="K881">
        <v>37467.660000000003</v>
      </c>
    </row>
    <row r="882" spans="1:11" x14ac:dyDescent="0.2">
      <c r="A882">
        <v>71116</v>
      </c>
      <c r="B882">
        <v>4079</v>
      </c>
      <c r="C882" t="s">
        <v>4537</v>
      </c>
      <c r="D882">
        <v>8</v>
      </c>
      <c r="E882">
        <v>3</v>
      </c>
      <c r="F882">
        <v>860</v>
      </c>
      <c r="G882">
        <v>2579</v>
      </c>
      <c r="H882">
        <v>132</v>
      </c>
      <c r="I882">
        <v>6.5</v>
      </c>
      <c r="J882">
        <v>2.35</v>
      </c>
      <c r="K882">
        <v>6060.65</v>
      </c>
    </row>
    <row r="883" spans="1:11" x14ac:dyDescent="0.2">
      <c r="B883">
        <v>4081</v>
      </c>
      <c r="C883" t="s">
        <v>4538</v>
      </c>
      <c r="D883">
        <v>11</v>
      </c>
      <c r="E883">
        <v>6</v>
      </c>
      <c r="F883">
        <v>0</v>
      </c>
      <c r="G883">
        <v>0</v>
      </c>
      <c r="H883">
        <v>80</v>
      </c>
      <c r="I883">
        <v>0</v>
      </c>
      <c r="J883">
        <v>1.19</v>
      </c>
      <c r="K883">
        <v>0</v>
      </c>
    </row>
    <row r="884" spans="1:11" x14ac:dyDescent="0.2">
      <c r="B884">
        <v>4086</v>
      </c>
      <c r="C884" t="s">
        <v>4539</v>
      </c>
      <c r="D884">
        <v>10</v>
      </c>
      <c r="E884">
        <v>6</v>
      </c>
      <c r="F884">
        <v>0</v>
      </c>
      <c r="G884">
        <v>0</v>
      </c>
      <c r="H884">
        <v>105</v>
      </c>
      <c r="I884">
        <v>0</v>
      </c>
      <c r="J884">
        <v>0.56000000000000005</v>
      </c>
      <c r="K884">
        <v>0</v>
      </c>
    </row>
    <row r="885" spans="1:11" x14ac:dyDescent="0.2">
      <c r="A885">
        <v>71113</v>
      </c>
      <c r="B885">
        <v>4087</v>
      </c>
      <c r="C885" t="s">
        <v>4540</v>
      </c>
      <c r="D885">
        <v>8</v>
      </c>
      <c r="E885">
        <v>24</v>
      </c>
      <c r="F885">
        <v>1131</v>
      </c>
      <c r="G885">
        <v>27147</v>
      </c>
      <c r="H885">
        <v>108</v>
      </c>
      <c r="I885">
        <v>10.5</v>
      </c>
      <c r="J885">
        <v>1.05</v>
      </c>
      <c r="K885">
        <v>28504.35</v>
      </c>
    </row>
    <row r="886" spans="1:11" x14ac:dyDescent="0.2">
      <c r="A886">
        <v>71204</v>
      </c>
      <c r="B886">
        <v>4090</v>
      </c>
      <c r="C886" t="s">
        <v>4541</v>
      </c>
      <c r="D886">
        <v>8</v>
      </c>
      <c r="E886">
        <v>6</v>
      </c>
      <c r="F886">
        <v>699</v>
      </c>
      <c r="G886">
        <v>4191</v>
      </c>
      <c r="H886">
        <v>104</v>
      </c>
      <c r="I886">
        <v>6.7</v>
      </c>
      <c r="J886">
        <v>2.19</v>
      </c>
      <c r="K886">
        <v>9178.2900000000009</v>
      </c>
    </row>
    <row r="887" spans="1:11" x14ac:dyDescent="0.2">
      <c r="A887">
        <v>35502</v>
      </c>
      <c r="B887">
        <v>4098</v>
      </c>
      <c r="C887" t="s">
        <v>4542</v>
      </c>
      <c r="D887">
        <v>10</v>
      </c>
      <c r="E887">
        <v>6</v>
      </c>
      <c r="F887">
        <v>0</v>
      </c>
      <c r="G887">
        <v>0</v>
      </c>
      <c r="H887">
        <v>50</v>
      </c>
      <c r="I887">
        <v>0</v>
      </c>
      <c r="J887">
        <v>3.99</v>
      </c>
      <c r="K887">
        <v>0</v>
      </c>
    </row>
    <row r="888" spans="1:11" x14ac:dyDescent="0.2">
      <c r="A888">
        <v>62155</v>
      </c>
      <c r="B888">
        <v>4101</v>
      </c>
      <c r="C888" t="s">
        <v>4543</v>
      </c>
      <c r="D888">
        <v>8</v>
      </c>
      <c r="E888">
        <v>18</v>
      </c>
      <c r="F888">
        <v>3226</v>
      </c>
      <c r="G888">
        <v>58068</v>
      </c>
      <c r="H888">
        <v>120</v>
      </c>
      <c r="I888">
        <v>26.9</v>
      </c>
      <c r="J888">
        <v>0.39</v>
      </c>
      <c r="K888">
        <v>22646.52</v>
      </c>
    </row>
    <row r="889" spans="1:11" x14ac:dyDescent="0.2">
      <c r="B889">
        <v>4102</v>
      </c>
      <c r="C889" t="s">
        <v>4544</v>
      </c>
      <c r="D889">
        <v>11</v>
      </c>
      <c r="E889">
        <v>1</v>
      </c>
      <c r="F889">
        <v>214</v>
      </c>
      <c r="G889">
        <v>214</v>
      </c>
      <c r="H889">
        <v>90</v>
      </c>
      <c r="I889">
        <v>2.4</v>
      </c>
      <c r="J889">
        <v>6.49</v>
      </c>
      <c r="K889">
        <v>1388.86</v>
      </c>
    </row>
    <row r="890" spans="1:11" x14ac:dyDescent="0.2">
      <c r="A890">
        <v>61265</v>
      </c>
      <c r="B890">
        <v>4104</v>
      </c>
      <c r="C890" t="s">
        <v>4545</v>
      </c>
      <c r="D890">
        <v>8</v>
      </c>
      <c r="E890">
        <v>6</v>
      </c>
      <c r="F890">
        <v>478</v>
      </c>
      <c r="G890">
        <v>2868</v>
      </c>
      <c r="H890">
        <v>100</v>
      </c>
      <c r="I890">
        <v>4.8</v>
      </c>
      <c r="J890">
        <v>2.59</v>
      </c>
      <c r="K890">
        <v>7428.12</v>
      </c>
    </row>
    <row r="891" spans="1:11" x14ac:dyDescent="0.2">
      <c r="A891">
        <v>61241</v>
      </c>
      <c r="B891">
        <v>4106</v>
      </c>
      <c r="C891" t="s">
        <v>4546</v>
      </c>
      <c r="D891">
        <v>8</v>
      </c>
      <c r="E891">
        <v>6</v>
      </c>
      <c r="F891">
        <v>1035</v>
      </c>
      <c r="G891">
        <v>6210</v>
      </c>
      <c r="H891">
        <v>84</v>
      </c>
      <c r="I891">
        <v>12.3</v>
      </c>
      <c r="J891">
        <v>1.59</v>
      </c>
      <c r="K891">
        <v>9873.9</v>
      </c>
    </row>
    <row r="892" spans="1:11" x14ac:dyDescent="0.2">
      <c r="A892">
        <v>61247</v>
      </c>
      <c r="B892">
        <v>4108</v>
      </c>
      <c r="C892" t="s">
        <v>4547</v>
      </c>
      <c r="D892">
        <v>8</v>
      </c>
      <c r="E892">
        <v>6</v>
      </c>
      <c r="F892">
        <v>707</v>
      </c>
      <c r="G892">
        <v>4242</v>
      </c>
      <c r="H892">
        <v>100</v>
      </c>
      <c r="I892">
        <v>7.1</v>
      </c>
      <c r="J892">
        <v>2.19</v>
      </c>
      <c r="K892">
        <v>9289.98</v>
      </c>
    </row>
    <row r="893" spans="1:11" x14ac:dyDescent="0.2">
      <c r="A893">
        <v>61124</v>
      </c>
      <c r="B893">
        <v>4109</v>
      </c>
      <c r="C893" t="s">
        <v>4548</v>
      </c>
      <c r="D893">
        <v>8</v>
      </c>
      <c r="E893">
        <v>6</v>
      </c>
      <c r="F893">
        <v>623</v>
      </c>
      <c r="G893">
        <v>3738</v>
      </c>
      <c r="H893">
        <v>105</v>
      </c>
      <c r="I893">
        <v>5.9</v>
      </c>
      <c r="J893">
        <v>2.29</v>
      </c>
      <c r="K893">
        <v>8560.02</v>
      </c>
    </row>
    <row r="894" spans="1:11" x14ac:dyDescent="0.2">
      <c r="A894">
        <v>61076</v>
      </c>
      <c r="B894">
        <v>4116</v>
      </c>
      <c r="C894" t="s">
        <v>4549</v>
      </c>
      <c r="D894">
        <v>8</v>
      </c>
      <c r="E894">
        <v>6</v>
      </c>
      <c r="F894">
        <v>733</v>
      </c>
      <c r="G894">
        <v>4396</v>
      </c>
      <c r="H894">
        <v>120</v>
      </c>
      <c r="I894">
        <v>6.1</v>
      </c>
      <c r="J894">
        <v>5.95</v>
      </c>
      <c r="K894">
        <v>26156.2</v>
      </c>
    </row>
    <row r="895" spans="1:11" x14ac:dyDescent="0.2">
      <c r="A895">
        <v>61080</v>
      </c>
      <c r="B895">
        <v>4117</v>
      </c>
      <c r="C895" t="s">
        <v>4550</v>
      </c>
      <c r="D895">
        <v>8</v>
      </c>
      <c r="E895">
        <v>6</v>
      </c>
      <c r="F895">
        <v>611</v>
      </c>
      <c r="G895">
        <v>3666</v>
      </c>
      <c r="H895">
        <v>105</v>
      </c>
      <c r="I895">
        <v>5.8</v>
      </c>
      <c r="J895">
        <v>2.29</v>
      </c>
      <c r="K895">
        <v>8395.14</v>
      </c>
    </row>
    <row r="896" spans="1:11" x14ac:dyDescent="0.2">
      <c r="A896">
        <v>61069</v>
      </c>
      <c r="B896">
        <v>4118</v>
      </c>
      <c r="C896" t="s">
        <v>4551</v>
      </c>
      <c r="D896">
        <v>8</v>
      </c>
      <c r="E896">
        <v>6</v>
      </c>
      <c r="F896">
        <v>1503</v>
      </c>
      <c r="G896">
        <v>9018</v>
      </c>
      <c r="H896">
        <v>100</v>
      </c>
      <c r="I896">
        <v>15</v>
      </c>
      <c r="J896">
        <v>2.19</v>
      </c>
      <c r="K896">
        <v>19749.419999999998</v>
      </c>
    </row>
    <row r="897" spans="1:11" x14ac:dyDescent="0.2">
      <c r="B897">
        <v>4119</v>
      </c>
      <c r="C897" t="s">
        <v>4552</v>
      </c>
      <c r="D897">
        <v>11</v>
      </c>
      <c r="E897">
        <v>6</v>
      </c>
      <c r="F897">
        <v>0</v>
      </c>
      <c r="G897">
        <v>0</v>
      </c>
      <c r="H897">
        <v>100</v>
      </c>
      <c r="I897">
        <v>0</v>
      </c>
      <c r="J897">
        <v>3.79</v>
      </c>
      <c r="K897">
        <v>0</v>
      </c>
    </row>
    <row r="898" spans="1:11" x14ac:dyDescent="0.2">
      <c r="A898">
        <v>61091</v>
      </c>
      <c r="B898">
        <v>4120</v>
      </c>
      <c r="C898" t="s">
        <v>4553</v>
      </c>
      <c r="D898">
        <v>8</v>
      </c>
      <c r="E898">
        <v>6</v>
      </c>
      <c r="F898">
        <v>590</v>
      </c>
      <c r="G898">
        <v>3541</v>
      </c>
      <c r="H898">
        <v>120</v>
      </c>
      <c r="I898">
        <v>4.9000000000000004</v>
      </c>
      <c r="J898">
        <v>1.99</v>
      </c>
      <c r="K898">
        <v>7046.59</v>
      </c>
    </row>
    <row r="899" spans="1:11" x14ac:dyDescent="0.2">
      <c r="A899">
        <v>61188</v>
      </c>
      <c r="B899">
        <v>4121</v>
      </c>
      <c r="C899" t="s">
        <v>4554</v>
      </c>
      <c r="D899">
        <v>9</v>
      </c>
      <c r="E899">
        <v>6</v>
      </c>
      <c r="F899">
        <v>238</v>
      </c>
      <c r="G899">
        <v>1428</v>
      </c>
      <c r="H899">
        <v>105</v>
      </c>
      <c r="I899">
        <v>2.2999999999999998</v>
      </c>
      <c r="J899">
        <v>4.45</v>
      </c>
      <c r="K899">
        <v>6354.6</v>
      </c>
    </row>
    <row r="900" spans="1:11" x14ac:dyDescent="0.2">
      <c r="A900">
        <v>61039</v>
      </c>
      <c r="B900">
        <v>4122</v>
      </c>
      <c r="C900" t="s">
        <v>4555</v>
      </c>
      <c r="D900">
        <v>8</v>
      </c>
      <c r="E900">
        <v>6</v>
      </c>
      <c r="F900">
        <v>2753</v>
      </c>
      <c r="G900">
        <v>16518</v>
      </c>
      <c r="H900">
        <v>100</v>
      </c>
      <c r="I900">
        <v>27.5</v>
      </c>
      <c r="J900">
        <v>5.29</v>
      </c>
      <c r="K900">
        <v>87380.22</v>
      </c>
    </row>
    <row r="901" spans="1:11" x14ac:dyDescent="0.2">
      <c r="A901">
        <v>61094</v>
      </c>
      <c r="B901">
        <v>4123</v>
      </c>
      <c r="C901" t="s">
        <v>4556</v>
      </c>
      <c r="D901">
        <v>8</v>
      </c>
      <c r="E901">
        <v>6</v>
      </c>
      <c r="F901">
        <v>790</v>
      </c>
      <c r="G901">
        <v>4740</v>
      </c>
      <c r="H901">
        <v>105</v>
      </c>
      <c r="I901">
        <v>7.5</v>
      </c>
      <c r="J901">
        <v>2.25</v>
      </c>
      <c r="K901">
        <v>10665</v>
      </c>
    </row>
    <row r="902" spans="1:11" x14ac:dyDescent="0.2">
      <c r="A902">
        <v>61239</v>
      </c>
      <c r="B902">
        <v>4124</v>
      </c>
      <c r="C902" t="s">
        <v>4557</v>
      </c>
      <c r="D902">
        <v>8</v>
      </c>
      <c r="E902">
        <v>6</v>
      </c>
      <c r="F902">
        <v>288</v>
      </c>
      <c r="G902">
        <v>1728</v>
      </c>
      <c r="H902">
        <v>76</v>
      </c>
      <c r="I902">
        <v>3.8</v>
      </c>
      <c r="J902">
        <v>4.99</v>
      </c>
      <c r="K902">
        <v>8622.7199999999993</v>
      </c>
    </row>
    <row r="903" spans="1:11" x14ac:dyDescent="0.2">
      <c r="A903">
        <v>61234</v>
      </c>
      <c r="B903">
        <v>4125</v>
      </c>
      <c r="C903" t="s">
        <v>4558</v>
      </c>
      <c r="D903">
        <v>8</v>
      </c>
      <c r="E903">
        <v>6</v>
      </c>
      <c r="F903">
        <v>1329</v>
      </c>
      <c r="G903">
        <v>7975</v>
      </c>
      <c r="H903">
        <v>84</v>
      </c>
      <c r="I903">
        <v>15.8</v>
      </c>
      <c r="J903">
        <v>1.59</v>
      </c>
      <c r="K903">
        <v>12680.25</v>
      </c>
    </row>
    <row r="904" spans="1:11" x14ac:dyDescent="0.2">
      <c r="A904">
        <v>62181</v>
      </c>
      <c r="B904">
        <v>4128</v>
      </c>
      <c r="C904" t="s">
        <v>4559</v>
      </c>
      <c r="D904">
        <v>8</v>
      </c>
      <c r="E904">
        <v>1</v>
      </c>
      <c r="F904">
        <v>2242</v>
      </c>
      <c r="G904">
        <v>2242</v>
      </c>
      <c r="H904">
        <v>208</v>
      </c>
      <c r="I904">
        <v>10.8</v>
      </c>
      <c r="J904">
        <v>2.19</v>
      </c>
      <c r="K904">
        <v>4909.9799999999996</v>
      </c>
    </row>
    <row r="905" spans="1:11" x14ac:dyDescent="0.2">
      <c r="A905">
        <v>62170</v>
      </c>
      <c r="B905">
        <v>4129</v>
      </c>
      <c r="C905" t="s">
        <v>4560</v>
      </c>
      <c r="D905">
        <v>8</v>
      </c>
      <c r="E905">
        <v>18</v>
      </c>
      <c r="F905">
        <v>1815</v>
      </c>
      <c r="G905">
        <v>32670</v>
      </c>
      <c r="H905">
        <v>84</v>
      </c>
      <c r="I905">
        <v>21.6</v>
      </c>
      <c r="J905">
        <v>0.69</v>
      </c>
      <c r="K905">
        <v>22542.3</v>
      </c>
    </row>
    <row r="906" spans="1:11" x14ac:dyDescent="0.2">
      <c r="A906">
        <v>62072</v>
      </c>
      <c r="B906">
        <v>4131</v>
      </c>
      <c r="C906" t="s">
        <v>4561</v>
      </c>
      <c r="D906">
        <v>8</v>
      </c>
      <c r="E906">
        <v>4</v>
      </c>
      <c r="F906">
        <v>435</v>
      </c>
      <c r="G906">
        <v>1741</v>
      </c>
      <c r="H906">
        <v>55</v>
      </c>
      <c r="I906">
        <v>7.9</v>
      </c>
      <c r="J906">
        <v>5.99</v>
      </c>
      <c r="K906">
        <v>10428.59</v>
      </c>
    </row>
    <row r="907" spans="1:11" x14ac:dyDescent="0.2">
      <c r="A907">
        <v>62186</v>
      </c>
      <c r="B907">
        <v>4136</v>
      </c>
      <c r="C907" t="s">
        <v>4562</v>
      </c>
      <c r="D907">
        <v>8</v>
      </c>
      <c r="E907">
        <v>3</v>
      </c>
      <c r="F907">
        <v>550</v>
      </c>
      <c r="G907">
        <v>1649</v>
      </c>
      <c r="H907">
        <v>60</v>
      </c>
      <c r="I907">
        <v>9.1999999999999993</v>
      </c>
      <c r="J907">
        <v>4.49</v>
      </c>
      <c r="K907">
        <v>7404.01</v>
      </c>
    </row>
    <row r="908" spans="1:11" x14ac:dyDescent="0.2">
      <c r="A908">
        <v>61157</v>
      </c>
      <c r="B908">
        <v>4138</v>
      </c>
      <c r="C908" t="s">
        <v>4563</v>
      </c>
      <c r="D908">
        <v>8</v>
      </c>
      <c r="E908">
        <v>6</v>
      </c>
      <c r="F908">
        <v>200</v>
      </c>
      <c r="G908">
        <v>1200</v>
      </c>
      <c r="H908">
        <v>105</v>
      </c>
      <c r="I908">
        <v>1.9</v>
      </c>
      <c r="J908">
        <v>4.99</v>
      </c>
      <c r="K908">
        <v>5988</v>
      </c>
    </row>
    <row r="909" spans="1:11" x14ac:dyDescent="0.2">
      <c r="A909">
        <v>61041</v>
      </c>
      <c r="B909">
        <v>4141</v>
      </c>
      <c r="C909" t="s">
        <v>4564</v>
      </c>
      <c r="D909">
        <v>8</v>
      </c>
      <c r="E909">
        <v>6</v>
      </c>
      <c r="F909">
        <v>863</v>
      </c>
      <c r="G909">
        <v>5178</v>
      </c>
      <c r="H909">
        <v>100</v>
      </c>
      <c r="I909">
        <v>8.6</v>
      </c>
      <c r="J909">
        <v>2.25</v>
      </c>
      <c r="K909">
        <v>11650.5</v>
      </c>
    </row>
    <row r="910" spans="1:11" x14ac:dyDescent="0.2">
      <c r="A910">
        <v>61049</v>
      </c>
      <c r="B910">
        <v>4142</v>
      </c>
      <c r="C910" t="s">
        <v>4565</v>
      </c>
      <c r="D910">
        <v>8</v>
      </c>
      <c r="E910">
        <v>6</v>
      </c>
      <c r="F910">
        <v>612</v>
      </c>
      <c r="G910">
        <v>3672</v>
      </c>
      <c r="H910">
        <v>125</v>
      </c>
      <c r="I910">
        <v>4.9000000000000004</v>
      </c>
      <c r="J910">
        <v>2.79</v>
      </c>
      <c r="K910">
        <v>10244.879999999999</v>
      </c>
    </row>
    <row r="911" spans="1:11" x14ac:dyDescent="0.2">
      <c r="A911">
        <v>62147</v>
      </c>
      <c r="B911">
        <v>4143</v>
      </c>
      <c r="C911" t="s">
        <v>4566</v>
      </c>
      <c r="D911">
        <v>8</v>
      </c>
      <c r="E911">
        <v>4</v>
      </c>
      <c r="F911">
        <v>1977</v>
      </c>
      <c r="G911">
        <v>7909</v>
      </c>
      <c r="H911">
        <v>80</v>
      </c>
      <c r="I911">
        <v>24.7</v>
      </c>
      <c r="J911">
        <v>2.69</v>
      </c>
      <c r="K911">
        <v>21275.21</v>
      </c>
    </row>
    <row r="912" spans="1:11" x14ac:dyDescent="0.2">
      <c r="B912">
        <v>4144</v>
      </c>
      <c r="C912" t="s">
        <v>4567</v>
      </c>
      <c r="D912">
        <v>11</v>
      </c>
      <c r="E912">
        <v>6</v>
      </c>
      <c r="F912">
        <v>0</v>
      </c>
      <c r="G912">
        <v>0</v>
      </c>
      <c r="H912">
        <v>85</v>
      </c>
      <c r="I912">
        <v>0</v>
      </c>
      <c r="J912">
        <v>3.95</v>
      </c>
      <c r="K912">
        <v>0</v>
      </c>
    </row>
    <row r="913" spans="1:11" x14ac:dyDescent="0.2">
      <c r="A913">
        <v>61219</v>
      </c>
      <c r="B913">
        <v>4145</v>
      </c>
      <c r="C913" t="s">
        <v>4568</v>
      </c>
      <c r="D913">
        <v>9</v>
      </c>
      <c r="E913">
        <v>6</v>
      </c>
      <c r="F913">
        <v>1306</v>
      </c>
      <c r="G913">
        <v>7833</v>
      </c>
      <c r="H913">
        <v>105</v>
      </c>
      <c r="I913">
        <v>12.4</v>
      </c>
      <c r="J913">
        <v>1.39</v>
      </c>
      <c r="K913">
        <v>10887.87</v>
      </c>
    </row>
    <row r="914" spans="1:11" x14ac:dyDescent="0.2">
      <c r="A914">
        <v>62182</v>
      </c>
      <c r="B914">
        <v>4146</v>
      </c>
      <c r="C914" t="s">
        <v>4569</v>
      </c>
      <c r="D914">
        <v>8</v>
      </c>
      <c r="E914">
        <v>4</v>
      </c>
      <c r="F914">
        <v>338</v>
      </c>
      <c r="G914">
        <v>1350</v>
      </c>
      <c r="H914">
        <v>80</v>
      </c>
      <c r="I914">
        <v>4.2</v>
      </c>
      <c r="J914">
        <v>2.4900000000000002</v>
      </c>
      <c r="K914">
        <v>3361.5</v>
      </c>
    </row>
    <row r="915" spans="1:11" x14ac:dyDescent="0.2">
      <c r="A915">
        <v>61182</v>
      </c>
      <c r="B915">
        <v>4147</v>
      </c>
      <c r="C915" t="s">
        <v>4570</v>
      </c>
      <c r="D915">
        <v>8</v>
      </c>
      <c r="E915">
        <v>6</v>
      </c>
      <c r="F915">
        <v>835</v>
      </c>
      <c r="G915">
        <v>5012</v>
      </c>
      <c r="H915">
        <v>105</v>
      </c>
      <c r="I915">
        <v>8</v>
      </c>
      <c r="J915">
        <v>3.65</v>
      </c>
      <c r="K915">
        <v>18293.8</v>
      </c>
    </row>
    <row r="916" spans="1:11" x14ac:dyDescent="0.2">
      <c r="A916">
        <v>62124</v>
      </c>
      <c r="B916">
        <v>4151</v>
      </c>
      <c r="C916" t="s">
        <v>4571</v>
      </c>
      <c r="D916">
        <v>8</v>
      </c>
      <c r="E916">
        <v>6</v>
      </c>
      <c r="F916">
        <v>189</v>
      </c>
      <c r="G916">
        <v>1134</v>
      </c>
      <c r="H916">
        <v>80</v>
      </c>
      <c r="I916">
        <v>2.4</v>
      </c>
      <c r="J916">
        <v>12.49</v>
      </c>
      <c r="K916">
        <v>14163.66</v>
      </c>
    </row>
    <row r="917" spans="1:11" x14ac:dyDescent="0.2">
      <c r="A917">
        <v>61162</v>
      </c>
      <c r="B917">
        <v>4152</v>
      </c>
      <c r="C917" t="s">
        <v>4572</v>
      </c>
      <c r="D917">
        <v>8</v>
      </c>
      <c r="E917">
        <v>6</v>
      </c>
      <c r="F917">
        <v>1745</v>
      </c>
      <c r="G917">
        <v>10470</v>
      </c>
      <c r="H917">
        <v>95</v>
      </c>
      <c r="I917">
        <v>18.399999999999999</v>
      </c>
      <c r="J917">
        <v>2.69</v>
      </c>
      <c r="K917">
        <v>28164.3</v>
      </c>
    </row>
    <row r="918" spans="1:11" x14ac:dyDescent="0.2">
      <c r="A918">
        <v>61034</v>
      </c>
      <c r="B918">
        <v>4154</v>
      </c>
      <c r="C918" t="s">
        <v>4573</v>
      </c>
      <c r="D918">
        <v>8</v>
      </c>
      <c r="E918">
        <v>6</v>
      </c>
      <c r="F918">
        <v>404</v>
      </c>
      <c r="G918">
        <v>2424</v>
      </c>
      <c r="H918">
        <v>120</v>
      </c>
      <c r="I918">
        <v>3.4</v>
      </c>
      <c r="J918">
        <v>2.79</v>
      </c>
      <c r="K918">
        <v>6762.96</v>
      </c>
    </row>
    <row r="919" spans="1:11" x14ac:dyDescent="0.2">
      <c r="A919">
        <v>62168</v>
      </c>
      <c r="B919">
        <v>4156</v>
      </c>
      <c r="C919" t="s">
        <v>4574</v>
      </c>
      <c r="D919">
        <v>8</v>
      </c>
      <c r="E919">
        <v>18</v>
      </c>
      <c r="F919">
        <v>2010</v>
      </c>
      <c r="G919">
        <v>36177</v>
      </c>
      <c r="H919">
        <v>84</v>
      </c>
      <c r="I919">
        <v>23.9</v>
      </c>
      <c r="J919">
        <v>0.59</v>
      </c>
      <c r="K919">
        <v>21344.43</v>
      </c>
    </row>
    <row r="920" spans="1:11" x14ac:dyDescent="0.2">
      <c r="B920">
        <v>4163</v>
      </c>
      <c r="C920" t="s">
        <v>4575</v>
      </c>
      <c r="D920">
        <v>6</v>
      </c>
      <c r="E920">
        <v>6</v>
      </c>
      <c r="F920">
        <v>1680</v>
      </c>
      <c r="G920">
        <v>10080</v>
      </c>
      <c r="H920">
        <v>105</v>
      </c>
      <c r="I920">
        <v>16</v>
      </c>
      <c r="J920">
        <v>1.39</v>
      </c>
      <c r="K920">
        <v>14011.2</v>
      </c>
    </row>
    <row r="921" spans="1:11" x14ac:dyDescent="0.2">
      <c r="A921">
        <v>61096</v>
      </c>
      <c r="B921">
        <v>4164</v>
      </c>
      <c r="C921" t="s">
        <v>4576</v>
      </c>
      <c r="D921">
        <v>8</v>
      </c>
      <c r="E921">
        <v>6</v>
      </c>
      <c r="F921">
        <v>377</v>
      </c>
      <c r="G921">
        <v>2262</v>
      </c>
      <c r="H921">
        <v>105</v>
      </c>
      <c r="I921">
        <v>3.6</v>
      </c>
      <c r="J921">
        <v>2.79</v>
      </c>
      <c r="K921">
        <v>6310.98</v>
      </c>
    </row>
    <row r="922" spans="1:11" x14ac:dyDescent="0.2">
      <c r="A922">
        <v>61005</v>
      </c>
      <c r="B922">
        <v>4166</v>
      </c>
      <c r="C922" t="s">
        <v>4577</v>
      </c>
      <c r="D922">
        <v>8</v>
      </c>
      <c r="E922">
        <v>6</v>
      </c>
      <c r="F922">
        <v>889</v>
      </c>
      <c r="G922">
        <v>5334</v>
      </c>
      <c r="H922">
        <v>100</v>
      </c>
      <c r="I922">
        <v>8.9</v>
      </c>
      <c r="J922">
        <v>9.49</v>
      </c>
      <c r="K922">
        <v>50619.66</v>
      </c>
    </row>
    <row r="923" spans="1:11" x14ac:dyDescent="0.2">
      <c r="A923">
        <v>61120</v>
      </c>
      <c r="B923">
        <v>4168</v>
      </c>
      <c r="C923" t="s">
        <v>4578</v>
      </c>
      <c r="D923">
        <v>8</v>
      </c>
      <c r="E923">
        <v>6</v>
      </c>
      <c r="F923">
        <v>354</v>
      </c>
      <c r="G923">
        <v>2124</v>
      </c>
      <c r="H923">
        <v>95</v>
      </c>
      <c r="I923">
        <v>3.7</v>
      </c>
      <c r="J923">
        <v>2.99</v>
      </c>
      <c r="K923">
        <v>6350.76</v>
      </c>
    </row>
    <row r="924" spans="1:11" x14ac:dyDescent="0.2">
      <c r="A924">
        <v>61149</v>
      </c>
      <c r="B924">
        <v>4169</v>
      </c>
      <c r="C924" t="s">
        <v>4579</v>
      </c>
      <c r="D924">
        <v>8</v>
      </c>
      <c r="E924">
        <v>6</v>
      </c>
      <c r="F924">
        <v>827</v>
      </c>
      <c r="G924">
        <v>4962</v>
      </c>
      <c r="H924">
        <v>125</v>
      </c>
      <c r="I924">
        <v>6.6</v>
      </c>
      <c r="J924">
        <v>1.99</v>
      </c>
      <c r="K924">
        <v>9874.3799999999992</v>
      </c>
    </row>
    <row r="925" spans="1:11" x14ac:dyDescent="0.2">
      <c r="A925">
        <v>61025</v>
      </c>
      <c r="B925">
        <v>4170</v>
      </c>
      <c r="C925" t="s">
        <v>4580</v>
      </c>
      <c r="D925">
        <v>8</v>
      </c>
      <c r="E925">
        <v>6</v>
      </c>
      <c r="F925">
        <v>1051</v>
      </c>
      <c r="G925">
        <v>6306</v>
      </c>
      <c r="H925">
        <v>100</v>
      </c>
      <c r="I925">
        <v>10.5</v>
      </c>
      <c r="J925">
        <v>3.15</v>
      </c>
      <c r="K925">
        <v>19863.900000000001</v>
      </c>
    </row>
    <row r="926" spans="1:11" x14ac:dyDescent="0.2">
      <c r="A926">
        <v>61153</v>
      </c>
      <c r="B926">
        <v>4172</v>
      </c>
      <c r="C926" t="s">
        <v>4581</v>
      </c>
      <c r="D926">
        <v>11</v>
      </c>
      <c r="E926">
        <v>6</v>
      </c>
      <c r="F926">
        <v>-83</v>
      </c>
      <c r="G926">
        <v>-500</v>
      </c>
      <c r="H926">
        <v>105</v>
      </c>
      <c r="I926">
        <v>-0.8</v>
      </c>
      <c r="J926">
        <v>2.99</v>
      </c>
      <c r="K926">
        <v>-1495</v>
      </c>
    </row>
    <row r="927" spans="1:11" x14ac:dyDescent="0.2">
      <c r="B927">
        <v>4189</v>
      </c>
      <c r="C927" t="s">
        <v>4582</v>
      </c>
      <c r="D927">
        <v>11</v>
      </c>
      <c r="E927">
        <v>4</v>
      </c>
      <c r="F927">
        <v>34</v>
      </c>
      <c r="G927">
        <v>136</v>
      </c>
      <c r="H927">
        <v>80</v>
      </c>
      <c r="I927">
        <v>0.4</v>
      </c>
      <c r="J927">
        <v>3.29</v>
      </c>
      <c r="K927">
        <v>447.44</v>
      </c>
    </row>
    <row r="928" spans="1:11" x14ac:dyDescent="0.2">
      <c r="A928">
        <v>61028</v>
      </c>
      <c r="B928">
        <v>4196</v>
      </c>
      <c r="C928" t="s">
        <v>4583</v>
      </c>
      <c r="D928">
        <v>8</v>
      </c>
      <c r="E928">
        <v>6</v>
      </c>
      <c r="F928">
        <v>652</v>
      </c>
      <c r="G928">
        <v>3912</v>
      </c>
      <c r="H928">
        <v>120</v>
      </c>
      <c r="I928">
        <v>5.4</v>
      </c>
      <c r="J928">
        <v>1.99</v>
      </c>
      <c r="K928">
        <v>7784.88</v>
      </c>
    </row>
    <row r="929" spans="1:11" x14ac:dyDescent="0.2">
      <c r="A929">
        <v>61036</v>
      </c>
      <c r="B929">
        <v>4199</v>
      </c>
      <c r="C929" t="s">
        <v>4584</v>
      </c>
      <c r="D929">
        <v>8</v>
      </c>
      <c r="E929">
        <v>6</v>
      </c>
      <c r="F929">
        <v>541</v>
      </c>
      <c r="G929">
        <v>3246</v>
      </c>
      <c r="H929">
        <v>125</v>
      </c>
      <c r="I929">
        <v>4.3</v>
      </c>
      <c r="J929">
        <v>1.99</v>
      </c>
      <c r="K929">
        <v>6459.54</v>
      </c>
    </row>
    <row r="930" spans="1:11" x14ac:dyDescent="0.2">
      <c r="A930">
        <v>2668</v>
      </c>
      <c r="B930">
        <v>4200</v>
      </c>
      <c r="C930" t="s">
        <v>4585</v>
      </c>
      <c r="D930">
        <v>6</v>
      </c>
      <c r="E930">
        <v>102</v>
      </c>
      <c r="F930">
        <v>0</v>
      </c>
      <c r="G930">
        <v>3</v>
      </c>
      <c r="H930">
        <v>4</v>
      </c>
      <c r="I930">
        <v>0</v>
      </c>
      <c r="J930">
        <v>3.5</v>
      </c>
      <c r="K930">
        <v>10.5</v>
      </c>
    </row>
    <row r="931" spans="1:11" x14ac:dyDescent="0.2">
      <c r="A931">
        <v>62003</v>
      </c>
      <c r="B931">
        <v>4201</v>
      </c>
      <c r="C931" t="s">
        <v>4586</v>
      </c>
      <c r="D931">
        <v>8</v>
      </c>
      <c r="E931">
        <v>6</v>
      </c>
      <c r="F931">
        <v>366</v>
      </c>
      <c r="G931">
        <v>2196</v>
      </c>
      <c r="H931">
        <v>95</v>
      </c>
      <c r="I931">
        <v>3.9</v>
      </c>
      <c r="J931">
        <v>3.79</v>
      </c>
      <c r="K931">
        <v>8322.84</v>
      </c>
    </row>
    <row r="932" spans="1:11" x14ac:dyDescent="0.2">
      <c r="A932">
        <v>62063</v>
      </c>
      <c r="B932">
        <v>4203</v>
      </c>
      <c r="C932" t="s">
        <v>4587</v>
      </c>
      <c r="D932">
        <v>8</v>
      </c>
      <c r="E932">
        <v>4</v>
      </c>
      <c r="F932">
        <v>1103</v>
      </c>
      <c r="G932">
        <v>4412</v>
      </c>
      <c r="H932">
        <v>66</v>
      </c>
      <c r="I932">
        <v>16.7</v>
      </c>
      <c r="J932">
        <v>8.99</v>
      </c>
      <c r="K932">
        <v>39663.879999999997</v>
      </c>
    </row>
    <row r="933" spans="1:11" x14ac:dyDescent="0.2">
      <c r="A933">
        <v>73228</v>
      </c>
      <c r="B933">
        <v>4230</v>
      </c>
      <c r="C933" t="s">
        <v>4588</v>
      </c>
      <c r="D933">
        <v>8</v>
      </c>
      <c r="E933">
        <v>12</v>
      </c>
      <c r="F933">
        <v>223</v>
      </c>
      <c r="G933">
        <v>2676</v>
      </c>
      <c r="H933">
        <v>72</v>
      </c>
      <c r="I933">
        <v>3.1</v>
      </c>
      <c r="J933">
        <v>1.25</v>
      </c>
      <c r="K933">
        <v>3345</v>
      </c>
    </row>
    <row r="934" spans="1:11" x14ac:dyDescent="0.2">
      <c r="A934">
        <v>73230</v>
      </c>
      <c r="B934">
        <v>4235</v>
      </c>
      <c r="C934" t="s">
        <v>4589</v>
      </c>
      <c r="D934">
        <v>8</v>
      </c>
      <c r="E934">
        <v>12</v>
      </c>
      <c r="F934">
        <v>377</v>
      </c>
      <c r="G934">
        <v>4524</v>
      </c>
      <c r="H934">
        <v>72</v>
      </c>
      <c r="I934">
        <v>5.2</v>
      </c>
      <c r="J934">
        <v>1.95</v>
      </c>
      <c r="K934">
        <v>8821.7999999999993</v>
      </c>
    </row>
    <row r="935" spans="1:11" x14ac:dyDescent="0.2">
      <c r="A935">
        <v>73232</v>
      </c>
      <c r="B935">
        <v>4236</v>
      </c>
      <c r="C935" t="s">
        <v>4590</v>
      </c>
      <c r="D935">
        <v>8</v>
      </c>
      <c r="E935">
        <v>10</v>
      </c>
      <c r="F935">
        <v>220</v>
      </c>
      <c r="G935">
        <v>2200</v>
      </c>
      <c r="H935">
        <v>105</v>
      </c>
      <c r="I935">
        <v>2.1</v>
      </c>
      <c r="J935">
        <v>0.98</v>
      </c>
      <c r="K935">
        <v>2156</v>
      </c>
    </row>
    <row r="936" spans="1:11" x14ac:dyDescent="0.2">
      <c r="A936">
        <v>65041</v>
      </c>
      <c r="B936">
        <v>4237</v>
      </c>
      <c r="C936" t="s">
        <v>4591</v>
      </c>
      <c r="D936">
        <v>8</v>
      </c>
      <c r="E936">
        <v>12</v>
      </c>
      <c r="F936">
        <v>524</v>
      </c>
      <c r="G936">
        <v>6288</v>
      </c>
      <c r="H936">
        <v>96</v>
      </c>
      <c r="I936">
        <v>5.5</v>
      </c>
      <c r="J936">
        <v>1.2</v>
      </c>
      <c r="K936">
        <v>7545.6</v>
      </c>
    </row>
    <row r="937" spans="1:11" x14ac:dyDescent="0.2">
      <c r="A937">
        <v>65248</v>
      </c>
      <c r="B937">
        <v>4239</v>
      </c>
      <c r="C937" t="s">
        <v>4592</v>
      </c>
      <c r="D937">
        <v>8</v>
      </c>
      <c r="E937">
        <v>12</v>
      </c>
      <c r="F937">
        <v>322</v>
      </c>
      <c r="G937">
        <v>3861</v>
      </c>
      <c r="H937">
        <v>120</v>
      </c>
      <c r="I937">
        <v>2.7</v>
      </c>
      <c r="J937">
        <v>0.62</v>
      </c>
      <c r="K937">
        <v>2393.8200000000002</v>
      </c>
    </row>
    <row r="938" spans="1:11" x14ac:dyDescent="0.2">
      <c r="A938">
        <v>65250</v>
      </c>
      <c r="B938">
        <v>4240</v>
      </c>
      <c r="C938" t="s">
        <v>4593</v>
      </c>
      <c r="D938">
        <v>9</v>
      </c>
      <c r="E938">
        <v>12</v>
      </c>
      <c r="F938">
        <v>223</v>
      </c>
      <c r="G938">
        <v>2676</v>
      </c>
      <c r="H938">
        <v>120</v>
      </c>
      <c r="I938">
        <v>1.9</v>
      </c>
      <c r="J938">
        <v>1.0900000000000001</v>
      </c>
      <c r="K938">
        <v>2916.84</v>
      </c>
    </row>
    <row r="939" spans="1:11" x14ac:dyDescent="0.2">
      <c r="A939">
        <v>57415</v>
      </c>
      <c r="B939">
        <v>4241</v>
      </c>
      <c r="C939" t="s">
        <v>4594</v>
      </c>
      <c r="D939">
        <v>10</v>
      </c>
      <c r="E939">
        <v>1</v>
      </c>
      <c r="F939">
        <v>0</v>
      </c>
      <c r="G939">
        <v>0</v>
      </c>
      <c r="H939">
        <v>4</v>
      </c>
      <c r="I939">
        <v>0</v>
      </c>
      <c r="J939">
        <v>1</v>
      </c>
      <c r="K939">
        <v>0</v>
      </c>
    </row>
    <row r="940" spans="1:11" x14ac:dyDescent="0.2">
      <c r="A940">
        <v>0</v>
      </c>
      <c r="B940">
        <v>4247</v>
      </c>
      <c r="C940" t="s">
        <v>4595</v>
      </c>
      <c r="D940">
        <v>10</v>
      </c>
      <c r="E940">
        <v>20</v>
      </c>
      <c r="F940">
        <v>0</v>
      </c>
      <c r="G940">
        <v>0</v>
      </c>
      <c r="H940">
        <v>84</v>
      </c>
      <c r="I940">
        <v>0</v>
      </c>
      <c r="J940">
        <v>1.95</v>
      </c>
      <c r="K940">
        <v>0</v>
      </c>
    </row>
    <row r="941" spans="1:11" x14ac:dyDescent="0.2">
      <c r="A941">
        <v>0</v>
      </c>
      <c r="B941">
        <v>4250</v>
      </c>
      <c r="C941" t="s">
        <v>4596</v>
      </c>
      <c r="D941">
        <v>11</v>
      </c>
      <c r="E941">
        <v>4</v>
      </c>
      <c r="F941">
        <v>0</v>
      </c>
      <c r="G941">
        <v>0</v>
      </c>
      <c r="H941">
        <v>48</v>
      </c>
      <c r="I941">
        <v>0</v>
      </c>
      <c r="J941">
        <v>9.3699999999999992</v>
      </c>
      <c r="K941">
        <v>0</v>
      </c>
    </row>
    <row r="942" spans="1:11" x14ac:dyDescent="0.2">
      <c r="B942">
        <v>4252</v>
      </c>
      <c r="C942" t="s">
        <v>4597</v>
      </c>
      <c r="D942">
        <v>11</v>
      </c>
      <c r="E942">
        <v>6</v>
      </c>
      <c r="F942">
        <v>-3</v>
      </c>
      <c r="G942">
        <v>-18</v>
      </c>
      <c r="H942">
        <v>64</v>
      </c>
      <c r="I942">
        <v>0</v>
      </c>
      <c r="J942">
        <v>1.6</v>
      </c>
      <c r="K942">
        <v>-28.8</v>
      </c>
    </row>
    <row r="943" spans="1:11" x14ac:dyDescent="0.2">
      <c r="A943">
        <v>73236</v>
      </c>
      <c r="B943">
        <v>4260</v>
      </c>
      <c r="C943" t="s">
        <v>4598</v>
      </c>
      <c r="D943">
        <v>8</v>
      </c>
      <c r="E943">
        <v>12</v>
      </c>
      <c r="F943">
        <v>233</v>
      </c>
      <c r="G943">
        <v>2796</v>
      </c>
      <c r="H943">
        <v>105</v>
      </c>
      <c r="I943">
        <v>2.2000000000000002</v>
      </c>
      <c r="J943">
        <v>1.1299999999999999</v>
      </c>
      <c r="K943">
        <v>3159.48</v>
      </c>
    </row>
    <row r="944" spans="1:11" x14ac:dyDescent="0.2">
      <c r="B944">
        <v>4261</v>
      </c>
      <c r="C944" t="s">
        <v>4599</v>
      </c>
      <c r="D944">
        <v>11</v>
      </c>
      <c r="E944">
        <v>12</v>
      </c>
      <c r="F944">
        <v>0</v>
      </c>
      <c r="G944">
        <v>0</v>
      </c>
      <c r="H944">
        <v>105</v>
      </c>
      <c r="I944">
        <v>0</v>
      </c>
      <c r="J944">
        <v>1.2</v>
      </c>
      <c r="K944">
        <v>0</v>
      </c>
    </row>
    <row r="945" spans="1:11" x14ac:dyDescent="0.2">
      <c r="A945">
        <v>73234</v>
      </c>
      <c r="B945">
        <v>4262</v>
      </c>
      <c r="C945" t="s">
        <v>4600</v>
      </c>
      <c r="D945">
        <v>8</v>
      </c>
      <c r="E945">
        <v>12</v>
      </c>
      <c r="F945">
        <v>323</v>
      </c>
      <c r="G945">
        <v>3876</v>
      </c>
      <c r="H945">
        <v>105</v>
      </c>
      <c r="I945">
        <v>3.1</v>
      </c>
      <c r="J945">
        <v>1.17</v>
      </c>
      <c r="K945">
        <v>4534.92</v>
      </c>
    </row>
    <row r="946" spans="1:11" x14ac:dyDescent="0.2">
      <c r="A946">
        <v>99550</v>
      </c>
      <c r="B946">
        <v>4266</v>
      </c>
      <c r="C946" t="s">
        <v>4601</v>
      </c>
      <c r="D946">
        <v>12</v>
      </c>
      <c r="E946">
        <v>6</v>
      </c>
      <c r="F946">
        <v>0</v>
      </c>
      <c r="G946">
        <v>0</v>
      </c>
      <c r="H946">
        <v>120</v>
      </c>
      <c r="I946">
        <v>0</v>
      </c>
      <c r="J946">
        <v>2.19</v>
      </c>
      <c r="K946">
        <v>0</v>
      </c>
    </row>
    <row r="947" spans="1:11" x14ac:dyDescent="0.2">
      <c r="A947">
        <v>89038</v>
      </c>
      <c r="B947">
        <v>4269</v>
      </c>
      <c r="C947" t="s">
        <v>4602</v>
      </c>
      <c r="D947">
        <v>8</v>
      </c>
      <c r="E947">
        <v>10</v>
      </c>
      <c r="F947">
        <v>100</v>
      </c>
      <c r="G947">
        <v>1000</v>
      </c>
      <c r="H947">
        <v>100</v>
      </c>
      <c r="I947">
        <v>1</v>
      </c>
      <c r="J947">
        <v>2.16</v>
      </c>
      <c r="K947">
        <v>2160</v>
      </c>
    </row>
    <row r="948" spans="1:11" x14ac:dyDescent="0.2">
      <c r="B948">
        <v>4271</v>
      </c>
      <c r="C948" t="s">
        <v>4603</v>
      </c>
      <c r="D948">
        <v>11</v>
      </c>
      <c r="E948">
        <v>9</v>
      </c>
      <c r="F948">
        <v>0</v>
      </c>
      <c r="G948">
        <v>0</v>
      </c>
      <c r="H948">
        <v>96</v>
      </c>
      <c r="I948">
        <v>0</v>
      </c>
      <c r="J948">
        <v>2.79</v>
      </c>
      <c r="K948">
        <v>0</v>
      </c>
    </row>
    <row r="949" spans="1:11" x14ac:dyDescent="0.2">
      <c r="A949">
        <v>89048</v>
      </c>
      <c r="B949">
        <v>4273</v>
      </c>
      <c r="C949" t="s">
        <v>4604</v>
      </c>
      <c r="D949">
        <v>8</v>
      </c>
      <c r="E949">
        <v>9</v>
      </c>
      <c r="F949">
        <v>96</v>
      </c>
      <c r="G949">
        <v>864</v>
      </c>
      <c r="H949">
        <v>96</v>
      </c>
      <c r="I949">
        <v>1</v>
      </c>
      <c r="J949">
        <v>2.4</v>
      </c>
      <c r="K949">
        <v>2073.6</v>
      </c>
    </row>
    <row r="950" spans="1:11" x14ac:dyDescent="0.2">
      <c r="A950">
        <v>57193</v>
      </c>
      <c r="B950">
        <v>4299</v>
      </c>
      <c r="C950" t="s">
        <v>4605</v>
      </c>
      <c r="D950">
        <v>10</v>
      </c>
      <c r="E950">
        <v>19</v>
      </c>
      <c r="F950">
        <v>0</v>
      </c>
      <c r="G950">
        <v>0</v>
      </c>
      <c r="H950">
        <v>16</v>
      </c>
      <c r="I950">
        <v>0</v>
      </c>
      <c r="J950">
        <v>0.8</v>
      </c>
      <c r="K950">
        <v>0</v>
      </c>
    </row>
    <row r="951" spans="1:11" x14ac:dyDescent="0.2">
      <c r="A951">
        <v>62027</v>
      </c>
      <c r="B951">
        <v>4302</v>
      </c>
      <c r="C951" t="s">
        <v>4606</v>
      </c>
      <c r="D951">
        <v>8</v>
      </c>
      <c r="E951">
        <v>12</v>
      </c>
      <c r="F951">
        <v>574</v>
      </c>
      <c r="G951">
        <v>6888</v>
      </c>
      <c r="H951">
        <v>60</v>
      </c>
      <c r="I951">
        <v>9.6</v>
      </c>
      <c r="J951">
        <v>7.99</v>
      </c>
      <c r="K951">
        <v>55035.12</v>
      </c>
    </row>
    <row r="952" spans="1:11" x14ac:dyDescent="0.2">
      <c r="B952">
        <v>4339</v>
      </c>
      <c r="C952" t="s">
        <v>4607</v>
      </c>
      <c r="D952">
        <v>10</v>
      </c>
      <c r="E952">
        <v>8</v>
      </c>
      <c r="F952">
        <v>0</v>
      </c>
      <c r="G952">
        <v>0</v>
      </c>
      <c r="H952">
        <v>36</v>
      </c>
      <c r="I952">
        <v>0</v>
      </c>
      <c r="J952">
        <v>8.85</v>
      </c>
      <c r="K952">
        <v>0</v>
      </c>
    </row>
    <row r="953" spans="1:11" x14ac:dyDescent="0.2">
      <c r="A953">
        <v>8698</v>
      </c>
      <c r="B953">
        <v>4357</v>
      </c>
      <c r="C953" t="s">
        <v>4608</v>
      </c>
      <c r="D953">
        <v>10</v>
      </c>
      <c r="E953">
        <v>144</v>
      </c>
      <c r="F953">
        <v>1</v>
      </c>
      <c r="G953">
        <v>144</v>
      </c>
      <c r="H953">
        <v>4</v>
      </c>
      <c r="I953">
        <v>0.3</v>
      </c>
      <c r="J953">
        <v>1.89</v>
      </c>
      <c r="K953">
        <v>272.16000000000003</v>
      </c>
    </row>
    <row r="954" spans="1:11" x14ac:dyDescent="0.2">
      <c r="A954">
        <v>66226</v>
      </c>
      <c r="B954">
        <v>4369</v>
      </c>
      <c r="C954" t="s">
        <v>4609</v>
      </c>
      <c r="D954">
        <v>8</v>
      </c>
      <c r="E954">
        <v>14</v>
      </c>
      <c r="F954">
        <v>358</v>
      </c>
      <c r="G954">
        <v>5012</v>
      </c>
      <c r="H954">
        <v>24</v>
      </c>
      <c r="I954">
        <v>14.9</v>
      </c>
      <c r="J954">
        <v>1.06</v>
      </c>
      <c r="K954">
        <v>5312.72</v>
      </c>
    </row>
    <row r="955" spans="1:11" x14ac:dyDescent="0.2">
      <c r="A955">
        <v>57336</v>
      </c>
      <c r="B955">
        <v>4377</v>
      </c>
      <c r="C955" t="s">
        <v>4610</v>
      </c>
      <c r="D955">
        <v>10</v>
      </c>
      <c r="E955">
        <v>60</v>
      </c>
      <c r="F955">
        <v>0</v>
      </c>
      <c r="G955">
        <v>0</v>
      </c>
      <c r="H955">
        <v>4</v>
      </c>
      <c r="I955">
        <v>0</v>
      </c>
      <c r="J955">
        <v>2.9</v>
      </c>
      <c r="K955">
        <v>0</v>
      </c>
    </row>
    <row r="956" spans="1:11" x14ac:dyDescent="0.2">
      <c r="A956">
        <v>48627</v>
      </c>
      <c r="B956">
        <v>4384</v>
      </c>
      <c r="C956" t="s">
        <v>4611</v>
      </c>
      <c r="D956">
        <v>10</v>
      </c>
      <c r="E956">
        <v>72</v>
      </c>
      <c r="F956">
        <v>0</v>
      </c>
      <c r="G956">
        <v>0</v>
      </c>
      <c r="H956">
        <v>4</v>
      </c>
      <c r="I956">
        <v>0</v>
      </c>
      <c r="J956">
        <v>2.09</v>
      </c>
      <c r="K956">
        <v>0</v>
      </c>
    </row>
    <row r="957" spans="1:11" x14ac:dyDescent="0.2">
      <c r="A957">
        <v>84043</v>
      </c>
      <c r="B957">
        <v>4385</v>
      </c>
      <c r="C957" t="s">
        <v>4612</v>
      </c>
      <c r="D957">
        <v>8</v>
      </c>
      <c r="E957">
        <v>6</v>
      </c>
      <c r="F957">
        <v>184</v>
      </c>
      <c r="G957">
        <v>1104</v>
      </c>
      <c r="H957">
        <v>54</v>
      </c>
      <c r="I957">
        <v>3.4</v>
      </c>
      <c r="J957">
        <v>3.39</v>
      </c>
      <c r="K957">
        <v>3742.56</v>
      </c>
    </row>
    <row r="958" spans="1:11" x14ac:dyDescent="0.2">
      <c r="A958">
        <v>67247</v>
      </c>
      <c r="B958">
        <v>4389</v>
      </c>
      <c r="C958" t="s">
        <v>4613</v>
      </c>
      <c r="D958">
        <v>8</v>
      </c>
      <c r="E958">
        <v>12</v>
      </c>
      <c r="F958">
        <v>222</v>
      </c>
      <c r="G958">
        <v>2664</v>
      </c>
      <c r="H958">
        <v>50</v>
      </c>
      <c r="I958">
        <v>4.4000000000000004</v>
      </c>
      <c r="J958">
        <v>2.29</v>
      </c>
      <c r="K958">
        <v>6100.56</v>
      </c>
    </row>
    <row r="959" spans="1:11" x14ac:dyDescent="0.2">
      <c r="A959">
        <v>62030</v>
      </c>
      <c r="B959">
        <v>4401</v>
      </c>
      <c r="C959" t="s">
        <v>4614</v>
      </c>
      <c r="D959">
        <v>8</v>
      </c>
      <c r="E959">
        <v>6</v>
      </c>
      <c r="F959">
        <v>1074</v>
      </c>
      <c r="G959">
        <v>6442</v>
      </c>
      <c r="H959">
        <v>115</v>
      </c>
      <c r="I959">
        <v>9.3000000000000007</v>
      </c>
      <c r="J959">
        <v>5.75</v>
      </c>
      <c r="K959">
        <v>37041.5</v>
      </c>
    </row>
    <row r="960" spans="1:11" x14ac:dyDescent="0.2">
      <c r="A960">
        <v>62038</v>
      </c>
      <c r="B960">
        <v>4404</v>
      </c>
      <c r="C960" t="s">
        <v>4615</v>
      </c>
      <c r="D960">
        <v>8</v>
      </c>
      <c r="E960">
        <v>6</v>
      </c>
      <c r="F960">
        <v>462</v>
      </c>
      <c r="G960">
        <v>2772</v>
      </c>
      <c r="H960">
        <v>115</v>
      </c>
      <c r="I960">
        <v>4</v>
      </c>
      <c r="J960">
        <v>5.69</v>
      </c>
      <c r="K960">
        <v>15772.68</v>
      </c>
    </row>
    <row r="961" spans="1:11" x14ac:dyDescent="0.2">
      <c r="A961">
        <v>62043</v>
      </c>
      <c r="B961">
        <v>4405</v>
      </c>
      <c r="C961" t="s">
        <v>4616</v>
      </c>
      <c r="D961">
        <v>8</v>
      </c>
      <c r="E961">
        <v>6</v>
      </c>
      <c r="F961">
        <v>456</v>
      </c>
      <c r="G961">
        <v>2736</v>
      </c>
      <c r="H961">
        <v>115</v>
      </c>
      <c r="I961">
        <v>4</v>
      </c>
      <c r="J961">
        <v>8.7899999999999991</v>
      </c>
      <c r="K961">
        <v>24049.439999999999</v>
      </c>
    </row>
    <row r="962" spans="1:11" x14ac:dyDescent="0.2">
      <c r="A962">
        <v>46625</v>
      </c>
      <c r="B962">
        <v>4406</v>
      </c>
      <c r="C962" t="s">
        <v>4617</v>
      </c>
      <c r="D962">
        <v>10</v>
      </c>
      <c r="E962">
        <v>6</v>
      </c>
      <c r="F962">
        <v>-1</v>
      </c>
      <c r="G962">
        <v>-6</v>
      </c>
      <c r="H962">
        <v>95</v>
      </c>
      <c r="I962">
        <v>0</v>
      </c>
      <c r="J962">
        <v>6.99</v>
      </c>
      <c r="K962">
        <v>-41.94</v>
      </c>
    </row>
    <row r="963" spans="1:11" x14ac:dyDescent="0.2">
      <c r="A963">
        <v>62021</v>
      </c>
      <c r="B963">
        <v>4408</v>
      </c>
      <c r="C963" t="s">
        <v>4618</v>
      </c>
      <c r="D963">
        <v>8</v>
      </c>
      <c r="E963">
        <v>6</v>
      </c>
      <c r="F963">
        <v>465</v>
      </c>
      <c r="G963">
        <v>2790</v>
      </c>
      <c r="H963">
        <v>100</v>
      </c>
      <c r="I963">
        <v>4.7</v>
      </c>
      <c r="J963">
        <v>3.09</v>
      </c>
      <c r="K963">
        <v>8621.1</v>
      </c>
    </row>
    <row r="964" spans="1:11" x14ac:dyDescent="0.2">
      <c r="A964">
        <v>62017</v>
      </c>
      <c r="B964">
        <v>4409</v>
      </c>
      <c r="C964" t="s">
        <v>4619</v>
      </c>
      <c r="D964">
        <v>8</v>
      </c>
      <c r="E964">
        <v>6</v>
      </c>
      <c r="F964">
        <v>613</v>
      </c>
      <c r="G964">
        <v>3678</v>
      </c>
      <c r="H964">
        <v>100</v>
      </c>
      <c r="I964">
        <v>6.1</v>
      </c>
      <c r="J964">
        <v>3.09</v>
      </c>
      <c r="K964">
        <v>11365.02</v>
      </c>
    </row>
    <row r="965" spans="1:11" x14ac:dyDescent="0.2">
      <c r="A965">
        <v>57337</v>
      </c>
      <c r="B965">
        <v>4413</v>
      </c>
      <c r="C965" t="s">
        <v>4620</v>
      </c>
      <c r="D965">
        <v>10</v>
      </c>
      <c r="E965">
        <v>117</v>
      </c>
      <c r="F965">
        <v>0</v>
      </c>
      <c r="G965">
        <v>-35</v>
      </c>
      <c r="H965">
        <v>4</v>
      </c>
      <c r="I965">
        <v>-0.1</v>
      </c>
      <c r="J965">
        <v>1.35</v>
      </c>
      <c r="K965">
        <v>-47.25</v>
      </c>
    </row>
    <row r="966" spans="1:11" x14ac:dyDescent="0.2">
      <c r="A966">
        <v>91031</v>
      </c>
      <c r="B966">
        <v>4423</v>
      </c>
      <c r="C966" t="s">
        <v>4621</v>
      </c>
      <c r="D966">
        <v>8</v>
      </c>
      <c r="E966">
        <v>1</v>
      </c>
      <c r="F966">
        <v>23</v>
      </c>
      <c r="G966">
        <v>23</v>
      </c>
      <c r="H966">
        <v>220</v>
      </c>
      <c r="I966">
        <v>0.1</v>
      </c>
      <c r="J966">
        <v>8.19</v>
      </c>
      <c r="K966">
        <v>184.28</v>
      </c>
    </row>
    <row r="967" spans="1:11" x14ac:dyDescent="0.2">
      <c r="A967">
        <v>48141</v>
      </c>
      <c r="B967">
        <v>4424</v>
      </c>
      <c r="C967" t="s">
        <v>4622</v>
      </c>
      <c r="D967">
        <v>10</v>
      </c>
      <c r="E967">
        <v>20</v>
      </c>
      <c r="F967">
        <v>0</v>
      </c>
      <c r="G967">
        <v>0</v>
      </c>
      <c r="H967">
        <v>100</v>
      </c>
      <c r="I967">
        <v>0</v>
      </c>
      <c r="J967">
        <v>4.99</v>
      </c>
      <c r="K967">
        <v>0</v>
      </c>
    </row>
    <row r="968" spans="1:11" x14ac:dyDescent="0.2">
      <c r="A968">
        <v>66010</v>
      </c>
      <c r="B968">
        <v>4425</v>
      </c>
      <c r="C968" t="s">
        <v>4623</v>
      </c>
      <c r="D968">
        <v>8</v>
      </c>
      <c r="E968">
        <v>18</v>
      </c>
      <c r="F968">
        <v>171</v>
      </c>
      <c r="G968">
        <v>3078</v>
      </c>
      <c r="H968">
        <v>144</v>
      </c>
      <c r="I968">
        <v>1.2</v>
      </c>
      <c r="J968">
        <v>1.85</v>
      </c>
      <c r="K968">
        <v>5694.3</v>
      </c>
    </row>
    <row r="969" spans="1:11" x14ac:dyDescent="0.2">
      <c r="A969">
        <v>42683</v>
      </c>
      <c r="B969">
        <v>4427</v>
      </c>
      <c r="C969" t="s">
        <v>4624</v>
      </c>
      <c r="D969">
        <v>10</v>
      </c>
      <c r="E969">
        <v>88</v>
      </c>
      <c r="F969">
        <v>0</v>
      </c>
      <c r="G969">
        <v>0</v>
      </c>
      <c r="H969">
        <v>2</v>
      </c>
      <c r="I969">
        <v>0</v>
      </c>
      <c r="J969">
        <v>4.1900000000000004</v>
      </c>
      <c r="K969">
        <v>0</v>
      </c>
    </row>
    <row r="970" spans="1:11" x14ac:dyDescent="0.2">
      <c r="A970">
        <v>57274</v>
      </c>
      <c r="B970">
        <v>4438</v>
      </c>
      <c r="C970" t="s">
        <v>4625</v>
      </c>
      <c r="D970">
        <v>11</v>
      </c>
      <c r="E970">
        <v>6</v>
      </c>
      <c r="F970">
        <v>0</v>
      </c>
      <c r="G970">
        <v>0</v>
      </c>
      <c r="H970">
        <v>87</v>
      </c>
      <c r="I970">
        <v>0</v>
      </c>
      <c r="J970">
        <v>3.38</v>
      </c>
      <c r="K970">
        <v>0</v>
      </c>
    </row>
    <row r="971" spans="1:11" x14ac:dyDescent="0.2">
      <c r="A971">
        <v>52646</v>
      </c>
      <c r="B971">
        <v>4454</v>
      </c>
      <c r="C971" t="s">
        <v>4626</v>
      </c>
      <c r="D971">
        <v>6</v>
      </c>
      <c r="E971">
        <v>1</v>
      </c>
      <c r="F971">
        <v>2460</v>
      </c>
      <c r="G971">
        <v>2460</v>
      </c>
      <c r="H971">
        <v>66</v>
      </c>
      <c r="I971">
        <v>37.299999999999997</v>
      </c>
      <c r="J971">
        <v>13.69</v>
      </c>
      <c r="K971">
        <v>33677.4</v>
      </c>
    </row>
    <row r="972" spans="1:11" x14ac:dyDescent="0.2">
      <c r="B972">
        <v>4469</v>
      </c>
      <c r="C972" t="s">
        <v>4627</v>
      </c>
      <c r="D972">
        <v>11</v>
      </c>
      <c r="E972">
        <v>10</v>
      </c>
      <c r="F972">
        <v>0</v>
      </c>
      <c r="G972">
        <v>0</v>
      </c>
      <c r="H972">
        <v>114</v>
      </c>
      <c r="I972">
        <v>0</v>
      </c>
      <c r="J972">
        <v>1.92</v>
      </c>
      <c r="K972">
        <v>0</v>
      </c>
    </row>
    <row r="973" spans="1:11" x14ac:dyDescent="0.2">
      <c r="A973">
        <v>57368</v>
      </c>
      <c r="B973">
        <v>4478</v>
      </c>
      <c r="C973" t="s">
        <v>4628</v>
      </c>
      <c r="D973">
        <v>10</v>
      </c>
      <c r="E973">
        <v>12</v>
      </c>
      <c r="F973">
        <v>0</v>
      </c>
      <c r="G973">
        <v>0</v>
      </c>
      <c r="H973">
        <v>72</v>
      </c>
      <c r="I973">
        <v>0</v>
      </c>
      <c r="J973">
        <v>1.4</v>
      </c>
      <c r="K973">
        <v>0</v>
      </c>
    </row>
    <row r="974" spans="1:11" x14ac:dyDescent="0.2">
      <c r="A974">
        <v>43689</v>
      </c>
      <c r="B974">
        <v>4480</v>
      </c>
      <c r="C974" t="s">
        <v>4629</v>
      </c>
      <c r="D974">
        <v>10</v>
      </c>
      <c r="E974">
        <v>1</v>
      </c>
      <c r="F974">
        <v>36</v>
      </c>
      <c r="G974">
        <v>36</v>
      </c>
      <c r="H974">
        <v>216</v>
      </c>
      <c r="I974">
        <v>0.2</v>
      </c>
      <c r="J974">
        <v>6.99</v>
      </c>
      <c r="K974">
        <v>251.64</v>
      </c>
    </row>
    <row r="975" spans="1:11" x14ac:dyDescent="0.2">
      <c r="A975">
        <v>43788</v>
      </c>
      <c r="B975">
        <v>4481</v>
      </c>
      <c r="C975" t="s">
        <v>4630</v>
      </c>
      <c r="D975">
        <v>10</v>
      </c>
      <c r="E975">
        <v>1</v>
      </c>
      <c r="F975">
        <v>9</v>
      </c>
      <c r="G975">
        <v>9</v>
      </c>
      <c r="H975">
        <v>324</v>
      </c>
      <c r="I975">
        <v>0</v>
      </c>
      <c r="J975">
        <v>6.79</v>
      </c>
      <c r="K975">
        <v>61.11</v>
      </c>
    </row>
    <row r="976" spans="1:11" x14ac:dyDescent="0.2">
      <c r="A976">
        <v>43679</v>
      </c>
      <c r="B976">
        <v>4482</v>
      </c>
      <c r="C976" t="s">
        <v>4631</v>
      </c>
      <c r="D976">
        <v>10</v>
      </c>
      <c r="E976">
        <v>1</v>
      </c>
      <c r="F976">
        <v>15</v>
      </c>
      <c r="G976">
        <v>15</v>
      </c>
      <c r="H976">
        <v>180</v>
      </c>
      <c r="I976">
        <v>0.1</v>
      </c>
      <c r="J976">
        <v>3.75</v>
      </c>
      <c r="K976">
        <v>56.25</v>
      </c>
    </row>
    <row r="977" spans="1:11" x14ac:dyDescent="0.2">
      <c r="A977">
        <v>70195</v>
      </c>
      <c r="B977">
        <v>4486</v>
      </c>
      <c r="C977" t="s">
        <v>4632</v>
      </c>
      <c r="D977">
        <v>8</v>
      </c>
      <c r="E977">
        <v>27</v>
      </c>
      <c r="F977">
        <v>219</v>
      </c>
      <c r="G977">
        <v>5913</v>
      </c>
      <c r="H977">
        <v>90</v>
      </c>
      <c r="I977">
        <v>2.4</v>
      </c>
      <c r="J977">
        <v>3.49</v>
      </c>
      <c r="K977">
        <v>20636.37</v>
      </c>
    </row>
    <row r="978" spans="1:11" x14ac:dyDescent="0.2">
      <c r="B978">
        <v>4488</v>
      </c>
      <c r="C978" t="s">
        <v>4633</v>
      </c>
      <c r="D978">
        <v>10</v>
      </c>
      <c r="E978">
        <v>1</v>
      </c>
      <c r="F978">
        <v>0</v>
      </c>
      <c r="G978">
        <v>0</v>
      </c>
      <c r="H978">
        <v>100</v>
      </c>
      <c r="I978">
        <v>0</v>
      </c>
      <c r="J978">
        <v>0.5</v>
      </c>
      <c r="K978">
        <v>0</v>
      </c>
    </row>
    <row r="979" spans="1:11" x14ac:dyDescent="0.2">
      <c r="B979">
        <v>4490</v>
      </c>
      <c r="C979" t="s">
        <v>4634</v>
      </c>
      <c r="D979">
        <v>10</v>
      </c>
      <c r="E979">
        <v>12</v>
      </c>
      <c r="F979">
        <v>0</v>
      </c>
      <c r="G979">
        <v>0</v>
      </c>
      <c r="H979">
        <v>96</v>
      </c>
      <c r="I979">
        <v>0</v>
      </c>
      <c r="J979">
        <v>2.4900000000000002</v>
      </c>
      <c r="K979">
        <v>0</v>
      </c>
    </row>
    <row r="980" spans="1:11" x14ac:dyDescent="0.2">
      <c r="A980">
        <v>99972</v>
      </c>
      <c r="B980">
        <v>4494</v>
      </c>
      <c r="C980" t="s">
        <v>4635</v>
      </c>
      <c r="D980">
        <v>10</v>
      </c>
      <c r="E980">
        <v>6</v>
      </c>
      <c r="F980">
        <v>0</v>
      </c>
      <c r="G980">
        <v>0</v>
      </c>
      <c r="H980">
        <v>132</v>
      </c>
      <c r="I980">
        <v>0</v>
      </c>
      <c r="J980">
        <v>2.8</v>
      </c>
      <c r="K980">
        <v>0</v>
      </c>
    </row>
    <row r="981" spans="1:11" x14ac:dyDescent="0.2">
      <c r="A981">
        <v>73175</v>
      </c>
      <c r="B981">
        <v>4497</v>
      </c>
      <c r="C981" t="s">
        <v>4636</v>
      </c>
      <c r="D981">
        <v>8</v>
      </c>
      <c r="E981">
        <v>6</v>
      </c>
      <c r="F981">
        <v>1599</v>
      </c>
      <c r="G981">
        <v>9594</v>
      </c>
      <c r="H981">
        <v>60</v>
      </c>
      <c r="I981">
        <v>26.7</v>
      </c>
      <c r="J981">
        <v>2.69</v>
      </c>
      <c r="K981">
        <v>25807.86</v>
      </c>
    </row>
    <row r="982" spans="1:11" x14ac:dyDescent="0.2">
      <c r="A982">
        <v>73168</v>
      </c>
      <c r="B982">
        <v>4498</v>
      </c>
      <c r="C982" t="s">
        <v>4637</v>
      </c>
      <c r="D982">
        <v>8</v>
      </c>
      <c r="E982">
        <v>6</v>
      </c>
      <c r="F982">
        <v>761</v>
      </c>
      <c r="G982">
        <v>4566</v>
      </c>
      <c r="H982">
        <v>84</v>
      </c>
      <c r="I982">
        <v>9.1</v>
      </c>
      <c r="J982">
        <v>3.59</v>
      </c>
      <c r="K982">
        <v>16391.939999999999</v>
      </c>
    </row>
    <row r="983" spans="1:11" x14ac:dyDescent="0.2">
      <c r="A983">
        <v>99625</v>
      </c>
      <c r="B983">
        <v>4499</v>
      </c>
      <c r="C983" t="s">
        <v>4638</v>
      </c>
      <c r="D983">
        <v>10</v>
      </c>
      <c r="E983">
        <v>6</v>
      </c>
      <c r="F983">
        <v>0</v>
      </c>
      <c r="G983">
        <v>0</v>
      </c>
      <c r="H983">
        <v>132</v>
      </c>
      <c r="I983">
        <v>0</v>
      </c>
      <c r="J983">
        <v>2.8</v>
      </c>
      <c r="K983">
        <v>0</v>
      </c>
    </row>
    <row r="984" spans="1:11" x14ac:dyDescent="0.2">
      <c r="B984">
        <v>4501</v>
      </c>
      <c r="C984" t="s">
        <v>4639</v>
      </c>
      <c r="D984">
        <v>11</v>
      </c>
      <c r="E984">
        <v>6</v>
      </c>
      <c r="F984">
        <v>0</v>
      </c>
      <c r="G984">
        <v>0</v>
      </c>
      <c r="H984">
        <v>95</v>
      </c>
      <c r="I984">
        <v>0</v>
      </c>
      <c r="J984">
        <v>4.99</v>
      </c>
      <c r="K984">
        <v>0</v>
      </c>
    </row>
    <row r="985" spans="1:11" x14ac:dyDescent="0.2">
      <c r="A985">
        <v>83087</v>
      </c>
      <c r="B985">
        <v>4502</v>
      </c>
      <c r="C985" t="s">
        <v>4640</v>
      </c>
      <c r="D985">
        <v>8</v>
      </c>
      <c r="E985">
        <v>16</v>
      </c>
      <c r="F985">
        <v>395</v>
      </c>
      <c r="G985">
        <v>6320</v>
      </c>
      <c r="H985">
        <v>80</v>
      </c>
      <c r="I985">
        <v>4.9000000000000004</v>
      </c>
      <c r="J985">
        <v>1.35</v>
      </c>
      <c r="K985">
        <v>8532</v>
      </c>
    </row>
    <row r="986" spans="1:11" x14ac:dyDescent="0.2">
      <c r="A986">
        <v>91006</v>
      </c>
      <c r="B986">
        <v>4503</v>
      </c>
      <c r="C986" t="s">
        <v>4641</v>
      </c>
      <c r="D986">
        <v>8</v>
      </c>
      <c r="E986">
        <v>1</v>
      </c>
      <c r="F986">
        <v>418</v>
      </c>
      <c r="G986">
        <v>418</v>
      </c>
      <c r="H986">
        <v>200</v>
      </c>
      <c r="I986">
        <v>2.1</v>
      </c>
      <c r="J986">
        <v>3.49</v>
      </c>
      <c r="K986">
        <v>1458.82</v>
      </c>
    </row>
    <row r="987" spans="1:11" x14ac:dyDescent="0.2">
      <c r="A987">
        <v>62034</v>
      </c>
      <c r="B987">
        <v>4504</v>
      </c>
      <c r="C987" t="s">
        <v>4642</v>
      </c>
      <c r="D987">
        <v>8</v>
      </c>
      <c r="E987">
        <v>6</v>
      </c>
      <c r="F987">
        <v>349</v>
      </c>
      <c r="G987">
        <v>2094</v>
      </c>
      <c r="H987">
        <v>96</v>
      </c>
      <c r="I987">
        <v>3.6</v>
      </c>
      <c r="J987">
        <v>5.99</v>
      </c>
      <c r="K987">
        <v>12543.06</v>
      </c>
    </row>
    <row r="988" spans="1:11" x14ac:dyDescent="0.2">
      <c r="B988">
        <v>4506</v>
      </c>
      <c r="C988" t="s">
        <v>4643</v>
      </c>
      <c r="D988">
        <v>11</v>
      </c>
      <c r="E988">
        <v>24</v>
      </c>
      <c r="F988">
        <v>0</v>
      </c>
      <c r="G988">
        <v>0</v>
      </c>
      <c r="H988">
        <v>90</v>
      </c>
      <c r="I988">
        <v>0</v>
      </c>
      <c r="J988">
        <v>1.6</v>
      </c>
      <c r="K988">
        <v>0</v>
      </c>
    </row>
    <row r="989" spans="1:11" x14ac:dyDescent="0.2">
      <c r="A989">
        <v>0</v>
      </c>
      <c r="B989">
        <v>4516</v>
      </c>
      <c r="C989" t="s">
        <v>4644</v>
      </c>
      <c r="D989">
        <v>10</v>
      </c>
      <c r="E989">
        <v>5</v>
      </c>
      <c r="F989">
        <v>0</v>
      </c>
      <c r="G989">
        <v>0</v>
      </c>
      <c r="H989">
        <v>108</v>
      </c>
      <c r="I989">
        <v>0</v>
      </c>
      <c r="J989">
        <v>1.41</v>
      </c>
      <c r="K989">
        <v>0</v>
      </c>
    </row>
    <row r="990" spans="1:11" x14ac:dyDescent="0.2">
      <c r="A990">
        <v>46787</v>
      </c>
      <c r="B990">
        <v>4525</v>
      </c>
      <c r="C990" t="s">
        <v>4645</v>
      </c>
      <c r="D990">
        <v>10</v>
      </c>
      <c r="E990">
        <v>72</v>
      </c>
      <c r="F990">
        <v>0</v>
      </c>
      <c r="G990">
        <v>0</v>
      </c>
      <c r="H990">
        <v>4</v>
      </c>
      <c r="I990">
        <v>0</v>
      </c>
      <c r="J990">
        <v>5.93</v>
      </c>
      <c r="K990">
        <v>0</v>
      </c>
    </row>
    <row r="991" spans="1:11" x14ac:dyDescent="0.2">
      <c r="A991">
        <v>61256</v>
      </c>
      <c r="B991">
        <v>4602</v>
      </c>
      <c r="C991" t="s">
        <v>4646</v>
      </c>
      <c r="D991">
        <v>8</v>
      </c>
      <c r="E991">
        <v>6</v>
      </c>
      <c r="F991">
        <v>2572</v>
      </c>
      <c r="G991">
        <v>15432</v>
      </c>
      <c r="H991">
        <v>95</v>
      </c>
      <c r="I991">
        <v>27.1</v>
      </c>
      <c r="J991">
        <v>14.29</v>
      </c>
      <c r="K991">
        <v>220523.28</v>
      </c>
    </row>
    <row r="992" spans="1:11" x14ac:dyDescent="0.2">
      <c r="A992">
        <v>62005</v>
      </c>
      <c r="B992">
        <v>4603</v>
      </c>
      <c r="C992" t="s">
        <v>4647</v>
      </c>
      <c r="D992">
        <v>8</v>
      </c>
      <c r="E992">
        <v>6</v>
      </c>
      <c r="F992">
        <v>816</v>
      </c>
      <c r="G992">
        <v>4896</v>
      </c>
      <c r="H992">
        <v>100</v>
      </c>
      <c r="I992">
        <v>8.1999999999999993</v>
      </c>
      <c r="J992">
        <v>8.99</v>
      </c>
      <c r="K992">
        <v>44015.040000000001</v>
      </c>
    </row>
    <row r="993" spans="1:11" x14ac:dyDescent="0.2">
      <c r="A993">
        <v>62050</v>
      </c>
      <c r="B993">
        <v>4604</v>
      </c>
      <c r="C993" t="s">
        <v>4648</v>
      </c>
      <c r="D993">
        <v>9</v>
      </c>
      <c r="E993">
        <v>6</v>
      </c>
      <c r="F993">
        <v>490</v>
      </c>
      <c r="G993">
        <v>2940</v>
      </c>
      <c r="H993">
        <v>95</v>
      </c>
      <c r="I993">
        <v>5.2</v>
      </c>
      <c r="J993">
        <v>18.989999999999998</v>
      </c>
      <c r="K993">
        <v>55830.6</v>
      </c>
    </row>
    <row r="994" spans="1:11" x14ac:dyDescent="0.2">
      <c r="A994">
        <v>62001</v>
      </c>
      <c r="B994">
        <v>4605</v>
      </c>
      <c r="C994" t="s">
        <v>4649</v>
      </c>
      <c r="D994">
        <v>8</v>
      </c>
      <c r="E994">
        <v>6</v>
      </c>
      <c r="F994">
        <v>1036</v>
      </c>
      <c r="G994">
        <v>6216</v>
      </c>
      <c r="H994">
        <v>100</v>
      </c>
      <c r="I994">
        <v>10.4</v>
      </c>
      <c r="J994">
        <v>9.99</v>
      </c>
      <c r="K994">
        <v>62097.84</v>
      </c>
    </row>
    <row r="995" spans="1:11" x14ac:dyDescent="0.2">
      <c r="A995">
        <v>62036</v>
      </c>
      <c r="B995">
        <v>4606</v>
      </c>
      <c r="C995" t="s">
        <v>4650</v>
      </c>
      <c r="D995">
        <v>8</v>
      </c>
      <c r="E995">
        <v>6</v>
      </c>
      <c r="F995">
        <v>514</v>
      </c>
      <c r="G995">
        <v>3084</v>
      </c>
      <c r="H995">
        <v>135</v>
      </c>
      <c r="I995">
        <v>3.8</v>
      </c>
      <c r="J995">
        <v>8.3000000000000007</v>
      </c>
      <c r="K995">
        <v>25597.200000000001</v>
      </c>
    </row>
    <row r="996" spans="1:11" x14ac:dyDescent="0.2">
      <c r="A996">
        <v>61274</v>
      </c>
      <c r="B996">
        <v>4613</v>
      </c>
      <c r="C996" t="s">
        <v>4651</v>
      </c>
      <c r="D996">
        <v>8</v>
      </c>
      <c r="E996">
        <v>12</v>
      </c>
      <c r="F996">
        <v>606</v>
      </c>
      <c r="G996">
        <v>7272</v>
      </c>
      <c r="H996">
        <v>60</v>
      </c>
      <c r="I996">
        <v>10.1</v>
      </c>
      <c r="J996">
        <v>9.99</v>
      </c>
      <c r="K996">
        <v>72647.28</v>
      </c>
    </row>
    <row r="997" spans="1:11" x14ac:dyDescent="0.2">
      <c r="A997">
        <v>48658</v>
      </c>
      <c r="B997">
        <v>4614</v>
      </c>
      <c r="C997" t="s">
        <v>4652</v>
      </c>
      <c r="D997">
        <v>10</v>
      </c>
      <c r="E997">
        <v>6</v>
      </c>
      <c r="F997">
        <v>16</v>
      </c>
      <c r="G997">
        <v>96</v>
      </c>
      <c r="H997">
        <v>24</v>
      </c>
      <c r="I997">
        <v>0.7</v>
      </c>
      <c r="J997">
        <v>2.65</v>
      </c>
      <c r="K997">
        <v>254.4</v>
      </c>
    </row>
    <row r="998" spans="1:11" x14ac:dyDescent="0.2">
      <c r="A998">
        <v>61269</v>
      </c>
      <c r="B998">
        <v>4620</v>
      </c>
      <c r="C998" t="s">
        <v>4653</v>
      </c>
      <c r="D998">
        <v>8</v>
      </c>
      <c r="E998">
        <v>6</v>
      </c>
      <c r="F998">
        <v>1045</v>
      </c>
      <c r="G998">
        <v>6270</v>
      </c>
      <c r="H998">
        <v>95</v>
      </c>
      <c r="I998">
        <v>11</v>
      </c>
      <c r="J998">
        <v>12.99</v>
      </c>
      <c r="K998">
        <v>81447.3</v>
      </c>
    </row>
    <row r="999" spans="1:11" x14ac:dyDescent="0.2">
      <c r="A999">
        <v>62028</v>
      </c>
      <c r="B999">
        <v>4621</v>
      </c>
      <c r="C999" t="s">
        <v>4654</v>
      </c>
      <c r="D999">
        <v>8</v>
      </c>
      <c r="E999">
        <v>6</v>
      </c>
      <c r="F999">
        <v>1121</v>
      </c>
      <c r="G999">
        <v>6726</v>
      </c>
      <c r="H999">
        <v>115</v>
      </c>
      <c r="I999">
        <v>9.6999999999999993</v>
      </c>
      <c r="J999">
        <v>10.95</v>
      </c>
      <c r="K999">
        <v>73649.7</v>
      </c>
    </row>
    <row r="1000" spans="1:11" x14ac:dyDescent="0.2">
      <c r="A1000">
        <v>70149</v>
      </c>
      <c r="B1000">
        <v>4625</v>
      </c>
      <c r="C1000" t="s">
        <v>4655</v>
      </c>
      <c r="D1000">
        <v>9</v>
      </c>
      <c r="E1000">
        <v>24</v>
      </c>
      <c r="F1000">
        <v>113</v>
      </c>
      <c r="G1000">
        <v>2712</v>
      </c>
      <c r="H1000">
        <v>36</v>
      </c>
      <c r="I1000">
        <v>3.1</v>
      </c>
      <c r="J1000">
        <v>1.8</v>
      </c>
      <c r="K1000">
        <v>4881.6000000000004</v>
      </c>
    </row>
    <row r="1001" spans="1:11" x14ac:dyDescent="0.2">
      <c r="A1001">
        <v>70120</v>
      </c>
      <c r="B1001">
        <v>4638</v>
      </c>
      <c r="C1001" t="s">
        <v>4656</v>
      </c>
      <c r="D1001">
        <v>8</v>
      </c>
      <c r="E1001">
        <v>24</v>
      </c>
      <c r="F1001">
        <v>209</v>
      </c>
      <c r="G1001">
        <v>5016</v>
      </c>
      <c r="H1001">
        <v>70</v>
      </c>
      <c r="I1001">
        <v>3</v>
      </c>
      <c r="J1001">
        <v>2.0499999999999998</v>
      </c>
      <c r="K1001">
        <v>10282.799999999999</v>
      </c>
    </row>
    <row r="1002" spans="1:11" x14ac:dyDescent="0.2">
      <c r="A1002">
        <v>70091</v>
      </c>
      <c r="B1002">
        <v>4642</v>
      </c>
      <c r="C1002" t="s">
        <v>4657</v>
      </c>
      <c r="D1002">
        <v>8</v>
      </c>
      <c r="E1002">
        <v>16</v>
      </c>
      <c r="F1002">
        <v>148</v>
      </c>
      <c r="G1002">
        <v>2368</v>
      </c>
      <c r="H1002">
        <v>70</v>
      </c>
      <c r="I1002">
        <v>2.1</v>
      </c>
      <c r="J1002">
        <v>1.75</v>
      </c>
      <c r="K1002">
        <v>4144</v>
      </c>
    </row>
    <row r="1003" spans="1:11" x14ac:dyDescent="0.2">
      <c r="A1003">
        <v>99299</v>
      </c>
      <c r="B1003">
        <v>4647</v>
      </c>
      <c r="C1003" t="s">
        <v>4658</v>
      </c>
      <c r="D1003">
        <v>10</v>
      </c>
      <c r="E1003">
        <v>6</v>
      </c>
      <c r="F1003">
        <v>0</v>
      </c>
      <c r="G1003">
        <v>0</v>
      </c>
      <c r="H1003">
        <v>120</v>
      </c>
      <c r="I1003">
        <v>0</v>
      </c>
      <c r="J1003">
        <v>3.69</v>
      </c>
      <c r="K1003">
        <v>0</v>
      </c>
    </row>
    <row r="1004" spans="1:11" x14ac:dyDescent="0.2">
      <c r="A1004">
        <v>99951</v>
      </c>
      <c r="B1004">
        <v>4677</v>
      </c>
      <c r="C1004" t="s">
        <v>4659</v>
      </c>
      <c r="D1004">
        <v>10</v>
      </c>
      <c r="E1004">
        <v>12</v>
      </c>
      <c r="F1004">
        <v>0</v>
      </c>
      <c r="G1004">
        <v>0</v>
      </c>
      <c r="H1004">
        <v>104</v>
      </c>
      <c r="I1004">
        <v>0</v>
      </c>
      <c r="J1004">
        <v>2.9</v>
      </c>
      <c r="K1004">
        <v>0</v>
      </c>
    </row>
    <row r="1005" spans="1:11" x14ac:dyDescent="0.2">
      <c r="A1005">
        <v>47502</v>
      </c>
      <c r="B1005">
        <v>4691</v>
      </c>
      <c r="C1005" t="s">
        <v>4660</v>
      </c>
      <c r="D1005">
        <v>10</v>
      </c>
      <c r="E1005">
        <v>8</v>
      </c>
      <c r="F1005">
        <v>0</v>
      </c>
      <c r="G1005">
        <v>0</v>
      </c>
      <c r="H1005">
        <v>84</v>
      </c>
      <c r="I1005">
        <v>0</v>
      </c>
      <c r="J1005">
        <v>2.29</v>
      </c>
      <c r="K1005">
        <v>0</v>
      </c>
    </row>
    <row r="1006" spans="1:11" x14ac:dyDescent="0.2">
      <c r="A1006">
        <v>91102</v>
      </c>
      <c r="B1006">
        <v>4699</v>
      </c>
      <c r="C1006" t="s">
        <v>4661</v>
      </c>
      <c r="D1006">
        <v>8</v>
      </c>
      <c r="E1006">
        <v>1</v>
      </c>
      <c r="F1006">
        <v>348</v>
      </c>
      <c r="G1006">
        <v>348</v>
      </c>
      <c r="H1006">
        <v>32</v>
      </c>
      <c r="I1006">
        <v>10.9</v>
      </c>
      <c r="J1006">
        <v>5.99</v>
      </c>
      <c r="K1006">
        <v>2084.52</v>
      </c>
    </row>
    <row r="1007" spans="1:11" x14ac:dyDescent="0.2">
      <c r="A1007">
        <v>66017</v>
      </c>
      <c r="B1007">
        <v>4706</v>
      </c>
      <c r="C1007" t="s">
        <v>4662</v>
      </c>
      <c r="D1007">
        <v>8</v>
      </c>
      <c r="E1007">
        <v>9</v>
      </c>
      <c r="F1007">
        <v>233</v>
      </c>
      <c r="G1007">
        <v>2097</v>
      </c>
      <c r="H1007">
        <v>126</v>
      </c>
      <c r="I1007">
        <v>1.8</v>
      </c>
      <c r="J1007">
        <v>1.85</v>
      </c>
      <c r="K1007">
        <v>3879.45</v>
      </c>
    </row>
    <row r="1008" spans="1:11" x14ac:dyDescent="0.2">
      <c r="A1008">
        <v>71001</v>
      </c>
      <c r="B1008">
        <v>4709</v>
      </c>
      <c r="C1008" t="s">
        <v>4663</v>
      </c>
      <c r="D1008">
        <v>8</v>
      </c>
      <c r="E1008">
        <v>24</v>
      </c>
      <c r="F1008">
        <v>59</v>
      </c>
      <c r="G1008">
        <v>1416</v>
      </c>
      <c r="H1008">
        <v>126</v>
      </c>
      <c r="I1008">
        <v>0.5</v>
      </c>
      <c r="J1008">
        <v>1.49</v>
      </c>
      <c r="K1008">
        <v>2109.84</v>
      </c>
    </row>
    <row r="1009" spans="1:11" x14ac:dyDescent="0.2">
      <c r="A1009">
        <v>57003</v>
      </c>
      <c r="B1009">
        <v>4712</v>
      </c>
      <c r="C1009" t="s">
        <v>4664</v>
      </c>
      <c r="D1009">
        <v>11</v>
      </c>
      <c r="E1009">
        <v>6</v>
      </c>
      <c r="F1009">
        <v>0</v>
      </c>
      <c r="G1009">
        <v>0</v>
      </c>
      <c r="H1009">
        <v>64</v>
      </c>
      <c r="I1009">
        <v>0</v>
      </c>
      <c r="J1009">
        <v>0.89</v>
      </c>
      <c r="K1009">
        <v>0</v>
      </c>
    </row>
    <row r="1010" spans="1:11" x14ac:dyDescent="0.2">
      <c r="A1010">
        <v>57466</v>
      </c>
      <c r="B1010">
        <v>4719</v>
      </c>
      <c r="C1010" t="s">
        <v>4665</v>
      </c>
      <c r="D1010">
        <v>10</v>
      </c>
      <c r="E1010">
        <v>12</v>
      </c>
      <c r="F1010">
        <v>6</v>
      </c>
      <c r="G1010">
        <v>75</v>
      </c>
      <c r="H1010">
        <v>200</v>
      </c>
      <c r="I1010">
        <v>0</v>
      </c>
      <c r="J1010">
        <v>4.3</v>
      </c>
      <c r="K1010">
        <v>322.5</v>
      </c>
    </row>
    <row r="1011" spans="1:11" x14ac:dyDescent="0.2">
      <c r="A1011">
        <v>57600</v>
      </c>
      <c r="B1011">
        <v>4723</v>
      </c>
      <c r="C1011" t="s">
        <v>4666</v>
      </c>
      <c r="D1011">
        <v>10</v>
      </c>
      <c r="E1011">
        <v>12</v>
      </c>
      <c r="F1011">
        <v>3</v>
      </c>
      <c r="G1011">
        <v>36</v>
      </c>
      <c r="H1011">
        <v>200</v>
      </c>
      <c r="I1011">
        <v>0</v>
      </c>
      <c r="J1011">
        <v>4.3</v>
      </c>
      <c r="K1011">
        <v>154.80000000000001</v>
      </c>
    </row>
    <row r="1012" spans="1:11" x14ac:dyDescent="0.2">
      <c r="A1012">
        <v>57601</v>
      </c>
      <c r="B1012">
        <v>4728</v>
      </c>
      <c r="C1012" t="s">
        <v>4667</v>
      </c>
      <c r="D1012">
        <v>10</v>
      </c>
      <c r="E1012">
        <v>72</v>
      </c>
      <c r="F1012">
        <v>0</v>
      </c>
      <c r="G1012">
        <v>7</v>
      </c>
      <c r="H1012">
        <v>2</v>
      </c>
      <c r="I1012">
        <v>0</v>
      </c>
      <c r="J1012">
        <v>8.99</v>
      </c>
      <c r="K1012">
        <v>62.93</v>
      </c>
    </row>
    <row r="1013" spans="1:11" x14ac:dyDescent="0.2">
      <c r="A1013">
        <v>85105</v>
      </c>
      <c r="B1013">
        <v>4729</v>
      </c>
      <c r="C1013" t="s">
        <v>4668</v>
      </c>
      <c r="D1013">
        <v>10</v>
      </c>
      <c r="E1013">
        <v>8</v>
      </c>
      <c r="F1013">
        <v>2</v>
      </c>
      <c r="G1013">
        <v>16</v>
      </c>
      <c r="H1013">
        <v>96</v>
      </c>
      <c r="I1013">
        <v>0</v>
      </c>
      <c r="J1013">
        <v>1</v>
      </c>
      <c r="K1013">
        <v>16</v>
      </c>
    </row>
    <row r="1014" spans="1:11" x14ac:dyDescent="0.2">
      <c r="A1014">
        <v>85100</v>
      </c>
      <c r="B1014">
        <v>4731</v>
      </c>
      <c r="C1014" t="s">
        <v>4669</v>
      </c>
      <c r="D1014">
        <v>10</v>
      </c>
      <c r="E1014">
        <v>8</v>
      </c>
      <c r="F1014">
        <v>7</v>
      </c>
      <c r="G1014">
        <v>56</v>
      </c>
      <c r="H1014">
        <v>96</v>
      </c>
      <c r="I1014">
        <v>0.1</v>
      </c>
      <c r="J1014">
        <v>1</v>
      </c>
      <c r="K1014">
        <v>56</v>
      </c>
    </row>
    <row r="1015" spans="1:11" x14ac:dyDescent="0.2">
      <c r="A1015">
        <v>51500</v>
      </c>
      <c r="B1015">
        <v>4734</v>
      </c>
      <c r="C1015" t="s">
        <v>4670</v>
      </c>
      <c r="D1015">
        <v>10</v>
      </c>
      <c r="E1015">
        <v>8</v>
      </c>
      <c r="F1015">
        <v>3</v>
      </c>
      <c r="G1015">
        <v>24</v>
      </c>
      <c r="H1015">
        <v>216</v>
      </c>
      <c r="I1015">
        <v>0</v>
      </c>
      <c r="J1015">
        <v>1.0900000000000001</v>
      </c>
      <c r="K1015">
        <v>26.16</v>
      </c>
    </row>
    <row r="1016" spans="1:11" x14ac:dyDescent="0.2">
      <c r="A1016">
        <v>82170</v>
      </c>
      <c r="B1016">
        <v>4738</v>
      </c>
      <c r="C1016" t="s">
        <v>4671</v>
      </c>
      <c r="D1016">
        <v>8</v>
      </c>
      <c r="E1016">
        <v>4</v>
      </c>
      <c r="F1016">
        <v>414</v>
      </c>
      <c r="G1016">
        <v>1656</v>
      </c>
      <c r="H1016">
        <v>198</v>
      </c>
      <c r="I1016">
        <v>2.1</v>
      </c>
      <c r="J1016">
        <v>2.4900000000000002</v>
      </c>
      <c r="K1016">
        <v>4123.4399999999996</v>
      </c>
    </row>
    <row r="1017" spans="1:11" x14ac:dyDescent="0.2">
      <c r="A1017">
        <v>51501</v>
      </c>
      <c r="B1017">
        <v>4740</v>
      </c>
      <c r="C1017" t="s">
        <v>4672</v>
      </c>
      <c r="D1017">
        <v>10</v>
      </c>
      <c r="E1017">
        <v>8</v>
      </c>
      <c r="F1017">
        <v>3</v>
      </c>
      <c r="G1017">
        <v>24</v>
      </c>
      <c r="H1017">
        <v>216</v>
      </c>
      <c r="I1017">
        <v>0</v>
      </c>
      <c r="J1017">
        <v>1.0900000000000001</v>
      </c>
      <c r="K1017">
        <v>26.16</v>
      </c>
    </row>
    <row r="1018" spans="1:11" x14ac:dyDescent="0.2">
      <c r="A1018">
        <v>35686</v>
      </c>
      <c r="B1018">
        <v>4741</v>
      </c>
      <c r="C1018" t="s">
        <v>4673</v>
      </c>
      <c r="D1018">
        <v>10</v>
      </c>
      <c r="E1018">
        <v>110</v>
      </c>
      <c r="F1018">
        <v>1</v>
      </c>
      <c r="G1018">
        <v>110</v>
      </c>
      <c r="H1018">
        <v>3</v>
      </c>
      <c r="I1018">
        <v>0.3</v>
      </c>
      <c r="J1018">
        <v>1.49</v>
      </c>
      <c r="K1018">
        <v>163.9</v>
      </c>
    </row>
    <row r="1019" spans="1:11" x14ac:dyDescent="0.2">
      <c r="A1019">
        <v>1525</v>
      </c>
      <c r="B1019">
        <v>4748</v>
      </c>
      <c r="C1019" t="s">
        <v>4674</v>
      </c>
      <c r="D1019">
        <v>6</v>
      </c>
      <c r="E1019">
        <v>6</v>
      </c>
      <c r="F1019">
        <v>0</v>
      </c>
      <c r="G1019">
        <v>0</v>
      </c>
      <c r="H1019">
        <v>90</v>
      </c>
      <c r="I1019">
        <v>0</v>
      </c>
      <c r="J1019">
        <v>3.99</v>
      </c>
      <c r="K1019">
        <v>0</v>
      </c>
    </row>
    <row r="1020" spans="1:11" x14ac:dyDescent="0.2">
      <c r="B1020">
        <v>4750</v>
      </c>
      <c r="C1020" t="s">
        <v>4675</v>
      </c>
      <c r="D1020">
        <v>10</v>
      </c>
      <c r="E1020">
        <v>10</v>
      </c>
      <c r="F1020">
        <v>0</v>
      </c>
      <c r="G1020">
        <v>-1</v>
      </c>
      <c r="H1020">
        <v>56</v>
      </c>
      <c r="I1020">
        <v>0</v>
      </c>
      <c r="J1020">
        <v>3.39</v>
      </c>
      <c r="K1020">
        <v>-3.39</v>
      </c>
    </row>
    <row r="1021" spans="1:11" x14ac:dyDescent="0.2">
      <c r="A1021">
        <v>43653</v>
      </c>
      <c r="B1021">
        <v>4752</v>
      </c>
      <c r="C1021" t="s">
        <v>4676</v>
      </c>
      <c r="D1021">
        <v>10</v>
      </c>
      <c r="E1021">
        <v>15</v>
      </c>
      <c r="F1021">
        <v>0</v>
      </c>
      <c r="G1021">
        <v>0</v>
      </c>
      <c r="H1021">
        <v>64</v>
      </c>
      <c r="I1021">
        <v>0</v>
      </c>
      <c r="J1021">
        <v>2.89</v>
      </c>
      <c r="K1021">
        <v>0</v>
      </c>
    </row>
    <row r="1022" spans="1:11" x14ac:dyDescent="0.2">
      <c r="A1022">
        <v>57540</v>
      </c>
      <c r="B1022">
        <v>4753</v>
      </c>
      <c r="C1022" t="s">
        <v>4677</v>
      </c>
      <c r="D1022">
        <v>10</v>
      </c>
      <c r="E1022">
        <v>12</v>
      </c>
      <c r="F1022">
        <v>2</v>
      </c>
      <c r="G1022">
        <v>19</v>
      </c>
      <c r="H1022">
        <v>50</v>
      </c>
      <c r="I1022">
        <v>0</v>
      </c>
      <c r="J1022">
        <v>2.09</v>
      </c>
      <c r="K1022">
        <v>39.71</v>
      </c>
    </row>
    <row r="1023" spans="1:11" x14ac:dyDescent="0.2">
      <c r="A1023">
        <v>57518</v>
      </c>
      <c r="B1023">
        <v>4757</v>
      </c>
      <c r="C1023" t="s">
        <v>4678</v>
      </c>
      <c r="D1023">
        <v>10</v>
      </c>
      <c r="E1023">
        <v>1</v>
      </c>
      <c r="F1023">
        <v>41</v>
      </c>
      <c r="G1023">
        <v>41</v>
      </c>
      <c r="H1023">
        <v>140</v>
      </c>
      <c r="I1023">
        <v>0.3</v>
      </c>
      <c r="J1023">
        <v>4.99</v>
      </c>
      <c r="K1023">
        <v>204.59</v>
      </c>
    </row>
    <row r="1024" spans="1:11" x14ac:dyDescent="0.2">
      <c r="A1024">
        <v>57659</v>
      </c>
      <c r="B1024">
        <v>4767</v>
      </c>
      <c r="C1024" t="s">
        <v>4679</v>
      </c>
      <c r="D1024">
        <v>10</v>
      </c>
      <c r="E1024">
        <v>40</v>
      </c>
      <c r="F1024">
        <v>4</v>
      </c>
      <c r="G1024">
        <v>141</v>
      </c>
      <c r="H1024">
        <v>56</v>
      </c>
      <c r="I1024">
        <v>0.1</v>
      </c>
      <c r="J1024">
        <v>1.49</v>
      </c>
      <c r="K1024">
        <v>210.09</v>
      </c>
    </row>
    <row r="1025" spans="1:11" x14ac:dyDescent="0.2">
      <c r="A1025">
        <v>39651</v>
      </c>
      <c r="B1025">
        <v>4768</v>
      </c>
      <c r="C1025" t="s">
        <v>4680</v>
      </c>
      <c r="D1025">
        <v>10</v>
      </c>
      <c r="E1025">
        <v>90</v>
      </c>
      <c r="F1025">
        <v>0</v>
      </c>
      <c r="G1025">
        <v>0</v>
      </c>
      <c r="H1025">
        <v>4</v>
      </c>
      <c r="I1025">
        <v>0</v>
      </c>
      <c r="J1025">
        <v>3</v>
      </c>
      <c r="K1025">
        <v>0</v>
      </c>
    </row>
    <row r="1026" spans="1:11" x14ac:dyDescent="0.2">
      <c r="A1026">
        <v>67197</v>
      </c>
      <c r="B1026">
        <v>4772</v>
      </c>
      <c r="C1026" t="s">
        <v>4681</v>
      </c>
      <c r="D1026">
        <v>8</v>
      </c>
      <c r="E1026">
        <v>3</v>
      </c>
      <c r="F1026">
        <v>1620</v>
      </c>
      <c r="G1026">
        <v>4860</v>
      </c>
      <c r="H1026">
        <v>128</v>
      </c>
      <c r="I1026">
        <v>12.7</v>
      </c>
      <c r="J1026">
        <v>11.69</v>
      </c>
      <c r="K1026">
        <v>56813.4</v>
      </c>
    </row>
    <row r="1027" spans="1:11" x14ac:dyDescent="0.2">
      <c r="A1027">
        <v>43502</v>
      </c>
      <c r="B1027">
        <v>4781</v>
      </c>
      <c r="C1027" t="s">
        <v>4682</v>
      </c>
      <c r="D1027">
        <v>10</v>
      </c>
      <c r="E1027">
        <v>3</v>
      </c>
      <c r="F1027">
        <v>3</v>
      </c>
      <c r="G1027">
        <v>9</v>
      </c>
      <c r="H1027">
        <v>60</v>
      </c>
      <c r="I1027">
        <v>0.1</v>
      </c>
      <c r="J1027">
        <v>3.45</v>
      </c>
      <c r="K1027">
        <v>31.05</v>
      </c>
    </row>
    <row r="1028" spans="1:11" x14ac:dyDescent="0.2">
      <c r="A1028">
        <v>57541</v>
      </c>
      <c r="B1028">
        <v>4782</v>
      </c>
      <c r="C1028" t="s">
        <v>4683</v>
      </c>
      <c r="D1028">
        <v>10</v>
      </c>
      <c r="E1028">
        <v>6</v>
      </c>
      <c r="F1028">
        <v>10</v>
      </c>
      <c r="G1028">
        <v>60</v>
      </c>
      <c r="H1028">
        <v>54</v>
      </c>
      <c r="I1028">
        <v>0.2</v>
      </c>
      <c r="J1028">
        <v>2.29</v>
      </c>
      <c r="K1028">
        <v>137.4</v>
      </c>
    </row>
    <row r="1029" spans="1:11" x14ac:dyDescent="0.2">
      <c r="A1029">
        <v>57660</v>
      </c>
      <c r="B1029">
        <v>4791</v>
      </c>
      <c r="C1029" t="s">
        <v>4684</v>
      </c>
      <c r="D1029">
        <v>10</v>
      </c>
      <c r="E1029">
        <v>18</v>
      </c>
      <c r="F1029">
        <v>2</v>
      </c>
      <c r="G1029">
        <v>44</v>
      </c>
      <c r="H1029">
        <v>28</v>
      </c>
      <c r="I1029">
        <v>0.1</v>
      </c>
      <c r="J1029">
        <v>2.79</v>
      </c>
      <c r="K1029">
        <v>122.76</v>
      </c>
    </row>
    <row r="1030" spans="1:11" x14ac:dyDescent="0.2">
      <c r="B1030">
        <v>4798</v>
      </c>
      <c r="C1030" t="s">
        <v>4685</v>
      </c>
      <c r="D1030">
        <v>11</v>
      </c>
      <c r="E1030">
        <v>1</v>
      </c>
      <c r="F1030">
        <v>-19</v>
      </c>
      <c r="G1030">
        <v>-19</v>
      </c>
      <c r="H1030">
        <v>96</v>
      </c>
      <c r="I1030">
        <v>-0.2</v>
      </c>
      <c r="J1030">
        <v>6.99</v>
      </c>
      <c r="K1030">
        <v>-132.81</v>
      </c>
    </row>
    <row r="1031" spans="1:11" x14ac:dyDescent="0.2">
      <c r="A1031">
        <v>57231</v>
      </c>
      <c r="B1031">
        <v>4800</v>
      </c>
      <c r="C1031" t="s">
        <v>4686</v>
      </c>
      <c r="D1031">
        <v>10</v>
      </c>
      <c r="E1031">
        <v>1</v>
      </c>
      <c r="F1031">
        <v>0</v>
      </c>
      <c r="G1031">
        <v>0</v>
      </c>
      <c r="H1031">
        <v>140</v>
      </c>
      <c r="I1031">
        <v>0</v>
      </c>
      <c r="J1031">
        <v>4.2</v>
      </c>
      <c r="K1031">
        <v>0</v>
      </c>
    </row>
    <row r="1032" spans="1:11" x14ac:dyDescent="0.2">
      <c r="A1032">
        <v>57194</v>
      </c>
      <c r="B1032">
        <v>4816</v>
      </c>
      <c r="C1032" t="s">
        <v>4687</v>
      </c>
      <c r="D1032">
        <v>10</v>
      </c>
      <c r="E1032">
        <v>6</v>
      </c>
      <c r="F1032">
        <v>0</v>
      </c>
      <c r="G1032">
        <v>0</v>
      </c>
      <c r="H1032">
        <v>108</v>
      </c>
      <c r="I1032">
        <v>0</v>
      </c>
      <c r="J1032">
        <v>1.99</v>
      </c>
      <c r="K1032">
        <v>0</v>
      </c>
    </row>
    <row r="1033" spans="1:11" x14ac:dyDescent="0.2">
      <c r="A1033">
        <v>57004</v>
      </c>
      <c r="B1033">
        <v>4825</v>
      </c>
      <c r="C1033" t="s">
        <v>4688</v>
      </c>
      <c r="D1033">
        <v>11</v>
      </c>
      <c r="E1033">
        <v>36</v>
      </c>
      <c r="F1033">
        <v>0</v>
      </c>
      <c r="G1033">
        <v>0</v>
      </c>
      <c r="H1033">
        <v>98</v>
      </c>
      <c r="I1033">
        <v>0</v>
      </c>
      <c r="J1033">
        <v>1.5</v>
      </c>
      <c r="K1033">
        <v>0</v>
      </c>
    </row>
    <row r="1034" spans="1:11" x14ac:dyDescent="0.2">
      <c r="A1034">
        <v>57005</v>
      </c>
      <c r="B1034">
        <v>4827</v>
      </c>
      <c r="C1034" t="s">
        <v>4689</v>
      </c>
      <c r="D1034">
        <v>11</v>
      </c>
      <c r="E1034">
        <v>1</v>
      </c>
      <c r="F1034">
        <v>0</v>
      </c>
      <c r="G1034">
        <v>0</v>
      </c>
      <c r="H1034">
        <v>48</v>
      </c>
      <c r="I1034">
        <v>0</v>
      </c>
      <c r="J1034">
        <v>5.99</v>
      </c>
      <c r="K1034">
        <v>0</v>
      </c>
    </row>
    <row r="1035" spans="1:11" x14ac:dyDescent="0.2">
      <c r="A1035">
        <v>38603</v>
      </c>
      <c r="B1035">
        <v>4864</v>
      </c>
      <c r="C1035" t="s">
        <v>4690</v>
      </c>
      <c r="D1035">
        <v>10</v>
      </c>
      <c r="E1035">
        <v>6</v>
      </c>
      <c r="F1035">
        <v>1</v>
      </c>
      <c r="G1035">
        <v>4</v>
      </c>
      <c r="H1035">
        <v>105</v>
      </c>
      <c r="I1035">
        <v>0</v>
      </c>
      <c r="J1035">
        <v>2</v>
      </c>
      <c r="K1035">
        <v>8</v>
      </c>
    </row>
    <row r="1036" spans="1:11" x14ac:dyDescent="0.2">
      <c r="B1036">
        <v>4865</v>
      </c>
      <c r="C1036" t="s">
        <v>4691</v>
      </c>
      <c r="D1036">
        <v>11</v>
      </c>
      <c r="E1036">
        <v>6</v>
      </c>
      <c r="F1036">
        <v>0</v>
      </c>
      <c r="G1036">
        <v>0</v>
      </c>
      <c r="H1036">
        <v>105</v>
      </c>
      <c r="I1036">
        <v>0</v>
      </c>
      <c r="J1036">
        <v>1.89</v>
      </c>
      <c r="K1036">
        <v>0</v>
      </c>
    </row>
    <row r="1037" spans="1:11" x14ac:dyDescent="0.2">
      <c r="A1037">
        <v>91057</v>
      </c>
      <c r="B1037">
        <v>4870</v>
      </c>
      <c r="C1037" t="s">
        <v>4692</v>
      </c>
      <c r="D1037">
        <v>8</v>
      </c>
      <c r="E1037">
        <v>1</v>
      </c>
      <c r="F1037">
        <v>883</v>
      </c>
      <c r="G1037">
        <v>883</v>
      </c>
      <c r="H1037">
        <v>96</v>
      </c>
      <c r="I1037">
        <v>9.1999999999999993</v>
      </c>
      <c r="J1037">
        <v>2.4900000000000002</v>
      </c>
      <c r="K1037">
        <v>2198.67</v>
      </c>
    </row>
    <row r="1038" spans="1:11" x14ac:dyDescent="0.2">
      <c r="A1038">
        <v>57641</v>
      </c>
      <c r="B1038">
        <v>4876</v>
      </c>
      <c r="C1038" t="s">
        <v>4693</v>
      </c>
      <c r="D1038">
        <v>10</v>
      </c>
      <c r="E1038">
        <v>12</v>
      </c>
      <c r="F1038">
        <v>0</v>
      </c>
      <c r="G1038">
        <v>0</v>
      </c>
      <c r="H1038">
        <v>144</v>
      </c>
      <c r="I1038">
        <v>0</v>
      </c>
      <c r="J1038">
        <v>0.79</v>
      </c>
      <c r="K1038">
        <v>0</v>
      </c>
    </row>
    <row r="1039" spans="1:11" x14ac:dyDescent="0.2">
      <c r="A1039">
        <v>57306</v>
      </c>
      <c r="B1039">
        <v>4877</v>
      </c>
      <c r="C1039" t="s">
        <v>4694</v>
      </c>
      <c r="D1039">
        <v>10</v>
      </c>
      <c r="E1039">
        <v>12</v>
      </c>
      <c r="F1039">
        <v>0</v>
      </c>
      <c r="G1039">
        <v>0</v>
      </c>
      <c r="H1039">
        <v>153</v>
      </c>
      <c r="I1039">
        <v>0</v>
      </c>
      <c r="J1039">
        <v>1.55</v>
      </c>
      <c r="K1039">
        <v>0</v>
      </c>
    </row>
    <row r="1040" spans="1:11" x14ac:dyDescent="0.2">
      <c r="A1040">
        <v>48622</v>
      </c>
      <c r="B1040">
        <v>4897</v>
      </c>
      <c r="C1040" t="s">
        <v>4695</v>
      </c>
      <c r="D1040">
        <v>10</v>
      </c>
      <c r="E1040">
        <v>6</v>
      </c>
      <c r="F1040">
        <v>0</v>
      </c>
      <c r="G1040">
        <v>0</v>
      </c>
      <c r="H1040">
        <v>105</v>
      </c>
      <c r="I1040">
        <v>0</v>
      </c>
      <c r="J1040">
        <v>3.99</v>
      </c>
      <c r="K1040">
        <v>0</v>
      </c>
    </row>
    <row r="1041" spans="1:12" x14ac:dyDescent="0.2">
      <c r="B1041">
        <v>4903</v>
      </c>
      <c r="C1041" t="s">
        <v>4696</v>
      </c>
      <c r="D1041">
        <v>11</v>
      </c>
      <c r="E1041">
        <v>12</v>
      </c>
      <c r="F1041">
        <v>0</v>
      </c>
      <c r="G1041">
        <v>0</v>
      </c>
      <c r="H1041">
        <v>112</v>
      </c>
      <c r="I1041">
        <v>0</v>
      </c>
      <c r="J1041">
        <v>0.99</v>
      </c>
      <c r="K1041">
        <v>0</v>
      </c>
    </row>
    <row r="1042" spans="1:12" x14ac:dyDescent="0.2">
      <c r="B1042">
        <v>4904</v>
      </c>
      <c r="C1042" t="s">
        <v>4697</v>
      </c>
      <c r="D1042">
        <v>12</v>
      </c>
      <c r="E1042">
        <v>12</v>
      </c>
      <c r="F1042">
        <v>0</v>
      </c>
      <c r="G1042">
        <v>0</v>
      </c>
      <c r="H1042">
        <v>112</v>
      </c>
      <c r="I1042">
        <v>0</v>
      </c>
      <c r="J1042">
        <v>0.5</v>
      </c>
      <c r="K1042">
        <v>0</v>
      </c>
      <c r="L1042" t="s">
        <v>3699</v>
      </c>
    </row>
    <row r="1043" spans="1:12" x14ac:dyDescent="0.2">
      <c r="A1043">
        <v>57307</v>
      </c>
      <c r="B1043">
        <v>4942</v>
      </c>
      <c r="C1043" t="s">
        <v>4698</v>
      </c>
      <c r="D1043">
        <v>10</v>
      </c>
      <c r="E1043">
        <v>12</v>
      </c>
      <c r="F1043">
        <v>0</v>
      </c>
      <c r="G1043">
        <v>0</v>
      </c>
      <c r="H1043">
        <v>153</v>
      </c>
      <c r="I1043">
        <v>0</v>
      </c>
      <c r="J1043">
        <v>1.55</v>
      </c>
      <c r="K1043">
        <v>0</v>
      </c>
    </row>
    <row r="1044" spans="1:12" x14ac:dyDescent="0.2">
      <c r="A1044">
        <v>74149</v>
      </c>
      <c r="B1044">
        <v>4947</v>
      </c>
      <c r="C1044" t="s">
        <v>4415</v>
      </c>
      <c r="D1044">
        <v>8</v>
      </c>
      <c r="E1044">
        <v>14</v>
      </c>
      <c r="F1044">
        <v>465</v>
      </c>
      <c r="G1044">
        <v>6510</v>
      </c>
      <c r="H1044">
        <v>48</v>
      </c>
      <c r="I1044">
        <v>9.6999999999999993</v>
      </c>
      <c r="J1044">
        <v>2.99</v>
      </c>
      <c r="K1044">
        <v>19464.900000000001</v>
      </c>
    </row>
    <row r="1045" spans="1:12" x14ac:dyDescent="0.2">
      <c r="A1045">
        <v>95143</v>
      </c>
      <c r="B1045">
        <v>5000</v>
      </c>
      <c r="C1045" t="s">
        <v>4699</v>
      </c>
      <c r="D1045">
        <v>8</v>
      </c>
      <c r="E1045">
        <v>6</v>
      </c>
      <c r="F1045">
        <v>5704</v>
      </c>
      <c r="G1045">
        <v>34224</v>
      </c>
      <c r="H1045">
        <v>92</v>
      </c>
      <c r="I1045">
        <v>62</v>
      </c>
      <c r="J1045">
        <v>0.45</v>
      </c>
      <c r="K1045">
        <v>15400.8</v>
      </c>
    </row>
    <row r="1046" spans="1:12" x14ac:dyDescent="0.2">
      <c r="B1046">
        <v>5021</v>
      </c>
      <c r="C1046" t="s">
        <v>4700</v>
      </c>
      <c r="D1046">
        <v>11</v>
      </c>
      <c r="E1046">
        <v>10</v>
      </c>
      <c r="F1046">
        <v>-2</v>
      </c>
      <c r="G1046">
        <v>-20</v>
      </c>
      <c r="H1046">
        <v>84</v>
      </c>
      <c r="I1046">
        <v>0</v>
      </c>
      <c r="J1046">
        <v>1.99</v>
      </c>
      <c r="K1046">
        <v>-39.799999999999997</v>
      </c>
      <c r="L1046" t="s">
        <v>3699</v>
      </c>
    </row>
    <row r="1047" spans="1:12" x14ac:dyDescent="0.2">
      <c r="A1047">
        <v>67204</v>
      </c>
      <c r="B1047">
        <v>5024</v>
      </c>
      <c r="C1047" t="s">
        <v>4701</v>
      </c>
      <c r="D1047">
        <v>8</v>
      </c>
      <c r="E1047">
        <v>6</v>
      </c>
      <c r="F1047">
        <v>2379</v>
      </c>
      <c r="G1047">
        <v>14273</v>
      </c>
      <c r="H1047">
        <v>60</v>
      </c>
      <c r="I1047">
        <v>39.6</v>
      </c>
      <c r="J1047">
        <v>0.65</v>
      </c>
      <c r="K1047">
        <v>9277.4500000000007</v>
      </c>
    </row>
    <row r="1048" spans="1:12" x14ac:dyDescent="0.2">
      <c r="A1048">
        <v>67193</v>
      </c>
      <c r="B1048">
        <v>5025</v>
      </c>
      <c r="C1048" t="s">
        <v>4702</v>
      </c>
      <c r="D1048">
        <v>8</v>
      </c>
      <c r="E1048">
        <v>16</v>
      </c>
      <c r="F1048">
        <v>387</v>
      </c>
      <c r="G1048">
        <v>6192</v>
      </c>
      <c r="H1048">
        <v>24</v>
      </c>
      <c r="I1048">
        <v>16.100000000000001</v>
      </c>
      <c r="J1048">
        <v>1.39</v>
      </c>
      <c r="K1048">
        <v>8606.8799999999992</v>
      </c>
    </row>
    <row r="1049" spans="1:12" x14ac:dyDescent="0.2">
      <c r="A1049">
        <v>67226</v>
      </c>
      <c r="B1049">
        <v>5027</v>
      </c>
      <c r="C1049" t="s">
        <v>4703</v>
      </c>
      <c r="D1049">
        <v>8</v>
      </c>
      <c r="E1049">
        <v>8</v>
      </c>
      <c r="F1049">
        <v>1056</v>
      </c>
      <c r="G1049">
        <v>8448</v>
      </c>
      <c r="H1049">
        <v>60</v>
      </c>
      <c r="I1049">
        <v>17.600000000000001</v>
      </c>
      <c r="J1049">
        <v>1.65</v>
      </c>
      <c r="K1049">
        <v>13939.2</v>
      </c>
    </row>
    <row r="1050" spans="1:12" x14ac:dyDescent="0.2">
      <c r="A1050">
        <v>72272</v>
      </c>
      <c r="B1050">
        <v>5033</v>
      </c>
      <c r="C1050" t="s">
        <v>4704</v>
      </c>
      <c r="D1050">
        <v>8</v>
      </c>
      <c r="E1050">
        <v>20</v>
      </c>
      <c r="F1050">
        <v>250</v>
      </c>
      <c r="G1050">
        <v>5000</v>
      </c>
      <c r="H1050">
        <v>54</v>
      </c>
      <c r="I1050">
        <v>4.5999999999999996</v>
      </c>
      <c r="J1050">
        <v>3.69</v>
      </c>
      <c r="K1050">
        <v>18450</v>
      </c>
    </row>
    <row r="1051" spans="1:12" x14ac:dyDescent="0.2">
      <c r="A1051">
        <v>67179</v>
      </c>
      <c r="B1051">
        <v>5035</v>
      </c>
      <c r="C1051" t="s">
        <v>4705</v>
      </c>
      <c r="D1051">
        <v>8</v>
      </c>
      <c r="E1051">
        <v>6</v>
      </c>
      <c r="F1051">
        <v>150</v>
      </c>
      <c r="G1051">
        <v>900</v>
      </c>
      <c r="H1051">
        <v>60</v>
      </c>
      <c r="I1051">
        <v>2.5</v>
      </c>
      <c r="J1051">
        <v>2.99</v>
      </c>
      <c r="K1051">
        <v>2691</v>
      </c>
    </row>
    <row r="1052" spans="1:12" x14ac:dyDescent="0.2">
      <c r="B1052">
        <v>5037</v>
      </c>
      <c r="C1052" t="s">
        <v>4706</v>
      </c>
      <c r="D1052">
        <v>10</v>
      </c>
      <c r="E1052">
        <v>3</v>
      </c>
      <c r="F1052">
        <v>4</v>
      </c>
      <c r="G1052">
        <v>12</v>
      </c>
      <c r="H1052">
        <v>48</v>
      </c>
      <c r="I1052">
        <v>0.1</v>
      </c>
      <c r="J1052">
        <v>8.01</v>
      </c>
      <c r="K1052">
        <v>96.12</v>
      </c>
    </row>
    <row r="1053" spans="1:12" x14ac:dyDescent="0.2">
      <c r="A1053">
        <v>67267</v>
      </c>
      <c r="B1053">
        <v>5048</v>
      </c>
      <c r="C1053" t="s">
        <v>4707</v>
      </c>
      <c r="D1053">
        <v>8</v>
      </c>
      <c r="E1053">
        <v>24</v>
      </c>
      <c r="F1053">
        <v>262</v>
      </c>
      <c r="G1053">
        <v>6288</v>
      </c>
      <c r="H1053">
        <v>56</v>
      </c>
      <c r="I1053">
        <v>4.7</v>
      </c>
      <c r="J1053">
        <v>3.59</v>
      </c>
      <c r="K1053">
        <v>22573.919999999998</v>
      </c>
    </row>
    <row r="1054" spans="1:12" x14ac:dyDescent="0.2">
      <c r="A1054">
        <v>95123</v>
      </c>
      <c r="B1054">
        <v>5064</v>
      </c>
      <c r="C1054" t="s">
        <v>4708</v>
      </c>
      <c r="D1054">
        <v>8</v>
      </c>
      <c r="E1054">
        <v>6</v>
      </c>
      <c r="F1054">
        <v>1785</v>
      </c>
      <c r="G1054">
        <v>10710</v>
      </c>
      <c r="H1054">
        <v>105</v>
      </c>
      <c r="I1054">
        <v>17</v>
      </c>
      <c r="J1054">
        <v>0.45</v>
      </c>
      <c r="K1054">
        <v>4819.5</v>
      </c>
    </row>
    <row r="1055" spans="1:12" x14ac:dyDescent="0.2">
      <c r="A1055">
        <v>30674</v>
      </c>
      <c r="B1055">
        <v>5072</v>
      </c>
      <c r="C1055" t="s">
        <v>4709</v>
      </c>
      <c r="D1055">
        <v>10</v>
      </c>
      <c r="E1055">
        <v>48</v>
      </c>
      <c r="F1055">
        <v>0</v>
      </c>
      <c r="G1055">
        <v>0</v>
      </c>
      <c r="H1055">
        <v>4</v>
      </c>
      <c r="I1055">
        <v>0</v>
      </c>
      <c r="J1055">
        <v>4.58</v>
      </c>
      <c r="K1055">
        <v>0</v>
      </c>
    </row>
    <row r="1056" spans="1:12" x14ac:dyDescent="0.2">
      <c r="A1056">
        <v>3535</v>
      </c>
      <c r="B1056">
        <v>5073</v>
      </c>
      <c r="C1056" t="s">
        <v>4710</v>
      </c>
      <c r="D1056">
        <v>6</v>
      </c>
      <c r="E1056">
        <v>10</v>
      </c>
      <c r="F1056">
        <v>0</v>
      </c>
      <c r="G1056">
        <v>0</v>
      </c>
      <c r="H1056">
        <v>72</v>
      </c>
      <c r="I1056">
        <v>0</v>
      </c>
      <c r="J1056">
        <v>3.29</v>
      </c>
      <c r="K1056">
        <v>0</v>
      </c>
    </row>
    <row r="1057" spans="1:11" x14ac:dyDescent="0.2">
      <c r="A1057">
        <v>81025</v>
      </c>
      <c r="B1057">
        <v>5074</v>
      </c>
      <c r="C1057" t="s">
        <v>4711</v>
      </c>
      <c r="D1057">
        <v>8</v>
      </c>
      <c r="E1057">
        <v>4</v>
      </c>
      <c r="F1057">
        <v>543</v>
      </c>
      <c r="G1057">
        <v>2172</v>
      </c>
      <c r="H1057">
        <v>96</v>
      </c>
      <c r="I1057">
        <v>5.7</v>
      </c>
      <c r="J1057">
        <v>2.09</v>
      </c>
      <c r="K1057">
        <v>4539.4799999999996</v>
      </c>
    </row>
    <row r="1058" spans="1:11" x14ac:dyDescent="0.2">
      <c r="A1058">
        <v>80186</v>
      </c>
      <c r="B1058">
        <v>5075</v>
      </c>
      <c r="C1058" t="s">
        <v>4712</v>
      </c>
      <c r="D1058">
        <v>8</v>
      </c>
      <c r="E1058">
        <v>4</v>
      </c>
      <c r="F1058">
        <v>266</v>
      </c>
      <c r="G1058">
        <v>1064</v>
      </c>
      <c r="H1058">
        <v>56</v>
      </c>
      <c r="I1058">
        <v>4.8</v>
      </c>
      <c r="J1058">
        <v>2.56</v>
      </c>
      <c r="K1058">
        <v>2723.84</v>
      </c>
    </row>
    <row r="1059" spans="1:11" x14ac:dyDescent="0.2">
      <c r="A1059">
        <v>83105</v>
      </c>
      <c r="B1059">
        <v>5076</v>
      </c>
      <c r="C1059" t="s">
        <v>4713</v>
      </c>
      <c r="D1059">
        <v>8</v>
      </c>
      <c r="E1059">
        <v>8</v>
      </c>
      <c r="F1059">
        <v>258</v>
      </c>
      <c r="G1059">
        <v>2064</v>
      </c>
      <c r="H1059">
        <v>45</v>
      </c>
      <c r="I1059">
        <v>5.7</v>
      </c>
      <c r="J1059">
        <v>1.79</v>
      </c>
      <c r="K1059">
        <v>3694.56</v>
      </c>
    </row>
    <row r="1060" spans="1:11" x14ac:dyDescent="0.2">
      <c r="B1060">
        <v>5082</v>
      </c>
      <c r="C1060" t="s">
        <v>4714</v>
      </c>
      <c r="D1060">
        <v>10</v>
      </c>
      <c r="E1060">
        <v>12</v>
      </c>
      <c r="F1060">
        <v>-4</v>
      </c>
      <c r="G1060">
        <v>-48</v>
      </c>
      <c r="H1060">
        <v>144</v>
      </c>
      <c r="I1060">
        <v>0</v>
      </c>
      <c r="J1060">
        <v>2.15</v>
      </c>
      <c r="K1060">
        <v>-103.2</v>
      </c>
    </row>
    <row r="1061" spans="1:11" x14ac:dyDescent="0.2">
      <c r="A1061">
        <v>37687</v>
      </c>
      <c r="B1061">
        <v>5084</v>
      </c>
      <c r="C1061" t="s">
        <v>4715</v>
      </c>
      <c r="D1061">
        <v>10</v>
      </c>
      <c r="E1061">
        <v>75</v>
      </c>
      <c r="F1061">
        <v>0</v>
      </c>
      <c r="G1061">
        <v>0</v>
      </c>
      <c r="H1061">
        <v>4</v>
      </c>
      <c r="I1061">
        <v>0</v>
      </c>
      <c r="J1061">
        <v>2.99</v>
      </c>
      <c r="K1061">
        <v>0</v>
      </c>
    </row>
    <row r="1062" spans="1:11" x14ac:dyDescent="0.2">
      <c r="A1062">
        <v>67149</v>
      </c>
      <c r="B1062">
        <v>5085</v>
      </c>
      <c r="C1062" t="s">
        <v>4716</v>
      </c>
      <c r="D1062">
        <v>8</v>
      </c>
      <c r="E1062">
        <v>10</v>
      </c>
      <c r="F1062">
        <v>689</v>
      </c>
      <c r="G1062">
        <v>6890</v>
      </c>
      <c r="H1062">
        <v>36</v>
      </c>
      <c r="I1062">
        <v>19.100000000000001</v>
      </c>
      <c r="J1062">
        <v>2.39</v>
      </c>
      <c r="K1062">
        <v>16467.099999999999</v>
      </c>
    </row>
    <row r="1063" spans="1:11" x14ac:dyDescent="0.2">
      <c r="A1063">
        <v>83078</v>
      </c>
      <c r="B1063">
        <v>5088</v>
      </c>
      <c r="C1063" t="s">
        <v>4717</v>
      </c>
      <c r="D1063">
        <v>8</v>
      </c>
      <c r="E1063">
        <v>8</v>
      </c>
      <c r="F1063">
        <v>86</v>
      </c>
      <c r="G1063">
        <v>688</v>
      </c>
      <c r="H1063">
        <v>14</v>
      </c>
      <c r="I1063">
        <v>6.1</v>
      </c>
      <c r="J1063">
        <v>1.79</v>
      </c>
      <c r="K1063">
        <v>1231.52</v>
      </c>
    </row>
    <row r="1064" spans="1:11" x14ac:dyDescent="0.2">
      <c r="A1064">
        <v>67258</v>
      </c>
      <c r="B1064">
        <v>5090</v>
      </c>
      <c r="C1064" t="s">
        <v>4718</v>
      </c>
      <c r="D1064">
        <v>8</v>
      </c>
      <c r="E1064">
        <v>12</v>
      </c>
      <c r="F1064">
        <v>221</v>
      </c>
      <c r="G1064">
        <v>2656</v>
      </c>
      <c r="H1064">
        <v>60</v>
      </c>
      <c r="I1064">
        <v>3.7</v>
      </c>
      <c r="J1064">
        <v>5.69</v>
      </c>
      <c r="K1064">
        <v>15112.64</v>
      </c>
    </row>
    <row r="1065" spans="1:11" x14ac:dyDescent="0.2">
      <c r="A1065">
        <v>67236</v>
      </c>
      <c r="B1065">
        <v>5091</v>
      </c>
      <c r="C1065" t="s">
        <v>4719</v>
      </c>
      <c r="D1065">
        <v>8</v>
      </c>
      <c r="E1065">
        <v>8</v>
      </c>
      <c r="F1065">
        <v>308</v>
      </c>
      <c r="G1065">
        <v>2464</v>
      </c>
      <c r="H1065">
        <v>105</v>
      </c>
      <c r="I1065">
        <v>2.9</v>
      </c>
      <c r="J1065">
        <v>1.85</v>
      </c>
      <c r="K1065">
        <v>4558.3999999999996</v>
      </c>
    </row>
    <row r="1066" spans="1:11" x14ac:dyDescent="0.2">
      <c r="A1066">
        <v>66038</v>
      </c>
      <c r="B1066">
        <v>5100</v>
      </c>
      <c r="C1066" t="s">
        <v>4720</v>
      </c>
      <c r="D1066">
        <v>8</v>
      </c>
      <c r="E1066">
        <v>9</v>
      </c>
      <c r="F1066">
        <v>250</v>
      </c>
      <c r="G1066">
        <v>2250</v>
      </c>
      <c r="H1066">
        <v>126</v>
      </c>
      <c r="I1066">
        <v>2</v>
      </c>
      <c r="J1066">
        <v>1.1599999999999999</v>
      </c>
      <c r="K1066">
        <v>2610</v>
      </c>
    </row>
    <row r="1067" spans="1:11" x14ac:dyDescent="0.2">
      <c r="A1067">
        <v>69047</v>
      </c>
      <c r="B1067">
        <v>5101</v>
      </c>
      <c r="C1067" t="s">
        <v>4721</v>
      </c>
      <c r="D1067">
        <v>8</v>
      </c>
      <c r="E1067">
        <v>22</v>
      </c>
      <c r="F1067">
        <v>786</v>
      </c>
      <c r="G1067">
        <v>17293</v>
      </c>
      <c r="H1067">
        <v>70</v>
      </c>
      <c r="I1067">
        <v>11.2</v>
      </c>
      <c r="J1067">
        <v>1.39</v>
      </c>
      <c r="K1067">
        <v>24037.27</v>
      </c>
    </row>
    <row r="1068" spans="1:11" x14ac:dyDescent="0.2">
      <c r="A1068">
        <v>69005</v>
      </c>
      <c r="B1068">
        <v>5106</v>
      </c>
      <c r="C1068" t="s">
        <v>4722</v>
      </c>
      <c r="D1068">
        <v>8</v>
      </c>
      <c r="E1068">
        <v>9</v>
      </c>
      <c r="F1068">
        <v>69</v>
      </c>
      <c r="G1068">
        <v>621</v>
      </c>
      <c r="H1068">
        <v>70</v>
      </c>
      <c r="I1068">
        <v>1</v>
      </c>
      <c r="J1068">
        <v>1.59</v>
      </c>
      <c r="K1068">
        <v>987.39</v>
      </c>
    </row>
    <row r="1069" spans="1:11" x14ac:dyDescent="0.2">
      <c r="A1069">
        <v>69008</v>
      </c>
      <c r="B1069">
        <v>5109</v>
      </c>
      <c r="C1069" t="s">
        <v>4723</v>
      </c>
      <c r="D1069">
        <v>8</v>
      </c>
      <c r="E1069">
        <v>6</v>
      </c>
      <c r="F1069">
        <v>171</v>
      </c>
      <c r="G1069">
        <v>1026</v>
      </c>
      <c r="H1069">
        <v>60</v>
      </c>
      <c r="I1069">
        <v>2.9</v>
      </c>
      <c r="J1069">
        <v>1.25</v>
      </c>
      <c r="K1069">
        <v>1282.5</v>
      </c>
    </row>
    <row r="1070" spans="1:11" x14ac:dyDescent="0.2">
      <c r="A1070">
        <v>67201</v>
      </c>
      <c r="B1070">
        <v>5110</v>
      </c>
      <c r="C1070" t="s">
        <v>4724</v>
      </c>
      <c r="D1070">
        <v>8</v>
      </c>
      <c r="E1070">
        <v>8</v>
      </c>
      <c r="F1070">
        <v>817</v>
      </c>
      <c r="G1070">
        <v>6536</v>
      </c>
      <c r="H1070">
        <v>60</v>
      </c>
      <c r="I1070">
        <v>13.6</v>
      </c>
      <c r="J1070">
        <v>1.29</v>
      </c>
      <c r="K1070">
        <v>8431.44</v>
      </c>
    </row>
    <row r="1071" spans="1:11" x14ac:dyDescent="0.2">
      <c r="A1071">
        <v>72267</v>
      </c>
      <c r="B1071">
        <v>5112</v>
      </c>
      <c r="C1071" t="s">
        <v>4725</v>
      </c>
      <c r="D1071">
        <v>8</v>
      </c>
      <c r="E1071">
        <v>20</v>
      </c>
      <c r="F1071">
        <v>229</v>
      </c>
      <c r="G1071">
        <v>4580</v>
      </c>
      <c r="H1071">
        <v>84</v>
      </c>
      <c r="I1071">
        <v>2.7</v>
      </c>
      <c r="J1071">
        <v>0.89</v>
      </c>
      <c r="K1071">
        <v>4076.2</v>
      </c>
    </row>
    <row r="1072" spans="1:11" x14ac:dyDescent="0.2">
      <c r="A1072">
        <v>66120</v>
      </c>
      <c r="B1072">
        <v>5113</v>
      </c>
      <c r="C1072" t="s">
        <v>4726</v>
      </c>
      <c r="D1072">
        <v>8</v>
      </c>
      <c r="E1072">
        <v>14</v>
      </c>
      <c r="F1072">
        <v>241</v>
      </c>
      <c r="G1072">
        <v>3374</v>
      </c>
      <c r="H1072">
        <v>56</v>
      </c>
      <c r="I1072">
        <v>4.3</v>
      </c>
      <c r="J1072">
        <v>1.1499999999999999</v>
      </c>
      <c r="K1072">
        <v>3880.1</v>
      </c>
    </row>
    <row r="1073" spans="1:11" x14ac:dyDescent="0.2">
      <c r="A1073">
        <v>69021</v>
      </c>
      <c r="B1073">
        <v>5114</v>
      </c>
      <c r="C1073" t="s">
        <v>4727</v>
      </c>
      <c r="D1073">
        <v>8</v>
      </c>
      <c r="E1073">
        <v>12</v>
      </c>
      <c r="F1073">
        <v>1096</v>
      </c>
      <c r="G1073">
        <v>13152</v>
      </c>
      <c r="H1073">
        <v>90</v>
      </c>
      <c r="I1073">
        <v>12.2</v>
      </c>
      <c r="J1073">
        <v>1.99</v>
      </c>
      <c r="K1073">
        <v>26172.48</v>
      </c>
    </row>
    <row r="1074" spans="1:11" x14ac:dyDescent="0.2">
      <c r="A1074">
        <v>70245</v>
      </c>
      <c r="B1074">
        <v>5124</v>
      </c>
      <c r="C1074" t="s">
        <v>4728</v>
      </c>
      <c r="D1074">
        <v>8</v>
      </c>
      <c r="E1074">
        <v>24</v>
      </c>
      <c r="F1074">
        <v>541</v>
      </c>
      <c r="G1074">
        <v>12984</v>
      </c>
      <c r="H1074">
        <v>114</v>
      </c>
      <c r="I1074">
        <v>4.7</v>
      </c>
      <c r="J1074">
        <v>1.45</v>
      </c>
      <c r="K1074">
        <v>18826.8</v>
      </c>
    </row>
    <row r="1075" spans="1:11" x14ac:dyDescent="0.2">
      <c r="A1075">
        <v>70239</v>
      </c>
      <c r="B1075">
        <v>5126</v>
      </c>
      <c r="C1075" t="s">
        <v>4729</v>
      </c>
      <c r="D1075">
        <v>8</v>
      </c>
      <c r="E1075">
        <v>30</v>
      </c>
      <c r="F1075">
        <v>156</v>
      </c>
      <c r="G1075">
        <v>4680</v>
      </c>
      <c r="H1075">
        <v>75</v>
      </c>
      <c r="I1075">
        <v>2.1</v>
      </c>
      <c r="J1075">
        <v>3.15</v>
      </c>
      <c r="K1075">
        <v>14742</v>
      </c>
    </row>
    <row r="1076" spans="1:11" x14ac:dyDescent="0.2">
      <c r="A1076">
        <v>67237</v>
      </c>
      <c r="B1076">
        <v>5129</v>
      </c>
      <c r="C1076" t="s">
        <v>4730</v>
      </c>
      <c r="D1076">
        <v>8</v>
      </c>
      <c r="E1076">
        <v>12</v>
      </c>
      <c r="F1076">
        <v>225</v>
      </c>
      <c r="G1076">
        <v>2700</v>
      </c>
      <c r="H1076">
        <v>60</v>
      </c>
      <c r="I1076">
        <v>3.8</v>
      </c>
      <c r="J1076">
        <v>1.89</v>
      </c>
      <c r="K1076">
        <v>5103</v>
      </c>
    </row>
    <row r="1077" spans="1:11" x14ac:dyDescent="0.2">
      <c r="A1077">
        <v>67219</v>
      </c>
      <c r="B1077">
        <v>5130</v>
      </c>
      <c r="C1077" t="s">
        <v>4731</v>
      </c>
      <c r="D1077">
        <v>8</v>
      </c>
      <c r="E1077">
        <v>12</v>
      </c>
      <c r="F1077">
        <v>54</v>
      </c>
      <c r="G1077">
        <v>644</v>
      </c>
      <c r="H1077">
        <v>60</v>
      </c>
      <c r="I1077">
        <v>0.9</v>
      </c>
      <c r="J1077">
        <v>1.0900000000000001</v>
      </c>
      <c r="K1077">
        <v>701.96</v>
      </c>
    </row>
    <row r="1078" spans="1:11" x14ac:dyDescent="0.2">
      <c r="A1078">
        <v>70179</v>
      </c>
      <c r="B1078">
        <v>5133</v>
      </c>
      <c r="C1078" t="s">
        <v>4732</v>
      </c>
      <c r="D1078">
        <v>8</v>
      </c>
      <c r="E1078">
        <v>18</v>
      </c>
      <c r="F1078">
        <v>261</v>
      </c>
      <c r="G1078">
        <v>4698</v>
      </c>
      <c r="H1078">
        <v>100</v>
      </c>
      <c r="I1078">
        <v>2.6</v>
      </c>
      <c r="J1078">
        <v>1.97</v>
      </c>
      <c r="K1078">
        <v>9255.06</v>
      </c>
    </row>
    <row r="1079" spans="1:11" x14ac:dyDescent="0.2">
      <c r="A1079">
        <v>69058</v>
      </c>
      <c r="B1079">
        <v>5135</v>
      </c>
      <c r="C1079" t="s">
        <v>4733</v>
      </c>
      <c r="D1079">
        <v>8</v>
      </c>
      <c r="E1079">
        <v>24</v>
      </c>
      <c r="F1079">
        <v>508</v>
      </c>
      <c r="G1079">
        <v>12192</v>
      </c>
      <c r="H1079">
        <v>63</v>
      </c>
      <c r="I1079">
        <v>8.1</v>
      </c>
      <c r="J1079">
        <v>1.49</v>
      </c>
      <c r="K1079">
        <v>18166.080000000002</v>
      </c>
    </row>
    <row r="1080" spans="1:11" x14ac:dyDescent="0.2">
      <c r="A1080">
        <v>69080</v>
      </c>
      <c r="B1080">
        <v>5136</v>
      </c>
      <c r="C1080" t="s">
        <v>4734</v>
      </c>
      <c r="D1080">
        <v>8</v>
      </c>
      <c r="E1080">
        <v>18</v>
      </c>
      <c r="F1080">
        <v>416</v>
      </c>
      <c r="G1080">
        <v>7488</v>
      </c>
      <c r="H1080">
        <v>66</v>
      </c>
      <c r="I1080">
        <v>6.3</v>
      </c>
      <c r="J1080">
        <v>2.19</v>
      </c>
      <c r="K1080">
        <v>16398.72</v>
      </c>
    </row>
    <row r="1081" spans="1:11" x14ac:dyDescent="0.2">
      <c r="B1081">
        <v>5137</v>
      </c>
      <c r="C1081" t="s">
        <v>4735</v>
      </c>
      <c r="D1081">
        <v>11</v>
      </c>
      <c r="E1081">
        <v>24</v>
      </c>
      <c r="F1081">
        <v>-3</v>
      </c>
      <c r="G1081">
        <v>-72</v>
      </c>
      <c r="H1081">
        <v>60</v>
      </c>
      <c r="I1081">
        <v>-0.1</v>
      </c>
      <c r="J1081">
        <v>2.4700000000000002</v>
      </c>
      <c r="K1081">
        <v>-177.84</v>
      </c>
    </row>
    <row r="1082" spans="1:11" x14ac:dyDescent="0.2">
      <c r="A1082">
        <v>70201</v>
      </c>
      <c r="B1082">
        <v>5138</v>
      </c>
      <c r="C1082" t="s">
        <v>4736</v>
      </c>
      <c r="D1082">
        <v>11</v>
      </c>
      <c r="E1082">
        <v>12</v>
      </c>
      <c r="F1082">
        <v>5</v>
      </c>
      <c r="G1082">
        <v>60</v>
      </c>
      <c r="H1082">
        <v>130</v>
      </c>
      <c r="I1082">
        <v>0</v>
      </c>
      <c r="J1082">
        <v>2.4500000000000002</v>
      </c>
      <c r="K1082">
        <v>147</v>
      </c>
    </row>
    <row r="1083" spans="1:11" x14ac:dyDescent="0.2">
      <c r="B1083">
        <v>5139</v>
      </c>
      <c r="C1083" t="s">
        <v>4737</v>
      </c>
      <c r="D1083">
        <v>11</v>
      </c>
      <c r="E1083">
        <v>24</v>
      </c>
      <c r="F1083">
        <v>2</v>
      </c>
      <c r="G1083">
        <v>48</v>
      </c>
      <c r="H1083">
        <v>60</v>
      </c>
      <c r="I1083">
        <v>0</v>
      </c>
      <c r="J1083">
        <v>2.4500000000000002</v>
      </c>
      <c r="K1083">
        <v>117.6</v>
      </c>
    </row>
    <row r="1084" spans="1:11" x14ac:dyDescent="0.2">
      <c r="A1084">
        <v>40627</v>
      </c>
      <c r="B1084">
        <v>5141</v>
      </c>
      <c r="C1084" t="s">
        <v>4738</v>
      </c>
      <c r="D1084">
        <v>10</v>
      </c>
      <c r="E1084">
        <v>1</v>
      </c>
      <c r="F1084">
        <v>0</v>
      </c>
      <c r="G1084">
        <v>0</v>
      </c>
      <c r="H1084">
        <v>4</v>
      </c>
      <c r="I1084">
        <v>0</v>
      </c>
      <c r="J1084">
        <v>3.85</v>
      </c>
      <c r="K1084">
        <v>0</v>
      </c>
    </row>
    <row r="1085" spans="1:11" x14ac:dyDescent="0.2">
      <c r="A1085">
        <v>67259</v>
      </c>
      <c r="B1085">
        <v>5144</v>
      </c>
      <c r="C1085" t="s">
        <v>4739</v>
      </c>
      <c r="D1085">
        <v>8</v>
      </c>
      <c r="E1085">
        <v>21</v>
      </c>
      <c r="F1085">
        <v>401</v>
      </c>
      <c r="G1085">
        <v>8421</v>
      </c>
      <c r="H1085">
        <v>56</v>
      </c>
      <c r="I1085">
        <v>7.2</v>
      </c>
      <c r="J1085">
        <v>0.79</v>
      </c>
      <c r="K1085">
        <v>6652.59</v>
      </c>
    </row>
    <row r="1086" spans="1:11" x14ac:dyDescent="0.2">
      <c r="B1086">
        <v>5146</v>
      </c>
      <c r="C1086" t="s">
        <v>4740</v>
      </c>
      <c r="D1086">
        <v>11</v>
      </c>
      <c r="E1086">
        <v>15</v>
      </c>
      <c r="F1086">
        <v>0</v>
      </c>
      <c r="G1086">
        <v>0</v>
      </c>
      <c r="H1086">
        <v>84</v>
      </c>
      <c r="I1086">
        <v>0</v>
      </c>
      <c r="J1086">
        <v>0.99</v>
      </c>
      <c r="K1086">
        <v>0</v>
      </c>
    </row>
    <row r="1087" spans="1:11" x14ac:dyDescent="0.2">
      <c r="A1087">
        <v>67232</v>
      </c>
      <c r="B1087">
        <v>5147</v>
      </c>
      <c r="C1087" t="s">
        <v>4741</v>
      </c>
      <c r="D1087">
        <v>8</v>
      </c>
      <c r="E1087">
        <v>6</v>
      </c>
      <c r="F1087">
        <v>862</v>
      </c>
      <c r="G1087">
        <v>5172</v>
      </c>
      <c r="H1087">
        <v>75</v>
      </c>
      <c r="I1087">
        <v>11.5</v>
      </c>
      <c r="J1087">
        <v>2.19</v>
      </c>
      <c r="K1087">
        <v>11326.68</v>
      </c>
    </row>
    <row r="1088" spans="1:11" x14ac:dyDescent="0.2">
      <c r="A1088">
        <v>70102</v>
      </c>
      <c r="B1088">
        <v>5164</v>
      </c>
      <c r="C1088" t="s">
        <v>4742</v>
      </c>
      <c r="D1088">
        <v>8</v>
      </c>
      <c r="E1088">
        <v>16</v>
      </c>
      <c r="F1088">
        <v>88</v>
      </c>
      <c r="G1088">
        <v>1408</v>
      </c>
      <c r="H1088">
        <v>56</v>
      </c>
      <c r="I1088">
        <v>1.6</v>
      </c>
      <c r="J1088">
        <v>2.29</v>
      </c>
      <c r="K1088">
        <v>3224.32</v>
      </c>
    </row>
    <row r="1089" spans="1:11" x14ac:dyDescent="0.2">
      <c r="A1089">
        <v>70083</v>
      </c>
      <c r="B1089">
        <v>5168</v>
      </c>
      <c r="C1089" t="s">
        <v>4743</v>
      </c>
      <c r="D1089">
        <v>8</v>
      </c>
      <c r="E1089">
        <v>16</v>
      </c>
      <c r="F1089">
        <v>60</v>
      </c>
      <c r="G1089">
        <v>960</v>
      </c>
      <c r="H1089">
        <v>56</v>
      </c>
      <c r="I1089">
        <v>1.1000000000000001</v>
      </c>
      <c r="J1089">
        <v>2.65</v>
      </c>
      <c r="K1089">
        <v>2544</v>
      </c>
    </row>
    <row r="1090" spans="1:11" x14ac:dyDescent="0.2">
      <c r="A1090">
        <v>69036</v>
      </c>
      <c r="B1090">
        <v>5171</v>
      </c>
      <c r="C1090" t="s">
        <v>4744</v>
      </c>
      <c r="D1090">
        <v>8</v>
      </c>
      <c r="E1090">
        <v>16</v>
      </c>
      <c r="F1090">
        <v>1600</v>
      </c>
      <c r="G1090">
        <v>25601</v>
      </c>
      <c r="H1090">
        <v>108</v>
      </c>
      <c r="I1090">
        <v>14.8</v>
      </c>
      <c r="J1090">
        <v>1.35</v>
      </c>
      <c r="K1090">
        <v>34561.35</v>
      </c>
    </row>
    <row r="1091" spans="1:11" x14ac:dyDescent="0.2">
      <c r="A1091">
        <v>67274</v>
      </c>
      <c r="B1091">
        <v>5172</v>
      </c>
      <c r="C1091" t="s">
        <v>4745</v>
      </c>
      <c r="D1091">
        <v>7</v>
      </c>
      <c r="E1091">
        <v>12</v>
      </c>
      <c r="F1091">
        <v>306</v>
      </c>
      <c r="G1091">
        <v>3672</v>
      </c>
      <c r="H1091">
        <v>60</v>
      </c>
      <c r="I1091">
        <v>5.0999999999999996</v>
      </c>
      <c r="J1091">
        <v>0.99</v>
      </c>
      <c r="K1091">
        <v>3635.28</v>
      </c>
    </row>
    <row r="1092" spans="1:11" x14ac:dyDescent="0.2">
      <c r="A1092">
        <v>74215</v>
      </c>
      <c r="B1092">
        <v>5175</v>
      </c>
      <c r="C1092" t="s">
        <v>4746</v>
      </c>
      <c r="D1092">
        <v>8</v>
      </c>
      <c r="E1092">
        <v>51</v>
      </c>
      <c r="F1092">
        <v>129</v>
      </c>
      <c r="G1092">
        <v>6579</v>
      </c>
      <c r="H1092">
        <v>36</v>
      </c>
      <c r="I1092">
        <v>3.6</v>
      </c>
      <c r="J1092">
        <v>1.69</v>
      </c>
      <c r="K1092">
        <v>11118.51</v>
      </c>
    </row>
    <row r="1093" spans="1:11" x14ac:dyDescent="0.2">
      <c r="A1093">
        <v>69069</v>
      </c>
      <c r="B1093">
        <v>5176</v>
      </c>
      <c r="C1093" t="s">
        <v>4747</v>
      </c>
      <c r="D1093">
        <v>8</v>
      </c>
      <c r="E1093">
        <v>51</v>
      </c>
      <c r="F1093">
        <v>121</v>
      </c>
      <c r="G1093">
        <v>6171</v>
      </c>
      <c r="H1093">
        <v>32</v>
      </c>
      <c r="I1093">
        <v>3.8</v>
      </c>
      <c r="J1093">
        <v>1.0900000000000001</v>
      </c>
      <c r="K1093">
        <v>6726.39</v>
      </c>
    </row>
    <row r="1094" spans="1:11" x14ac:dyDescent="0.2">
      <c r="A1094">
        <v>69072</v>
      </c>
      <c r="B1094">
        <v>5177</v>
      </c>
      <c r="C1094" t="s">
        <v>4748</v>
      </c>
      <c r="D1094">
        <v>8</v>
      </c>
      <c r="E1094">
        <v>39</v>
      </c>
      <c r="F1094">
        <v>939</v>
      </c>
      <c r="G1094">
        <v>36614</v>
      </c>
      <c r="H1094">
        <v>40</v>
      </c>
      <c r="I1094">
        <v>23.5</v>
      </c>
      <c r="J1094">
        <v>1.19</v>
      </c>
      <c r="K1094">
        <v>43570.66</v>
      </c>
    </row>
    <row r="1095" spans="1:11" x14ac:dyDescent="0.2">
      <c r="B1095">
        <v>5179</v>
      </c>
      <c r="C1095" t="s">
        <v>4749</v>
      </c>
      <c r="D1095">
        <v>11</v>
      </c>
      <c r="E1095">
        <v>8</v>
      </c>
      <c r="F1095">
        <v>-2</v>
      </c>
      <c r="G1095">
        <v>-16</v>
      </c>
      <c r="H1095">
        <v>40</v>
      </c>
      <c r="I1095">
        <v>-0.1</v>
      </c>
      <c r="J1095">
        <v>3.49</v>
      </c>
      <c r="K1095">
        <v>-55.84</v>
      </c>
    </row>
    <row r="1096" spans="1:11" x14ac:dyDescent="0.2">
      <c r="B1096">
        <v>5184</v>
      </c>
      <c r="C1096" t="s">
        <v>4750</v>
      </c>
      <c r="D1096">
        <v>11</v>
      </c>
      <c r="E1096">
        <v>12</v>
      </c>
      <c r="F1096">
        <v>0</v>
      </c>
      <c r="G1096">
        <v>0</v>
      </c>
      <c r="H1096">
        <v>144</v>
      </c>
      <c r="I1096">
        <v>0</v>
      </c>
      <c r="J1096">
        <v>4.05</v>
      </c>
      <c r="K1096">
        <v>0</v>
      </c>
    </row>
    <row r="1097" spans="1:11" x14ac:dyDescent="0.2">
      <c r="B1097">
        <v>5186</v>
      </c>
      <c r="C1097" t="s">
        <v>4751</v>
      </c>
      <c r="D1097">
        <v>12</v>
      </c>
      <c r="E1097">
        <v>10</v>
      </c>
      <c r="F1097">
        <v>0</v>
      </c>
      <c r="G1097">
        <v>0</v>
      </c>
      <c r="H1097">
        <v>48</v>
      </c>
      <c r="I1097">
        <v>0</v>
      </c>
      <c r="J1097">
        <v>0.7</v>
      </c>
      <c r="K1097">
        <v>0</v>
      </c>
    </row>
    <row r="1098" spans="1:11" x14ac:dyDescent="0.2">
      <c r="A1098">
        <v>74153</v>
      </c>
      <c r="B1098">
        <v>5192</v>
      </c>
      <c r="C1098" t="s">
        <v>4752</v>
      </c>
      <c r="D1098">
        <v>8</v>
      </c>
      <c r="E1098">
        <v>15</v>
      </c>
      <c r="F1098">
        <v>257</v>
      </c>
      <c r="G1098">
        <v>3855</v>
      </c>
      <c r="H1098">
        <v>96</v>
      </c>
      <c r="I1098">
        <v>2.7</v>
      </c>
      <c r="J1098">
        <v>0.96</v>
      </c>
      <c r="K1098">
        <v>3700.8</v>
      </c>
    </row>
    <row r="1099" spans="1:11" x14ac:dyDescent="0.2">
      <c r="A1099">
        <v>71010</v>
      </c>
      <c r="B1099">
        <v>5199</v>
      </c>
      <c r="C1099" t="s">
        <v>4753</v>
      </c>
      <c r="D1099">
        <v>8</v>
      </c>
      <c r="E1099">
        <v>30</v>
      </c>
      <c r="F1099">
        <v>230</v>
      </c>
      <c r="G1099">
        <v>6900</v>
      </c>
      <c r="H1099">
        <v>60</v>
      </c>
      <c r="I1099">
        <v>3.8</v>
      </c>
      <c r="J1099">
        <v>1.69</v>
      </c>
      <c r="K1099">
        <v>11661</v>
      </c>
    </row>
    <row r="1100" spans="1:11" x14ac:dyDescent="0.2">
      <c r="A1100">
        <v>70159</v>
      </c>
      <c r="B1100">
        <v>5203</v>
      </c>
      <c r="C1100" t="s">
        <v>4754</v>
      </c>
      <c r="D1100">
        <v>8</v>
      </c>
      <c r="E1100">
        <v>24</v>
      </c>
      <c r="F1100">
        <v>312</v>
      </c>
      <c r="G1100">
        <v>7488</v>
      </c>
      <c r="H1100">
        <v>170</v>
      </c>
      <c r="I1100">
        <v>1.8</v>
      </c>
      <c r="J1100">
        <v>0.79</v>
      </c>
      <c r="K1100">
        <v>5915.52</v>
      </c>
    </row>
    <row r="1101" spans="1:11" x14ac:dyDescent="0.2">
      <c r="A1101">
        <v>70182</v>
      </c>
      <c r="B1101">
        <v>5207</v>
      </c>
      <c r="C1101" t="s">
        <v>4755</v>
      </c>
      <c r="D1101">
        <v>8</v>
      </c>
      <c r="E1101">
        <v>12</v>
      </c>
      <c r="F1101">
        <v>163</v>
      </c>
      <c r="G1101">
        <v>1956</v>
      </c>
      <c r="H1101">
        <v>216</v>
      </c>
      <c r="I1101">
        <v>0.8</v>
      </c>
      <c r="J1101">
        <v>1.99</v>
      </c>
      <c r="K1101">
        <v>3892.44</v>
      </c>
    </row>
    <row r="1102" spans="1:11" x14ac:dyDescent="0.2">
      <c r="A1102">
        <v>70217</v>
      </c>
      <c r="B1102">
        <v>5215</v>
      </c>
      <c r="C1102" t="s">
        <v>4756</v>
      </c>
      <c r="D1102">
        <v>8</v>
      </c>
      <c r="E1102">
        <v>16</v>
      </c>
      <c r="F1102">
        <v>280</v>
      </c>
      <c r="G1102">
        <v>4480</v>
      </c>
      <c r="H1102">
        <v>133</v>
      </c>
      <c r="I1102">
        <v>2.1</v>
      </c>
      <c r="J1102">
        <v>0.79</v>
      </c>
      <c r="K1102">
        <v>3539.2</v>
      </c>
    </row>
    <row r="1103" spans="1:11" x14ac:dyDescent="0.2">
      <c r="A1103">
        <v>70250</v>
      </c>
      <c r="B1103">
        <v>5217</v>
      </c>
      <c r="C1103" t="s">
        <v>4757</v>
      </c>
      <c r="D1103">
        <v>8</v>
      </c>
      <c r="E1103">
        <v>16</v>
      </c>
      <c r="F1103">
        <v>265</v>
      </c>
      <c r="G1103">
        <v>4240</v>
      </c>
      <c r="H1103">
        <v>84</v>
      </c>
      <c r="I1103">
        <v>3.2</v>
      </c>
      <c r="J1103">
        <v>4.99</v>
      </c>
      <c r="K1103">
        <v>21157.599999999999</v>
      </c>
    </row>
    <row r="1104" spans="1:11" x14ac:dyDescent="0.2">
      <c r="A1104">
        <v>70272</v>
      </c>
      <c r="B1104">
        <v>5218</v>
      </c>
      <c r="C1104" t="s">
        <v>4758</v>
      </c>
      <c r="D1104">
        <v>9</v>
      </c>
      <c r="E1104">
        <v>18</v>
      </c>
      <c r="F1104">
        <v>66</v>
      </c>
      <c r="G1104">
        <v>1188</v>
      </c>
      <c r="H1104">
        <v>192</v>
      </c>
      <c r="I1104">
        <v>0.3</v>
      </c>
      <c r="J1104">
        <v>0.99</v>
      </c>
      <c r="K1104">
        <v>1176.1199999999999</v>
      </c>
    </row>
    <row r="1105" spans="1:11" x14ac:dyDescent="0.2">
      <c r="A1105">
        <v>70085</v>
      </c>
      <c r="B1105">
        <v>5226</v>
      </c>
      <c r="C1105" t="s">
        <v>4759</v>
      </c>
      <c r="D1105">
        <v>8</v>
      </c>
      <c r="E1105">
        <v>12</v>
      </c>
      <c r="F1105">
        <v>238</v>
      </c>
      <c r="G1105">
        <v>2856</v>
      </c>
      <c r="H1105">
        <v>112</v>
      </c>
      <c r="I1105">
        <v>2.1</v>
      </c>
      <c r="J1105">
        <v>0.99</v>
      </c>
      <c r="K1105">
        <v>2827.44</v>
      </c>
    </row>
    <row r="1106" spans="1:11" x14ac:dyDescent="0.2">
      <c r="B1106">
        <v>5227</v>
      </c>
      <c r="C1106" t="s">
        <v>4760</v>
      </c>
      <c r="D1106">
        <v>11</v>
      </c>
      <c r="E1106">
        <v>16</v>
      </c>
      <c r="F1106">
        <v>1</v>
      </c>
      <c r="G1106">
        <v>16</v>
      </c>
      <c r="H1106">
        <v>105</v>
      </c>
      <c r="I1106">
        <v>0</v>
      </c>
      <c r="J1106">
        <v>0.99</v>
      </c>
      <c r="K1106">
        <v>15.84</v>
      </c>
    </row>
    <row r="1107" spans="1:11" x14ac:dyDescent="0.2">
      <c r="B1107">
        <v>5233</v>
      </c>
      <c r="C1107" t="s">
        <v>4761</v>
      </c>
      <c r="D1107">
        <v>11</v>
      </c>
      <c r="E1107">
        <v>16</v>
      </c>
      <c r="F1107">
        <v>0</v>
      </c>
      <c r="G1107">
        <v>0</v>
      </c>
      <c r="H1107">
        <v>133</v>
      </c>
      <c r="I1107">
        <v>0</v>
      </c>
      <c r="J1107">
        <v>0.99</v>
      </c>
      <c r="K1107">
        <v>0</v>
      </c>
    </row>
    <row r="1108" spans="1:11" x14ac:dyDescent="0.2">
      <c r="A1108">
        <v>61045</v>
      </c>
      <c r="B1108">
        <v>5234</v>
      </c>
      <c r="C1108" t="s">
        <v>4762</v>
      </c>
      <c r="D1108">
        <v>8</v>
      </c>
      <c r="E1108">
        <v>6</v>
      </c>
      <c r="F1108">
        <v>1215</v>
      </c>
      <c r="G1108">
        <v>7287</v>
      </c>
      <c r="H1108">
        <v>100</v>
      </c>
      <c r="I1108">
        <v>12.1</v>
      </c>
      <c r="J1108">
        <v>2.69</v>
      </c>
      <c r="K1108">
        <v>19602.03</v>
      </c>
    </row>
    <row r="1109" spans="1:11" x14ac:dyDescent="0.2">
      <c r="A1109">
        <v>70212</v>
      </c>
      <c r="B1109">
        <v>5235</v>
      </c>
      <c r="C1109" t="s">
        <v>4763</v>
      </c>
      <c r="D1109">
        <v>8</v>
      </c>
      <c r="E1109">
        <v>48</v>
      </c>
      <c r="F1109">
        <v>432</v>
      </c>
      <c r="G1109">
        <v>20736</v>
      </c>
      <c r="H1109">
        <v>91</v>
      </c>
      <c r="I1109">
        <v>4.7</v>
      </c>
      <c r="J1109">
        <v>0.55000000000000004</v>
      </c>
      <c r="K1109">
        <v>11404.8</v>
      </c>
    </row>
    <row r="1110" spans="1:11" x14ac:dyDescent="0.2">
      <c r="A1110">
        <v>70115</v>
      </c>
      <c r="B1110">
        <v>5242</v>
      </c>
      <c r="C1110" t="s">
        <v>4764</v>
      </c>
      <c r="D1110">
        <v>8</v>
      </c>
      <c r="E1110">
        <v>12</v>
      </c>
      <c r="F1110">
        <v>574</v>
      </c>
      <c r="G1110">
        <v>6888</v>
      </c>
      <c r="H1110">
        <v>182</v>
      </c>
      <c r="I1110">
        <v>3.2</v>
      </c>
      <c r="J1110">
        <v>1.49</v>
      </c>
      <c r="K1110">
        <v>10263.120000000001</v>
      </c>
    </row>
    <row r="1111" spans="1:11" x14ac:dyDescent="0.2">
      <c r="A1111">
        <v>0</v>
      </c>
      <c r="B1111">
        <v>5243</v>
      </c>
      <c r="C1111" t="s">
        <v>4765</v>
      </c>
      <c r="D1111">
        <v>11</v>
      </c>
      <c r="E1111">
        <v>18</v>
      </c>
      <c r="F1111">
        <v>0</v>
      </c>
      <c r="G1111">
        <v>0</v>
      </c>
      <c r="H1111">
        <v>75</v>
      </c>
      <c r="I1111">
        <v>0</v>
      </c>
      <c r="J1111">
        <v>2.15</v>
      </c>
      <c r="K1111">
        <v>0</v>
      </c>
    </row>
    <row r="1112" spans="1:11" x14ac:dyDescent="0.2">
      <c r="A1112">
        <v>0</v>
      </c>
      <c r="B1112">
        <v>5244</v>
      </c>
      <c r="C1112" t="s">
        <v>4766</v>
      </c>
      <c r="D1112">
        <v>11</v>
      </c>
      <c r="E1112">
        <v>20</v>
      </c>
      <c r="F1112">
        <v>0</v>
      </c>
      <c r="G1112">
        <v>0</v>
      </c>
      <c r="H1112">
        <v>98</v>
      </c>
      <c r="I1112">
        <v>0</v>
      </c>
      <c r="J1112">
        <v>1.19</v>
      </c>
      <c r="K1112">
        <v>0</v>
      </c>
    </row>
    <row r="1113" spans="1:11" x14ac:dyDescent="0.2">
      <c r="A1113">
        <v>72247</v>
      </c>
      <c r="B1113">
        <v>5245</v>
      </c>
      <c r="C1113" t="s">
        <v>4767</v>
      </c>
      <c r="D1113">
        <v>8</v>
      </c>
      <c r="E1113">
        <v>15</v>
      </c>
      <c r="F1113">
        <v>227</v>
      </c>
      <c r="G1113">
        <v>3405</v>
      </c>
      <c r="H1113">
        <v>85</v>
      </c>
      <c r="I1113">
        <v>2.7</v>
      </c>
      <c r="J1113">
        <v>1.39</v>
      </c>
      <c r="K1113">
        <v>4732.95</v>
      </c>
    </row>
    <row r="1114" spans="1:11" x14ac:dyDescent="0.2">
      <c r="B1114">
        <v>5251</v>
      </c>
      <c r="C1114" t="s">
        <v>4768</v>
      </c>
      <c r="D1114">
        <v>11</v>
      </c>
      <c r="E1114">
        <v>12</v>
      </c>
      <c r="F1114">
        <v>0</v>
      </c>
      <c r="G1114">
        <v>0</v>
      </c>
      <c r="H1114">
        <v>48</v>
      </c>
      <c r="I1114">
        <v>0</v>
      </c>
      <c r="J1114">
        <v>1.49</v>
      </c>
      <c r="K1114">
        <v>0</v>
      </c>
    </row>
    <row r="1115" spans="1:11" x14ac:dyDescent="0.2">
      <c r="A1115">
        <v>70252</v>
      </c>
      <c r="B1115">
        <v>5253</v>
      </c>
      <c r="C1115" t="s">
        <v>4769</v>
      </c>
      <c r="D1115">
        <v>8</v>
      </c>
      <c r="E1115">
        <v>24</v>
      </c>
      <c r="F1115">
        <v>268</v>
      </c>
      <c r="G1115">
        <v>6432</v>
      </c>
      <c r="H1115">
        <v>140</v>
      </c>
      <c r="I1115">
        <v>1.9</v>
      </c>
      <c r="J1115">
        <v>1.49</v>
      </c>
      <c r="K1115">
        <v>9583.68</v>
      </c>
    </row>
    <row r="1116" spans="1:11" x14ac:dyDescent="0.2">
      <c r="A1116">
        <v>61058</v>
      </c>
      <c r="B1116">
        <v>5254</v>
      </c>
      <c r="C1116" t="s">
        <v>4770</v>
      </c>
      <c r="D1116">
        <v>8</v>
      </c>
      <c r="E1116">
        <v>6</v>
      </c>
      <c r="F1116">
        <v>323</v>
      </c>
      <c r="G1116">
        <v>1938</v>
      </c>
      <c r="H1116">
        <v>100</v>
      </c>
      <c r="I1116">
        <v>3.2</v>
      </c>
      <c r="J1116">
        <v>5.49</v>
      </c>
      <c r="K1116">
        <v>10639.62</v>
      </c>
    </row>
    <row r="1117" spans="1:11" x14ac:dyDescent="0.2">
      <c r="B1117">
        <v>5262</v>
      </c>
      <c r="C1117" t="s">
        <v>4771</v>
      </c>
      <c r="D1117">
        <v>11</v>
      </c>
      <c r="E1117">
        <v>16</v>
      </c>
      <c r="F1117">
        <v>0</v>
      </c>
      <c r="G1117">
        <v>0</v>
      </c>
      <c r="H1117">
        <v>133</v>
      </c>
      <c r="I1117">
        <v>0</v>
      </c>
      <c r="J1117">
        <v>0.99</v>
      </c>
      <c r="K1117">
        <v>0</v>
      </c>
    </row>
    <row r="1118" spans="1:11" x14ac:dyDescent="0.2">
      <c r="A1118">
        <v>70109</v>
      </c>
      <c r="B1118">
        <v>5266</v>
      </c>
      <c r="C1118" t="s">
        <v>4772</v>
      </c>
      <c r="D1118">
        <v>8</v>
      </c>
      <c r="E1118">
        <v>15</v>
      </c>
      <c r="F1118">
        <v>439</v>
      </c>
      <c r="G1118">
        <v>6583</v>
      </c>
      <c r="H1118">
        <v>72</v>
      </c>
      <c r="I1118">
        <v>6.1</v>
      </c>
      <c r="J1118">
        <v>1.59</v>
      </c>
      <c r="K1118">
        <v>10466.969999999999</v>
      </c>
    </row>
    <row r="1119" spans="1:11" x14ac:dyDescent="0.2">
      <c r="B1119">
        <v>5269</v>
      </c>
      <c r="C1119" t="s">
        <v>4773</v>
      </c>
      <c r="D1119">
        <v>11</v>
      </c>
      <c r="E1119">
        <v>24</v>
      </c>
      <c r="F1119">
        <v>0</v>
      </c>
      <c r="G1119">
        <v>0</v>
      </c>
      <c r="H1119">
        <v>200</v>
      </c>
      <c r="I1119">
        <v>0</v>
      </c>
      <c r="J1119">
        <v>0.69</v>
      </c>
      <c r="K1119">
        <v>0</v>
      </c>
    </row>
    <row r="1120" spans="1:11" x14ac:dyDescent="0.2">
      <c r="A1120">
        <v>70067</v>
      </c>
      <c r="B1120">
        <v>5284</v>
      </c>
      <c r="C1120" t="s">
        <v>4774</v>
      </c>
      <c r="D1120">
        <v>8</v>
      </c>
      <c r="E1120">
        <v>18</v>
      </c>
      <c r="F1120">
        <v>263</v>
      </c>
      <c r="G1120">
        <v>4734</v>
      </c>
      <c r="H1120">
        <v>84</v>
      </c>
      <c r="I1120">
        <v>3.1</v>
      </c>
      <c r="J1120">
        <v>2.89</v>
      </c>
      <c r="K1120">
        <v>13681.26</v>
      </c>
    </row>
    <row r="1121" spans="1:11" x14ac:dyDescent="0.2">
      <c r="A1121">
        <v>70071</v>
      </c>
      <c r="B1121">
        <v>5291</v>
      </c>
      <c r="C1121" t="s">
        <v>4775</v>
      </c>
      <c r="D1121">
        <v>8</v>
      </c>
      <c r="E1121">
        <v>14</v>
      </c>
      <c r="F1121">
        <v>734</v>
      </c>
      <c r="G1121">
        <v>10276</v>
      </c>
      <c r="H1121">
        <v>180</v>
      </c>
      <c r="I1121">
        <v>4.0999999999999996</v>
      </c>
      <c r="J1121">
        <v>1.25</v>
      </c>
      <c r="K1121">
        <v>12845</v>
      </c>
    </row>
    <row r="1122" spans="1:11" x14ac:dyDescent="0.2">
      <c r="A1122">
        <v>70069</v>
      </c>
      <c r="B1122">
        <v>5292</v>
      </c>
      <c r="C1122" t="s">
        <v>4776</v>
      </c>
      <c r="D1122">
        <v>8</v>
      </c>
      <c r="E1122">
        <v>16</v>
      </c>
      <c r="F1122">
        <v>657</v>
      </c>
      <c r="G1122">
        <v>10512</v>
      </c>
      <c r="H1122">
        <v>180</v>
      </c>
      <c r="I1122">
        <v>3.7</v>
      </c>
      <c r="J1122">
        <v>0.7</v>
      </c>
      <c r="K1122">
        <v>7358.4</v>
      </c>
    </row>
    <row r="1123" spans="1:11" x14ac:dyDescent="0.2">
      <c r="A1123">
        <v>70050</v>
      </c>
      <c r="B1123">
        <v>5293</v>
      </c>
      <c r="C1123" t="s">
        <v>4777</v>
      </c>
      <c r="D1123">
        <v>8</v>
      </c>
      <c r="E1123">
        <v>14</v>
      </c>
      <c r="F1123">
        <v>703</v>
      </c>
      <c r="G1123">
        <v>9842</v>
      </c>
      <c r="H1123">
        <v>150</v>
      </c>
      <c r="I1123">
        <v>4.7</v>
      </c>
      <c r="J1123">
        <v>0.85</v>
      </c>
      <c r="K1123">
        <v>8365.7000000000007</v>
      </c>
    </row>
    <row r="1124" spans="1:11" x14ac:dyDescent="0.2">
      <c r="A1124">
        <v>72265</v>
      </c>
      <c r="B1124">
        <v>5301</v>
      </c>
      <c r="C1124" t="s">
        <v>4778</v>
      </c>
      <c r="D1124">
        <v>8</v>
      </c>
      <c r="E1124">
        <v>24</v>
      </c>
      <c r="F1124">
        <v>245</v>
      </c>
      <c r="G1124">
        <v>5880</v>
      </c>
      <c r="H1124">
        <v>90</v>
      </c>
      <c r="I1124">
        <v>2.7</v>
      </c>
      <c r="J1124">
        <v>2.89</v>
      </c>
      <c r="K1124">
        <v>16993.2</v>
      </c>
    </row>
    <row r="1125" spans="1:11" x14ac:dyDescent="0.2">
      <c r="A1125">
        <v>71025</v>
      </c>
      <c r="B1125">
        <v>5304</v>
      </c>
      <c r="C1125" t="s">
        <v>4779</v>
      </c>
      <c r="D1125">
        <v>8</v>
      </c>
      <c r="E1125">
        <v>23</v>
      </c>
      <c r="F1125">
        <v>323</v>
      </c>
      <c r="G1125">
        <v>7429</v>
      </c>
      <c r="H1125">
        <v>32</v>
      </c>
      <c r="I1125">
        <v>10.1</v>
      </c>
      <c r="J1125">
        <v>0.99</v>
      </c>
      <c r="K1125">
        <v>7354.71</v>
      </c>
    </row>
    <row r="1126" spans="1:11" x14ac:dyDescent="0.2">
      <c r="A1126">
        <v>71028</v>
      </c>
      <c r="B1126">
        <v>5306</v>
      </c>
      <c r="C1126" t="s">
        <v>4780</v>
      </c>
      <c r="D1126">
        <v>8</v>
      </c>
      <c r="E1126">
        <v>31</v>
      </c>
      <c r="F1126">
        <v>585</v>
      </c>
      <c r="G1126">
        <v>18134</v>
      </c>
      <c r="H1126">
        <v>40</v>
      </c>
      <c r="I1126">
        <v>14.6</v>
      </c>
      <c r="J1126">
        <v>0.89</v>
      </c>
      <c r="K1126">
        <v>16139.26</v>
      </c>
    </row>
    <row r="1127" spans="1:11" x14ac:dyDescent="0.2">
      <c r="A1127">
        <v>71032</v>
      </c>
      <c r="B1127">
        <v>5311</v>
      </c>
      <c r="C1127" t="s">
        <v>4781</v>
      </c>
      <c r="D1127">
        <v>8</v>
      </c>
      <c r="E1127">
        <v>36</v>
      </c>
      <c r="F1127">
        <v>451</v>
      </c>
      <c r="G1127">
        <v>16236</v>
      </c>
      <c r="H1127">
        <v>36</v>
      </c>
      <c r="I1127">
        <v>12.5</v>
      </c>
      <c r="J1127">
        <v>1.29</v>
      </c>
      <c r="K1127">
        <v>20944.439999999999</v>
      </c>
    </row>
    <row r="1128" spans="1:11" x14ac:dyDescent="0.2">
      <c r="A1128">
        <v>70248</v>
      </c>
      <c r="B1128">
        <v>5319</v>
      </c>
      <c r="C1128" t="s">
        <v>4782</v>
      </c>
      <c r="D1128">
        <v>8</v>
      </c>
      <c r="E1128">
        <v>21</v>
      </c>
      <c r="F1128">
        <v>534</v>
      </c>
      <c r="G1128">
        <v>11214</v>
      </c>
      <c r="H1128">
        <v>192</v>
      </c>
      <c r="I1128">
        <v>2.8</v>
      </c>
      <c r="J1128">
        <v>0.65</v>
      </c>
      <c r="K1128">
        <v>7289.1</v>
      </c>
    </row>
    <row r="1129" spans="1:11" x14ac:dyDescent="0.2">
      <c r="A1129">
        <v>70100</v>
      </c>
      <c r="B1129">
        <v>5322</v>
      </c>
      <c r="C1129" t="s">
        <v>4783</v>
      </c>
      <c r="D1129">
        <v>8</v>
      </c>
      <c r="E1129">
        <v>20</v>
      </c>
      <c r="F1129">
        <v>199</v>
      </c>
      <c r="G1129">
        <v>3980</v>
      </c>
      <c r="H1129">
        <v>64</v>
      </c>
      <c r="I1129">
        <v>3.1</v>
      </c>
      <c r="J1129">
        <v>3.39</v>
      </c>
      <c r="K1129">
        <v>13492.2</v>
      </c>
    </row>
    <row r="1130" spans="1:11" x14ac:dyDescent="0.2">
      <c r="B1130">
        <v>5327</v>
      </c>
      <c r="C1130" t="s">
        <v>4784</v>
      </c>
      <c r="D1130">
        <v>11</v>
      </c>
      <c r="E1130">
        <v>24</v>
      </c>
      <c r="F1130">
        <v>0</v>
      </c>
      <c r="G1130">
        <v>0</v>
      </c>
      <c r="H1130">
        <v>150</v>
      </c>
      <c r="I1130">
        <v>0</v>
      </c>
      <c r="J1130">
        <v>1.45</v>
      </c>
      <c r="K1130">
        <v>0</v>
      </c>
    </row>
    <row r="1131" spans="1:11" x14ac:dyDescent="0.2">
      <c r="A1131">
        <v>70230</v>
      </c>
      <c r="B1131">
        <v>5329</v>
      </c>
      <c r="C1131" t="s">
        <v>4785</v>
      </c>
      <c r="D1131">
        <v>8</v>
      </c>
      <c r="E1131">
        <v>24</v>
      </c>
      <c r="F1131">
        <v>307</v>
      </c>
      <c r="G1131">
        <v>7368</v>
      </c>
      <c r="H1131">
        <v>147</v>
      </c>
      <c r="I1131">
        <v>2.1</v>
      </c>
      <c r="J1131">
        <v>2.19</v>
      </c>
      <c r="K1131">
        <v>16135.92</v>
      </c>
    </row>
    <row r="1132" spans="1:11" x14ac:dyDescent="0.2">
      <c r="B1132">
        <v>5330</v>
      </c>
      <c r="C1132" t="s">
        <v>4786</v>
      </c>
      <c r="D1132">
        <v>11</v>
      </c>
      <c r="E1132">
        <v>4</v>
      </c>
      <c r="F1132">
        <v>0</v>
      </c>
      <c r="G1132">
        <v>0</v>
      </c>
      <c r="H1132">
        <v>50</v>
      </c>
      <c r="I1132">
        <v>0</v>
      </c>
      <c r="J1132">
        <v>5.99</v>
      </c>
      <c r="K1132">
        <v>0</v>
      </c>
    </row>
    <row r="1133" spans="1:11" x14ac:dyDescent="0.2">
      <c r="A1133">
        <v>71003</v>
      </c>
      <c r="B1133">
        <v>5338</v>
      </c>
      <c r="C1133" t="s">
        <v>4787</v>
      </c>
      <c r="D1133">
        <v>8</v>
      </c>
      <c r="E1133">
        <v>9</v>
      </c>
      <c r="F1133">
        <v>1351</v>
      </c>
      <c r="G1133">
        <v>12159</v>
      </c>
      <c r="H1133">
        <v>72</v>
      </c>
      <c r="I1133">
        <v>18.8</v>
      </c>
      <c r="J1133">
        <v>2.09</v>
      </c>
      <c r="K1133">
        <v>25412.31</v>
      </c>
    </row>
    <row r="1134" spans="1:11" x14ac:dyDescent="0.2">
      <c r="A1134">
        <v>70074</v>
      </c>
      <c r="B1134">
        <v>5340</v>
      </c>
      <c r="C1134" t="s">
        <v>4788</v>
      </c>
      <c r="D1134">
        <v>8</v>
      </c>
      <c r="E1134">
        <v>15</v>
      </c>
      <c r="F1134">
        <v>547</v>
      </c>
      <c r="G1134">
        <v>8205</v>
      </c>
      <c r="H1134">
        <v>48</v>
      </c>
      <c r="I1134">
        <v>11.4</v>
      </c>
      <c r="J1134">
        <v>1.9</v>
      </c>
      <c r="K1134">
        <v>15589.5</v>
      </c>
    </row>
    <row r="1135" spans="1:11" x14ac:dyDescent="0.2">
      <c r="A1135">
        <v>70082</v>
      </c>
      <c r="B1135">
        <v>5342</v>
      </c>
      <c r="C1135" t="s">
        <v>4789</v>
      </c>
      <c r="D1135">
        <v>8</v>
      </c>
      <c r="E1135">
        <v>24</v>
      </c>
      <c r="F1135">
        <v>134</v>
      </c>
      <c r="G1135">
        <v>3214</v>
      </c>
      <c r="H1135">
        <v>63</v>
      </c>
      <c r="I1135">
        <v>2.1</v>
      </c>
      <c r="J1135">
        <v>3.69</v>
      </c>
      <c r="K1135">
        <v>11859.66</v>
      </c>
    </row>
    <row r="1136" spans="1:11" x14ac:dyDescent="0.2">
      <c r="A1136">
        <v>0</v>
      </c>
      <c r="B1136">
        <v>5343</v>
      </c>
      <c r="C1136" t="s">
        <v>4790</v>
      </c>
      <c r="D1136">
        <v>11</v>
      </c>
      <c r="E1136">
        <v>18</v>
      </c>
      <c r="F1136">
        <v>0</v>
      </c>
      <c r="G1136">
        <v>0</v>
      </c>
      <c r="H1136">
        <v>51</v>
      </c>
      <c r="I1136">
        <v>0</v>
      </c>
      <c r="J1136">
        <v>4.1900000000000004</v>
      </c>
      <c r="K1136">
        <v>0</v>
      </c>
    </row>
    <row r="1137" spans="1:11" x14ac:dyDescent="0.2">
      <c r="A1137">
        <v>70017</v>
      </c>
      <c r="B1137">
        <v>5344</v>
      </c>
      <c r="C1137" t="s">
        <v>4791</v>
      </c>
      <c r="D1137">
        <v>8</v>
      </c>
      <c r="E1137">
        <v>18</v>
      </c>
      <c r="F1137">
        <v>294</v>
      </c>
      <c r="G1137">
        <v>5292</v>
      </c>
      <c r="H1137">
        <v>72</v>
      </c>
      <c r="I1137">
        <v>4.0999999999999996</v>
      </c>
      <c r="J1137">
        <v>2.09</v>
      </c>
      <c r="K1137">
        <v>11060.28</v>
      </c>
    </row>
    <row r="1138" spans="1:11" x14ac:dyDescent="0.2">
      <c r="A1138">
        <v>72258</v>
      </c>
      <c r="B1138">
        <v>5346</v>
      </c>
      <c r="C1138" t="s">
        <v>4792</v>
      </c>
      <c r="D1138">
        <v>8</v>
      </c>
      <c r="E1138">
        <v>20</v>
      </c>
      <c r="F1138">
        <v>201</v>
      </c>
      <c r="G1138">
        <v>4020</v>
      </c>
      <c r="H1138">
        <v>72</v>
      </c>
      <c r="I1138">
        <v>2.8</v>
      </c>
      <c r="J1138">
        <v>3.49</v>
      </c>
      <c r="K1138">
        <v>14029.8</v>
      </c>
    </row>
    <row r="1139" spans="1:11" x14ac:dyDescent="0.2">
      <c r="A1139">
        <v>72254</v>
      </c>
      <c r="B1139">
        <v>5347</v>
      </c>
      <c r="C1139" t="s">
        <v>4793</v>
      </c>
      <c r="D1139">
        <v>8</v>
      </c>
      <c r="E1139">
        <v>25</v>
      </c>
      <c r="F1139">
        <v>159</v>
      </c>
      <c r="G1139">
        <v>3975</v>
      </c>
      <c r="H1139">
        <v>48</v>
      </c>
      <c r="I1139">
        <v>3.3</v>
      </c>
      <c r="J1139">
        <v>2.85</v>
      </c>
      <c r="K1139">
        <v>11328.75</v>
      </c>
    </row>
    <row r="1140" spans="1:11" x14ac:dyDescent="0.2">
      <c r="A1140">
        <v>70016</v>
      </c>
      <c r="B1140">
        <v>5353</v>
      </c>
      <c r="C1140" t="s">
        <v>4794</v>
      </c>
      <c r="D1140">
        <v>8</v>
      </c>
      <c r="E1140">
        <v>12</v>
      </c>
      <c r="F1140">
        <v>124</v>
      </c>
      <c r="G1140">
        <v>1488</v>
      </c>
      <c r="H1140">
        <v>125</v>
      </c>
      <c r="I1140">
        <v>1</v>
      </c>
      <c r="J1140">
        <v>2.39</v>
      </c>
      <c r="K1140">
        <v>3556.32</v>
      </c>
    </row>
    <row r="1141" spans="1:11" x14ac:dyDescent="0.2">
      <c r="A1141">
        <v>71021</v>
      </c>
      <c r="B1141">
        <v>5359</v>
      </c>
      <c r="C1141" t="s">
        <v>4795</v>
      </c>
      <c r="D1141">
        <v>8</v>
      </c>
      <c r="E1141">
        <v>16</v>
      </c>
      <c r="F1141">
        <v>329</v>
      </c>
      <c r="G1141">
        <v>5264</v>
      </c>
      <c r="H1141">
        <v>36</v>
      </c>
      <c r="I1141">
        <v>9.1</v>
      </c>
      <c r="J1141">
        <v>3.19</v>
      </c>
      <c r="K1141">
        <v>16792.16</v>
      </c>
    </row>
    <row r="1142" spans="1:11" x14ac:dyDescent="0.2">
      <c r="A1142">
        <v>57467</v>
      </c>
      <c r="B1142">
        <v>5382</v>
      </c>
      <c r="C1142" t="s">
        <v>4796</v>
      </c>
      <c r="D1142">
        <v>10</v>
      </c>
      <c r="E1142">
        <v>8</v>
      </c>
      <c r="F1142">
        <v>0</v>
      </c>
      <c r="G1142">
        <v>-1</v>
      </c>
      <c r="H1142">
        <v>210</v>
      </c>
      <c r="I1142">
        <v>0</v>
      </c>
      <c r="J1142">
        <v>1.49</v>
      </c>
      <c r="K1142">
        <v>-1.49</v>
      </c>
    </row>
    <row r="1143" spans="1:11" x14ac:dyDescent="0.2">
      <c r="A1143">
        <v>95272</v>
      </c>
      <c r="B1143">
        <v>5404</v>
      </c>
      <c r="C1143" t="s">
        <v>4797</v>
      </c>
      <c r="D1143">
        <v>8</v>
      </c>
      <c r="E1143">
        <v>8</v>
      </c>
      <c r="F1143">
        <v>1729</v>
      </c>
      <c r="G1143">
        <v>13829</v>
      </c>
      <c r="H1143">
        <v>30</v>
      </c>
      <c r="I1143">
        <v>57.6</v>
      </c>
      <c r="J1143">
        <v>1.55</v>
      </c>
      <c r="K1143">
        <v>21434.95</v>
      </c>
    </row>
    <row r="1144" spans="1:11" x14ac:dyDescent="0.2">
      <c r="B1144">
        <v>5405</v>
      </c>
      <c r="C1144" t="s">
        <v>4798</v>
      </c>
      <c r="D1144">
        <v>11</v>
      </c>
      <c r="E1144">
        <v>1</v>
      </c>
      <c r="F1144">
        <v>-972</v>
      </c>
      <c r="G1144">
        <v>-972</v>
      </c>
      <c r="H1144">
        <v>162</v>
      </c>
      <c r="I1144">
        <v>-6</v>
      </c>
      <c r="J1144">
        <v>2.0499999999999998</v>
      </c>
      <c r="K1144">
        <v>-1992.6</v>
      </c>
    </row>
    <row r="1145" spans="1:11" x14ac:dyDescent="0.2">
      <c r="A1145">
        <v>95726</v>
      </c>
      <c r="B1145">
        <v>5406</v>
      </c>
      <c r="C1145" t="s">
        <v>4799</v>
      </c>
      <c r="D1145">
        <v>8</v>
      </c>
      <c r="E1145">
        <v>18</v>
      </c>
      <c r="F1145">
        <v>1535</v>
      </c>
      <c r="G1145">
        <v>27630</v>
      </c>
      <c r="H1145">
        <v>36</v>
      </c>
      <c r="I1145">
        <v>42.6</v>
      </c>
      <c r="J1145">
        <v>1.19</v>
      </c>
      <c r="K1145">
        <v>32879.699999999997</v>
      </c>
    </row>
    <row r="1146" spans="1:11" x14ac:dyDescent="0.2">
      <c r="A1146">
        <v>73214</v>
      </c>
      <c r="B1146">
        <v>5410</v>
      </c>
      <c r="C1146" t="s">
        <v>4800</v>
      </c>
      <c r="D1146">
        <v>8</v>
      </c>
      <c r="E1146">
        <v>12</v>
      </c>
      <c r="F1146">
        <v>816</v>
      </c>
      <c r="G1146">
        <v>9790</v>
      </c>
      <c r="H1146">
        <v>108</v>
      </c>
      <c r="I1146">
        <v>7.6</v>
      </c>
      <c r="J1146">
        <v>0.75</v>
      </c>
      <c r="K1146">
        <v>7342.5</v>
      </c>
    </row>
    <row r="1147" spans="1:11" x14ac:dyDescent="0.2">
      <c r="A1147">
        <v>95278</v>
      </c>
      <c r="B1147">
        <v>5413</v>
      </c>
      <c r="C1147" t="s">
        <v>4801</v>
      </c>
      <c r="D1147">
        <v>8</v>
      </c>
      <c r="E1147">
        <v>1</v>
      </c>
      <c r="F1147">
        <v>14760</v>
      </c>
      <c r="G1147">
        <v>14760</v>
      </c>
      <c r="H1147">
        <v>180</v>
      </c>
      <c r="I1147">
        <v>82</v>
      </c>
      <c r="J1147">
        <v>2.4900000000000002</v>
      </c>
      <c r="K1147">
        <v>36752.400000000001</v>
      </c>
    </row>
    <row r="1148" spans="1:11" x14ac:dyDescent="0.2">
      <c r="A1148">
        <v>95721</v>
      </c>
      <c r="B1148">
        <v>5414</v>
      </c>
      <c r="C1148" t="s">
        <v>4802</v>
      </c>
      <c r="D1148">
        <v>8</v>
      </c>
      <c r="E1148">
        <v>48</v>
      </c>
      <c r="F1148">
        <v>407</v>
      </c>
      <c r="G1148">
        <v>19536</v>
      </c>
      <c r="H1148">
        <v>36</v>
      </c>
      <c r="I1148">
        <v>11.3</v>
      </c>
      <c r="J1148">
        <v>0.65</v>
      </c>
      <c r="K1148">
        <v>12698.4</v>
      </c>
    </row>
    <row r="1149" spans="1:11" x14ac:dyDescent="0.2">
      <c r="A1149">
        <v>95744</v>
      </c>
      <c r="B1149">
        <v>5415</v>
      </c>
      <c r="C1149" t="s">
        <v>4803</v>
      </c>
      <c r="D1149">
        <v>8</v>
      </c>
      <c r="E1149">
        <v>6</v>
      </c>
      <c r="F1149">
        <v>2034</v>
      </c>
      <c r="G1149">
        <v>12204</v>
      </c>
      <c r="H1149">
        <v>36</v>
      </c>
      <c r="I1149">
        <v>56.5</v>
      </c>
      <c r="J1149">
        <v>3.39</v>
      </c>
      <c r="K1149">
        <v>41371.56</v>
      </c>
    </row>
    <row r="1150" spans="1:11" x14ac:dyDescent="0.2">
      <c r="A1150">
        <v>95120</v>
      </c>
      <c r="B1150">
        <v>5422</v>
      </c>
      <c r="C1150" t="s">
        <v>4804</v>
      </c>
      <c r="D1150">
        <v>8</v>
      </c>
      <c r="E1150">
        <v>1</v>
      </c>
      <c r="F1150">
        <v>6718</v>
      </c>
      <c r="G1150">
        <v>6718</v>
      </c>
      <c r="H1150">
        <v>140</v>
      </c>
      <c r="I1150">
        <v>48</v>
      </c>
      <c r="J1150">
        <v>3.65</v>
      </c>
      <c r="K1150">
        <v>24520.7</v>
      </c>
    </row>
    <row r="1151" spans="1:11" x14ac:dyDescent="0.2">
      <c r="B1151">
        <v>5430</v>
      </c>
      <c r="C1151" t="s">
        <v>4805</v>
      </c>
      <c r="D1151">
        <v>10</v>
      </c>
      <c r="E1151">
        <v>1</v>
      </c>
      <c r="F1151">
        <v>0</v>
      </c>
      <c r="G1151">
        <v>0</v>
      </c>
      <c r="H1151">
        <v>91</v>
      </c>
      <c r="I1151">
        <v>0</v>
      </c>
      <c r="J1151">
        <v>2.7</v>
      </c>
      <c r="K1151">
        <v>0</v>
      </c>
    </row>
    <row r="1152" spans="1:11" x14ac:dyDescent="0.2">
      <c r="A1152">
        <v>57416</v>
      </c>
      <c r="B1152">
        <v>5441</v>
      </c>
      <c r="C1152" t="s">
        <v>4806</v>
      </c>
      <c r="D1152">
        <v>11</v>
      </c>
      <c r="E1152">
        <v>1</v>
      </c>
      <c r="F1152">
        <v>113</v>
      </c>
      <c r="G1152">
        <v>113</v>
      </c>
      <c r="H1152">
        <v>112</v>
      </c>
      <c r="I1152">
        <v>1</v>
      </c>
      <c r="J1152">
        <v>2.29</v>
      </c>
      <c r="K1152">
        <v>258.77</v>
      </c>
    </row>
    <row r="1153" spans="1:11" x14ac:dyDescent="0.2">
      <c r="A1153">
        <v>71012</v>
      </c>
      <c r="B1153">
        <v>5444</v>
      </c>
      <c r="C1153" t="s">
        <v>4807</v>
      </c>
      <c r="D1153">
        <v>8</v>
      </c>
      <c r="E1153">
        <v>8</v>
      </c>
      <c r="F1153">
        <v>395</v>
      </c>
      <c r="G1153">
        <v>3160</v>
      </c>
      <c r="H1153">
        <v>112</v>
      </c>
      <c r="I1153">
        <v>3.5</v>
      </c>
      <c r="J1153">
        <v>1.79</v>
      </c>
      <c r="K1153">
        <v>5656.4</v>
      </c>
    </row>
    <row r="1154" spans="1:11" x14ac:dyDescent="0.2">
      <c r="A1154">
        <v>91103</v>
      </c>
      <c r="B1154">
        <v>5453</v>
      </c>
      <c r="C1154" t="s">
        <v>4808</v>
      </c>
      <c r="D1154">
        <v>8</v>
      </c>
      <c r="E1154">
        <v>1</v>
      </c>
      <c r="F1154">
        <v>1762</v>
      </c>
      <c r="G1154">
        <v>1762</v>
      </c>
      <c r="H1154">
        <v>150</v>
      </c>
      <c r="I1154">
        <v>11.7</v>
      </c>
      <c r="J1154">
        <v>6.95</v>
      </c>
      <c r="K1154">
        <v>12245.9</v>
      </c>
    </row>
    <row r="1155" spans="1:11" x14ac:dyDescent="0.2">
      <c r="A1155">
        <v>95731</v>
      </c>
      <c r="B1155">
        <v>5457</v>
      </c>
      <c r="C1155" t="s">
        <v>4809</v>
      </c>
      <c r="D1155">
        <v>8</v>
      </c>
      <c r="E1155">
        <v>21</v>
      </c>
      <c r="F1155">
        <v>1455</v>
      </c>
      <c r="G1155">
        <v>30555</v>
      </c>
      <c r="H1155">
        <v>60</v>
      </c>
      <c r="I1155">
        <v>24.3</v>
      </c>
      <c r="J1155">
        <v>0.77</v>
      </c>
      <c r="K1155">
        <v>23527.35</v>
      </c>
    </row>
    <row r="1156" spans="1:11" x14ac:dyDescent="0.2">
      <c r="A1156">
        <v>37504</v>
      </c>
      <c r="B1156">
        <v>5462</v>
      </c>
      <c r="C1156" t="s">
        <v>4810</v>
      </c>
      <c r="D1156">
        <v>10</v>
      </c>
      <c r="E1156">
        <v>20</v>
      </c>
      <c r="F1156">
        <v>0</v>
      </c>
      <c r="G1156">
        <v>0</v>
      </c>
      <c r="H1156">
        <v>91</v>
      </c>
      <c r="I1156">
        <v>0</v>
      </c>
      <c r="J1156">
        <v>3.29</v>
      </c>
      <c r="K1156">
        <v>0</v>
      </c>
    </row>
    <row r="1157" spans="1:11" x14ac:dyDescent="0.2">
      <c r="A1157">
        <v>73058</v>
      </c>
      <c r="B1157">
        <v>5476</v>
      </c>
      <c r="C1157" t="s">
        <v>4811</v>
      </c>
      <c r="D1157">
        <v>8</v>
      </c>
      <c r="E1157">
        <v>40</v>
      </c>
      <c r="F1157">
        <v>565</v>
      </c>
      <c r="G1157">
        <v>22600</v>
      </c>
      <c r="H1157">
        <v>126</v>
      </c>
      <c r="I1157">
        <v>4.5</v>
      </c>
      <c r="J1157">
        <v>0.99</v>
      </c>
      <c r="K1157">
        <v>22374</v>
      </c>
    </row>
    <row r="1158" spans="1:11" x14ac:dyDescent="0.2">
      <c r="A1158">
        <v>45500</v>
      </c>
      <c r="B1158">
        <v>5478</v>
      </c>
      <c r="C1158" t="s">
        <v>4812</v>
      </c>
      <c r="D1158">
        <v>10</v>
      </c>
      <c r="E1158">
        <v>18</v>
      </c>
      <c r="F1158">
        <v>3</v>
      </c>
      <c r="G1158">
        <v>54</v>
      </c>
      <c r="H1158">
        <v>192</v>
      </c>
      <c r="I1158">
        <v>0</v>
      </c>
      <c r="J1158">
        <v>0.89</v>
      </c>
      <c r="K1158">
        <v>48.06</v>
      </c>
    </row>
    <row r="1159" spans="1:11" x14ac:dyDescent="0.2">
      <c r="A1159">
        <v>73030</v>
      </c>
      <c r="B1159">
        <v>5482</v>
      </c>
      <c r="C1159" t="s">
        <v>4813</v>
      </c>
      <c r="D1159">
        <v>8</v>
      </c>
      <c r="E1159">
        <v>18</v>
      </c>
      <c r="F1159">
        <v>1655</v>
      </c>
      <c r="G1159">
        <v>29790</v>
      </c>
      <c r="H1159">
        <v>176</v>
      </c>
      <c r="I1159">
        <v>9.4</v>
      </c>
      <c r="J1159">
        <v>1.79</v>
      </c>
      <c r="K1159">
        <v>53324.1</v>
      </c>
    </row>
    <row r="1160" spans="1:11" x14ac:dyDescent="0.2">
      <c r="A1160">
        <v>73027</v>
      </c>
      <c r="B1160">
        <v>5483</v>
      </c>
      <c r="C1160" t="s">
        <v>4814</v>
      </c>
      <c r="D1160">
        <v>8</v>
      </c>
      <c r="E1160">
        <v>24</v>
      </c>
      <c r="F1160">
        <v>1161</v>
      </c>
      <c r="G1160">
        <v>27864</v>
      </c>
      <c r="H1160">
        <v>176</v>
      </c>
      <c r="I1160">
        <v>6.6</v>
      </c>
      <c r="J1160">
        <v>1.79</v>
      </c>
      <c r="K1160">
        <v>49876.56</v>
      </c>
    </row>
    <row r="1161" spans="1:11" x14ac:dyDescent="0.2">
      <c r="A1161">
        <v>35687</v>
      </c>
      <c r="B1161">
        <v>5484</v>
      </c>
      <c r="C1161" t="s">
        <v>4815</v>
      </c>
      <c r="D1161">
        <v>10</v>
      </c>
      <c r="E1161">
        <v>9</v>
      </c>
      <c r="F1161">
        <v>0</v>
      </c>
      <c r="G1161">
        <v>0</v>
      </c>
      <c r="H1161">
        <v>96</v>
      </c>
      <c r="I1161">
        <v>0</v>
      </c>
      <c r="J1161">
        <v>3.25</v>
      </c>
      <c r="K1161">
        <v>0</v>
      </c>
    </row>
    <row r="1162" spans="1:11" x14ac:dyDescent="0.2">
      <c r="A1162">
        <v>74157</v>
      </c>
      <c r="B1162">
        <v>5486</v>
      </c>
      <c r="C1162" t="s">
        <v>4816</v>
      </c>
      <c r="D1162">
        <v>8</v>
      </c>
      <c r="E1162">
        <v>12</v>
      </c>
      <c r="F1162">
        <v>591</v>
      </c>
      <c r="G1162">
        <v>7092</v>
      </c>
      <c r="H1162">
        <v>90</v>
      </c>
      <c r="I1162">
        <v>6.6</v>
      </c>
      <c r="J1162">
        <v>1.36</v>
      </c>
      <c r="K1162">
        <v>9645.1200000000008</v>
      </c>
    </row>
    <row r="1163" spans="1:11" x14ac:dyDescent="0.2">
      <c r="A1163">
        <v>46626</v>
      </c>
      <c r="B1163">
        <v>5496</v>
      </c>
      <c r="C1163" t="s">
        <v>4817</v>
      </c>
      <c r="D1163">
        <v>10</v>
      </c>
      <c r="E1163">
        <v>35</v>
      </c>
      <c r="F1163">
        <v>0</v>
      </c>
      <c r="G1163">
        <v>0</v>
      </c>
      <c r="H1163">
        <v>64</v>
      </c>
      <c r="I1163">
        <v>0</v>
      </c>
      <c r="J1163">
        <v>2.59</v>
      </c>
      <c r="K1163">
        <v>0</v>
      </c>
    </row>
    <row r="1164" spans="1:11" x14ac:dyDescent="0.2">
      <c r="A1164">
        <v>99456</v>
      </c>
      <c r="B1164">
        <v>5498</v>
      </c>
      <c r="C1164" t="s">
        <v>4818</v>
      </c>
      <c r="D1164">
        <v>6</v>
      </c>
      <c r="E1164">
        <v>12</v>
      </c>
      <c r="F1164">
        <v>0</v>
      </c>
      <c r="G1164">
        <v>0</v>
      </c>
      <c r="H1164">
        <v>54</v>
      </c>
      <c r="I1164">
        <v>0</v>
      </c>
      <c r="J1164">
        <v>3.19</v>
      </c>
      <c r="K1164">
        <v>0</v>
      </c>
    </row>
    <row r="1165" spans="1:11" x14ac:dyDescent="0.2">
      <c r="A1165">
        <v>91093</v>
      </c>
      <c r="B1165">
        <v>5508</v>
      </c>
      <c r="C1165" t="s">
        <v>4819</v>
      </c>
      <c r="D1165">
        <v>8</v>
      </c>
      <c r="E1165">
        <v>1</v>
      </c>
      <c r="F1165">
        <v>2124</v>
      </c>
      <c r="G1165">
        <v>2124</v>
      </c>
      <c r="H1165">
        <v>80</v>
      </c>
      <c r="I1165">
        <v>26.6</v>
      </c>
      <c r="J1165">
        <v>2.79</v>
      </c>
      <c r="K1165">
        <v>5925.96</v>
      </c>
    </row>
    <row r="1166" spans="1:11" x14ac:dyDescent="0.2">
      <c r="A1166">
        <v>1501</v>
      </c>
      <c r="B1166">
        <v>5512</v>
      </c>
      <c r="C1166" t="s">
        <v>4820</v>
      </c>
      <c r="D1166">
        <v>6</v>
      </c>
      <c r="E1166">
        <v>4</v>
      </c>
      <c r="F1166">
        <v>2</v>
      </c>
      <c r="G1166">
        <v>8</v>
      </c>
      <c r="H1166">
        <v>64</v>
      </c>
      <c r="I1166">
        <v>0</v>
      </c>
      <c r="J1166">
        <v>5.99</v>
      </c>
      <c r="K1166">
        <v>47.92</v>
      </c>
    </row>
    <row r="1167" spans="1:11" x14ac:dyDescent="0.2">
      <c r="A1167">
        <v>57569</v>
      </c>
      <c r="B1167">
        <v>5514</v>
      </c>
      <c r="C1167" t="s">
        <v>4821</v>
      </c>
      <c r="D1167">
        <v>10</v>
      </c>
      <c r="E1167">
        <v>6</v>
      </c>
      <c r="F1167">
        <v>3</v>
      </c>
      <c r="G1167">
        <v>18</v>
      </c>
      <c r="H1167">
        <v>48</v>
      </c>
      <c r="I1167">
        <v>0.1</v>
      </c>
      <c r="J1167">
        <v>2</v>
      </c>
      <c r="K1167">
        <v>36</v>
      </c>
    </row>
    <row r="1168" spans="1:11" x14ac:dyDescent="0.2">
      <c r="B1168">
        <v>5527</v>
      </c>
      <c r="C1168" t="s">
        <v>4822</v>
      </c>
      <c r="D1168">
        <v>11</v>
      </c>
      <c r="E1168">
        <v>1</v>
      </c>
      <c r="F1168">
        <v>-46</v>
      </c>
      <c r="G1168">
        <v>-46</v>
      </c>
      <c r="H1168">
        <v>64</v>
      </c>
      <c r="I1168">
        <v>-0.7</v>
      </c>
      <c r="J1168">
        <v>4.29</v>
      </c>
      <c r="K1168">
        <v>-197.34</v>
      </c>
    </row>
    <row r="1169" spans="1:12" x14ac:dyDescent="0.2">
      <c r="A1169">
        <v>99664</v>
      </c>
      <c r="B1169">
        <v>5538</v>
      </c>
      <c r="C1169" t="s">
        <v>4823</v>
      </c>
      <c r="D1169">
        <v>6</v>
      </c>
      <c r="E1169">
        <v>4</v>
      </c>
      <c r="F1169">
        <v>0</v>
      </c>
      <c r="G1169">
        <v>0</v>
      </c>
      <c r="H1169">
        <v>108</v>
      </c>
      <c r="I1169">
        <v>0</v>
      </c>
      <c r="J1169">
        <v>6.49</v>
      </c>
      <c r="K1169">
        <v>0</v>
      </c>
    </row>
    <row r="1170" spans="1:12" x14ac:dyDescent="0.2">
      <c r="A1170">
        <v>85245</v>
      </c>
      <c r="B1170">
        <v>5550</v>
      </c>
      <c r="C1170" t="s">
        <v>4824</v>
      </c>
      <c r="D1170">
        <v>10</v>
      </c>
      <c r="E1170">
        <v>10</v>
      </c>
      <c r="F1170">
        <v>325</v>
      </c>
      <c r="G1170">
        <v>3250</v>
      </c>
      <c r="H1170">
        <v>96</v>
      </c>
      <c r="I1170">
        <v>3.4</v>
      </c>
      <c r="J1170">
        <v>2.29</v>
      </c>
      <c r="K1170">
        <v>7442.5</v>
      </c>
    </row>
    <row r="1171" spans="1:12" x14ac:dyDescent="0.2">
      <c r="A1171">
        <v>85241</v>
      </c>
      <c r="B1171">
        <v>5568</v>
      </c>
      <c r="C1171" t="s">
        <v>4825</v>
      </c>
      <c r="D1171">
        <v>10</v>
      </c>
      <c r="E1171">
        <v>8</v>
      </c>
      <c r="F1171">
        <v>266</v>
      </c>
      <c r="G1171">
        <v>2128</v>
      </c>
      <c r="H1171">
        <v>84</v>
      </c>
      <c r="I1171">
        <v>3.2</v>
      </c>
      <c r="J1171">
        <v>2.39</v>
      </c>
      <c r="K1171">
        <v>5085.92</v>
      </c>
    </row>
    <row r="1172" spans="1:12" x14ac:dyDescent="0.2">
      <c r="A1172">
        <v>67252</v>
      </c>
      <c r="B1172">
        <v>5609</v>
      </c>
      <c r="C1172" t="s">
        <v>4826</v>
      </c>
      <c r="D1172">
        <v>8</v>
      </c>
      <c r="E1172">
        <v>10</v>
      </c>
      <c r="F1172">
        <v>1319</v>
      </c>
      <c r="G1172">
        <v>13190</v>
      </c>
      <c r="H1172">
        <v>80</v>
      </c>
      <c r="I1172">
        <v>16.5</v>
      </c>
      <c r="J1172">
        <v>1.55</v>
      </c>
      <c r="K1172">
        <v>20444.5</v>
      </c>
    </row>
    <row r="1173" spans="1:12" x14ac:dyDescent="0.2">
      <c r="A1173">
        <v>91126</v>
      </c>
      <c r="B1173">
        <v>5625</v>
      </c>
      <c r="C1173" t="s">
        <v>4827</v>
      </c>
      <c r="D1173">
        <v>8</v>
      </c>
      <c r="E1173">
        <v>1</v>
      </c>
      <c r="F1173">
        <v>58</v>
      </c>
      <c r="G1173">
        <v>58</v>
      </c>
      <c r="H1173">
        <v>40</v>
      </c>
      <c r="I1173">
        <v>1.5</v>
      </c>
      <c r="J1173">
        <v>9.89</v>
      </c>
      <c r="K1173">
        <v>573.62</v>
      </c>
    </row>
    <row r="1174" spans="1:12" x14ac:dyDescent="0.2">
      <c r="A1174">
        <v>99402</v>
      </c>
      <c r="B1174">
        <v>5647</v>
      </c>
      <c r="C1174" t="s">
        <v>4828</v>
      </c>
      <c r="D1174">
        <v>10</v>
      </c>
      <c r="E1174">
        <v>12</v>
      </c>
      <c r="F1174">
        <v>0</v>
      </c>
      <c r="G1174">
        <v>0</v>
      </c>
      <c r="H1174">
        <v>104</v>
      </c>
      <c r="I1174">
        <v>0</v>
      </c>
      <c r="J1174">
        <v>4.49</v>
      </c>
      <c r="K1174">
        <v>0</v>
      </c>
    </row>
    <row r="1175" spans="1:12" x14ac:dyDescent="0.2">
      <c r="A1175">
        <v>85250</v>
      </c>
      <c r="B1175">
        <v>5657</v>
      </c>
      <c r="C1175" t="s">
        <v>4829</v>
      </c>
      <c r="D1175">
        <v>10</v>
      </c>
      <c r="E1175">
        <v>8</v>
      </c>
      <c r="F1175">
        <v>284</v>
      </c>
      <c r="G1175">
        <v>2272</v>
      </c>
      <c r="H1175">
        <v>40</v>
      </c>
      <c r="I1175">
        <v>7.1</v>
      </c>
      <c r="J1175">
        <v>3.19</v>
      </c>
      <c r="K1175">
        <v>7247.68</v>
      </c>
    </row>
    <row r="1176" spans="1:12" x14ac:dyDescent="0.2">
      <c r="A1176">
        <v>3643</v>
      </c>
      <c r="B1176">
        <v>5698</v>
      </c>
      <c r="C1176" t="s">
        <v>4830</v>
      </c>
      <c r="D1176">
        <v>6</v>
      </c>
      <c r="E1176">
        <v>252</v>
      </c>
      <c r="F1176">
        <v>0</v>
      </c>
      <c r="G1176">
        <v>0</v>
      </c>
      <c r="H1176">
        <v>2</v>
      </c>
      <c r="I1176">
        <v>0</v>
      </c>
      <c r="J1176">
        <v>1.65</v>
      </c>
      <c r="K1176">
        <v>0</v>
      </c>
    </row>
    <row r="1177" spans="1:12" x14ac:dyDescent="0.2">
      <c r="A1177">
        <v>48623</v>
      </c>
      <c r="B1177">
        <v>5704</v>
      </c>
      <c r="C1177" t="s">
        <v>4831</v>
      </c>
      <c r="D1177">
        <v>10</v>
      </c>
      <c r="E1177">
        <v>6</v>
      </c>
      <c r="F1177">
        <v>1</v>
      </c>
      <c r="G1177">
        <v>6</v>
      </c>
      <c r="H1177">
        <v>116</v>
      </c>
      <c r="I1177">
        <v>0</v>
      </c>
      <c r="J1177">
        <v>9.99</v>
      </c>
      <c r="K1177">
        <v>59.94</v>
      </c>
    </row>
    <row r="1178" spans="1:12" x14ac:dyDescent="0.2">
      <c r="A1178">
        <v>57308</v>
      </c>
      <c r="B1178">
        <v>5705</v>
      </c>
      <c r="C1178" t="s">
        <v>4832</v>
      </c>
      <c r="D1178">
        <v>10</v>
      </c>
      <c r="E1178">
        <v>12</v>
      </c>
      <c r="F1178">
        <v>0</v>
      </c>
      <c r="G1178">
        <v>0</v>
      </c>
      <c r="H1178">
        <v>70</v>
      </c>
      <c r="I1178">
        <v>0</v>
      </c>
      <c r="J1178">
        <v>0.5</v>
      </c>
      <c r="K1178">
        <v>0</v>
      </c>
    </row>
    <row r="1179" spans="1:12" x14ac:dyDescent="0.2">
      <c r="B1179">
        <v>5712</v>
      </c>
      <c r="C1179" t="s">
        <v>4833</v>
      </c>
      <c r="D1179">
        <v>11</v>
      </c>
      <c r="E1179">
        <v>1</v>
      </c>
      <c r="F1179">
        <v>0</v>
      </c>
      <c r="G1179">
        <v>0</v>
      </c>
      <c r="H1179">
        <v>64</v>
      </c>
      <c r="I1179">
        <v>0</v>
      </c>
      <c r="J1179">
        <v>5.99</v>
      </c>
      <c r="K1179">
        <v>0</v>
      </c>
    </row>
    <row r="1180" spans="1:12" x14ac:dyDescent="0.2">
      <c r="A1180">
        <v>99978</v>
      </c>
      <c r="B1180">
        <v>5719</v>
      </c>
      <c r="C1180" t="s">
        <v>4834</v>
      </c>
      <c r="D1180">
        <v>10</v>
      </c>
      <c r="E1180">
        <v>8</v>
      </c>
      <c r="F1180">
        <v>0</v>
      </c>
      <c r="G1180">
        <v>0</v>
      </c>
      <c r="H1180">
        <v>90</v>
      </c>
      <c r="I1180">
        <v>0</v>
      </c>
      <c r="J1180">
        <v>3.69</v>
      </c>
      <c r="K1180">
        <v>0</v>
      </c>
    </row>
    <row r="1181" spans="1:12" x14ac:dyDescent="0.2">
      <c r="A1181">
        <v>46500</v>
      </c>
      <c r="B1181">
        <v>5720</v>
      </c>
      <c r="C1181" t="s">
        <v>4835</v>
      </c>
      <c r="D1181">
        <v>10</v>
      </c>
      <c r="E1181">
        <v>8</v>
      </c>
      <c r="F1181">
        <v>0</v>
      </c>
      <c r="G1181">
        <v>0</v>
      </c>
      <c r="H1181">
        <v>84</v>
      </c>
      <c r="I1181">
        <v>0</v>
      </c>
      <c r="J1181">
        <v>2.99</v>
      </c>
      <c r="K1181">
        <v>0</v>
      </c>
    </row>
    <row r="1182" spans="1:12" x14ac:dyDescent="0.2">
      <c r="A1182">
        <v>85217</v>
      </c>
      <c r="B1182">
        <v>5721</v>
      </c>
      <c r="C1182" t="s">
        <v>4836</v>
      </c>
      <c r="D1182">
        <v>9</v>
      </c>
      <c r="E1182">
        <v>6</v>
      </c>
      <c r="F1182">
        <v>-1</v>
      </c>
      <c r="G1182">
        <v>-6</v>
      </c>
      <c r="H1182">
        <v>104</v>
      </c>
      <c r="I1182">
        <v>0</v>
      </c>
      <c r="J1182">
        <v>3.99</v>
      </c>
      <c r="K1182">
        <v>-23.94</v>
      </c>
    </row>
    <row r="1183" spans="1:12" x14ac:dyDescent="0.2">
      <c r="A1183">
        <v>29501</v>
      </c>
      <c r="B1183">
        <v>5724</v>
      </c>
      <c r="C1183" t="s">
        <v>4837</v>
      </c>
      <c r="D1183">
        <v>10</v>
      </c>
      <c r="E1183">
        <v>6</v>
      </c>
      <c r="F1183">
        <v>0</v>
      </c>
      <c r="G1183">
        <v>0</v>
      </c>
      <c r="H1183">
        <v>126</v>
      </c>
      <c r="I1183">
        <v>0</v>
      </c>
      <c r="J1183">
        <v>2.19</v>
      </c>
      <c r="K1183">
        <v>0</v>
      </c>
    </row>
    <row r="1184" spans="1:12" x14ac:dyDescent="0.2">
      <c r="B1184">
        <v>5731</v>
      </c>
      <c r="C1184" t="s">
        <v>4838</v>
      </c>
      <c r="D1184">
        <v>12</v>
      </c>
      <c r="E1184">
        <v>6</v>
      </c>
      <c r="F1184">
        <v>0</v>
      </c>
      <c r="G1184">
        <v>0</v>
      </c>
      <c r="H1184">
        <v>60</v>
      </c>
      <c r="I1184">
        <v>0</v>
      </c>
      <c r="J1184">
        <v>2</v>
      </c>
      <c r="K1184">
        <v>0</v>
      </c>
      <c r="L1184" t="s">
        <v>3699</v>
      </c>
    </row>
    <row r="1185" spans="1:11" x14ac:dyDescent="0.2">
      <c r="B1185">
        <v>5732</v>
      </c>
      <c r="C1185" t="s">
        <v>4839</v>
      </c>
      <c r="D1185">
        <v>6</v>
      </c>
      <c r="E1185">
        <v>1</v>
      </c>
      <c r="F1185">
        <v>0</v>
      </c>
      <c r="G1185">
        <v>0</v>
      </c>
      <c r="H1185">
        <v>96</v>
      </c>
      <c r="I1185">
        <v>0</v>
      </c>
      <c r="J1185">
        <v>5.49</v>
      </c>
      <c r="K1185">
        <v>0</v>
      </c>
    </row>
    <row r="1186" spans="1:11" x14ac:dyDescent="0.2">
      <c r="A1186">
        <v>99633</v>
      </c>
      <c r="B1186">
        <v>5740</v>
      </c>
      <c r="C1186" t="s">
        <v>4840</v>
      </c>
      <c r="D1186">
        <v>6</v>
      </c>
      <c r="E1186">
        <v>8</v>
      </c>
      <c r="F1186">
        <v>0</v>
      </c>
      <c r="G1186">
        <v>0</v>
      </c>
      <c r="H1186">
        <v>144</v>
      </c>
      <c r="I1186">
        <v>0</v>
      </c>
      <c r="J1186">
        <v>3.29</v>
      </c>
      <c r="K1186">
        <v>0</v>
      </c>
    </row>
    <row r="1187" spans="1:11" x14ac:dyDescent="0.2">
      <c r="A1187">
        <v>70208</v>
      </c>
      <c r="B1187">
        <v>5748</v>
      </c>
      <c r="C1187" t="s">
        <v>4841</v>
      </c>
      <c r="D1187">
        <v>8</v>
      </c>
      <c r="E1187">
        <v>18</v>
      </c>
      <c r="F1187">
        <v>238</v>
      </c>
      <c r="G1187">
        <v>4284</v>
      </c>
      <c r="H1187">
        <v>160</v>
      </c>
      <c r="I1187">
        <v>1.5</v>
      </c>
      <c r="J1187">
        <v>2.59</v>
      </c>
      <c r="K1187">
        <v>11095.56</v>
      </c>
    </row>
    <row r="1188" spans="1:11" x14ac:dyDescent="0.2">
      <c r="A1188">
        <v>49500</v>
      </c>
      <c r="B1188">
        <v>5749</v>
      </c>
      <c r="C1188" t="s">
        <v>4842</v>
      </c>
      <c r="D1188">
        <v>10</v>
      </c>
      <c r="E1188">
        <v>8</v>
      </c>
      <c r="F1188">
        <v>3</v>
      </c>
      <c r="G1188">
        <v>24</v>
      </c>
      <c r="H1188">
        <v>70</v>
      </c>
      <c r="I1188">
        <v>0</v>
      </c>
      <c r="J1188">
        <v>2.89</v>
      </c>
      <c r="K1188">
        <v>69.36</v>
      </c>
    </row>
    <row r="1189" spans="1:11" x14ac:dyDescent="0.2">
      <c r="A1189">
        <v>48605</v>
      </c>
      <c r="B1189">
        <v>5750</v>
      </c>
      <c r="C1189" t="s">
        <v>4843</v>
      </c>
      <c r="D1189">
        <v>10</v>
      </c>
      <c r="E1189">
        <v>20</v>
      </c>
      <c r="F1189">
        <v>3</v>
      </c>
      <c r="G1189">
        <v>60</v>
      </c>
      <c r="H1189">
        <v>70</v>
      </c>
      <c r="I1189">
        <v>0</v>
      </c>
      <c r="J1189">
        <v>1.59</v>
      </c>
      <c r="K1189">
        <v>95.4</v>
      </c>
    </row>
    <row r="1190" spans="1:11" x14ac:dyDescent="0.2">
      <c r="A1190">
        <v>33504</v>
      </c>
      <c r="B1190">
        <v>5753</v>
      </c>
      <c r="C1190" t="s">
        <v>4844</v>
      </c>
      <c r="D1190">
        <v>10</v>
      </c>
      <c r="E1190">
        <v>8</v>
      </c>
      <c r="F1190">
        <v>0</v>
      </c>
      <c r="G1190">
        <v>0</v>
      </c>
      <c r="H1190">
        <v>30</v>
      </c>
      <c r="I1190">
        <v>0</v>
      </c>
      <c r="J1190">
        <v>2.69</v>
      </c>
      <c r="K1190">
        <v>0</v>
      </c>
    </row>
    <row r="1191" spans="1:11" x14ac:dyDescent="0.2">
      <c r="A1191">
        <v>66164</v>
      </c>
      <c r="B1191">
        <v>5759</v>
      </c>
      <c r="C1191" t="s">
        <v>4845</v>
      </c>
      <c r="D1191">
        <v>8</v>
      </c>
      <c r="E1191">
        <v>25</v>
      </c>
      <c r="F1191">
        <v>498</v>
      </c>
      <c r="G1191">
        <v>12450</v>
      </c>
      <c r="H1191">
        <v>36</v>
      </c>
      <c r="I1191">
        <v>13.8</v>
      </c>
      <c r="J1191">
        <v>1.77</v>
      </c>
      <c r="K1191">
        <v>22036.5</v>
      </c>
    </row>
    <row r="1192" spans="1:11" x14ac:dyDescent="0.2">
      <c r="A1192">
        <v>83217</v>
      </c>
      <c r="B1192">
        <v>5761</v>
      </c>
      <c r="C1192" t="s">
        <v>4846</v>
      </c>
      <c r="D1192">
        <v>8</v>
      </c>
      <c r="E1192">
        <v>5</v>
      </c>
      <c r="F1192">
        <v>416</v>
      </c>
      <c r="G1192">
        <v>2080</v>
      </c>
      <c r="H1192">
        <v>54</v>
      </c>
      <c r="I1192">
        <v>7.7</v>
      </c>
      <c r="J1192">
        <v>2.25</v>
      </c>
      <c r="K1192">
        <v>4680</v>
      </c>
    </row>
    <row r="1193" spans="1:11" x14ac:dyDescent="0.2">
      <c r="A1193">
        <v>2666</v>
      </c>
      <c r="B1193">
        <v>5766</v>
      </c>
      <c r="C1193" t="s">
        <v>4847</v>
      </c>
      <c r="D1193">
        <v>6</v>
      </c>
      <c r="E1193">
        <v>68</v>
      </c>
      <c r="F1193">
        <v>0</v>
      </c>
      <c r="G1193">
        <v>0</v>
      </c>
      <c r="H1193">
        <v>4</v>
      </c>
      <c r="I1193">
        <v>0</v>
      </c>
      <c r="J1193">
        <v>3</v>
      </c>
      <c r="K1193">
        <v>0</v>
      </c>
    </row>
    <row r="1194" spans="1:11" x14ac:dyDescent="0.2">
      <c r="A1194">
        <v>81091</v>
      </c>
      <c r="B1194">
        <v>5773</v>
      </c>
      <c r="C1194" t="s">
        <v>4848</v>
      </c>
      <c r="D1194">
        <v>8</v>
      </c>
      <c r="E1194">
        <v>24</v>
      </c>
      <c r="F1194">
        <v>16</v>
      </c>
      <c r="G1194">
        <v>384</v>
      </c>
      <c r="H1194">
        <v>99</v>
      </c>
      <c r="I1194">
        <v>0.2</v>
      </c>
      <c r="J1194">
        <v>2.19</v>
      </c>
      <c r="K1194">
        <v>840.96</v>
      </c>
    </row>
    <row r="1195" spans="1:11" x14ac:dyDescent="0.2">
      <c r="A1195">
        <v>57248</v>
      </c>
      <c r="B1195">
        <v>5777</v>
      </c>
      <c r="C1195" t="s">
        <v>4849</v>
      </c>
      <c r="D1195">
        <v>10</v>
      </c>
      <c r="E1195">
        <v>72</v>
      </c>
      <c r="F1195">
        <v>0</v>
      </c>
      <c r="G1195">
        <v>0</v>
      </c>
      <c r="H1195">
        <v>6</v>
      </c>
      <c r="I1195">
        <v>0</v>
      </c>
      <c r="J1195">
        <v>1.4</v>
      </c>
      <c r="K1195">
        <v>0</v>
      </c>
    </row>
    <row r="1196" spans="1:11" x14ac:dyDescent="0.2">
      <c r="A1196">
        <v>1633</v>
      </c>
      <c r="B1196">
        <v>5782</v>
      </c>
      <c r="C1196" t="s">
        <v>4850</v>
      </c>
      <c r="D1196">
        <v>6</v>
      </c>
      <c r="E1196">
        <v>102</v>
      </c>
      <c r="F1196">
        <v>0</v>
      </c>
      <c r="G1196">
        <v>21</v>
      </c>
      <c r="H1196">
        <v>2</v>
      </c>
      <c r="I1196">
        <v>0.1</v>
      </c>
      <c r="J1196">
        <v>5.47</v>
      </c>
      <c r="K1196">
        <v>114.87</v>
      </c>
    </row>
    <row r="1197" spans="1:11" x14ac:dyDescent="0.2">
      <c r="A1197">
        <v>99665</v>
      </c>
      <c r="B1197">
        <v>5783</v>
      </c>
      <c r="C1197" t="s">
        <v>4851</v>
      </c>
      <c r="D1197">
        <v>10</v>
      </c>
      <c r="E1197">
        <v>4</v>
      </c>
      <c r="F1197">
        <v>0</v>
      </c>
      <c r="G1197">
        <v>0</v>
      </c>
      <c r="H1197">
        <v>171</v>
      </c>
      <c r="I1197">
        <v>0</v>
      </c>
      <c r="J1197">
        <v>2.99</v>
      </c>
      <c r="K1197">
        <v>0</v>
      </c>
    </row>
    <row r="1198" spans="1:11" x14ac:dyDescent="0.2">
      <c r="A1198">
        <v>72016</v>
      </c>
      <c r="B1198">
        <v>5786</v>
      </c>
      <c r="C1198" t="s">
        <v>4852</v>
      </c>
      <c r="D1198">
        <v>8</v>
      </c>
      <c r="E1198">
        <v>28</v>
      </c>
      <c r="F1198">
        <v>132</v>
      </c>
      <c r="G1198">
        <v>3696</v>
      </c>
      <c r="H1198">
        <v>40</v>
      </c>
      <c r="I1198">
        <v>3.3</v>
      </c>
      <c r="J1198">
        <v>1.85</v>
      </c>
      <c r="K1198">
        <v>6837.6</v>
      </c>
    </row>
    <row r="1199" spans="1:11" x14ac:dyDescent="0.2">
      <c r="A1199">
        <v>95164</v>
      </c>
      <c r="B1199">
        <v>5790</v>
      </c>
      <c r="C1199" t="s">
        <v>4853</v>
      </c>
      <c r="D1199">
        <v>8</v>
      </c>
      <c r="E1199">
        <v>6</v>
      </c>
      <c r="F1199">
        <v>1680</v>
      </c>
      <c r="G1199">
        <v>10080</v>
      </c>
      <c r="H1199">
        <v>80</v>
      </c>
      <c r="I1199">
        <v>21</v>
      </c>
      <c r="J1199">
        <v>0.99</v>
      </c>
      <c r="K1199">
        <v>9979.2000000000007</v>
      </c>
    </row>
    <row r="1200" spans="1:11" x14ac:dyDescent="0.2">
      <c r="A1200">
        <v>0</v>
      </c>
      <c r="B1200">
        <v>5791</v>
      </c>
      <c r="C1200" t="s">
        <v>4854</v>
      </c>
      <c r="D1200">
        <v>12</v>
      </c>
      <c r="E1200">
        <v>6</v>
      </c>
      <c r="F1200">
        <v>10</v>
      </c>
      <c r="G1200">
        <v>60</v>
      </c>
      <c r="H1200">
        <v>155</v>
      </c>
      <c r="I1200">
        <v>0.1</v>
      </c>
      <c r="J1200">
        <v>8.49</v>
      </c>
      <c r="K1200">
        <v>509.4</v>
      </c>
    </row>
    <row r="1201" spans="1:11" x14ac:dyDescent="0.2">
      <c r="A1201">
        <v>62023</v>
      </c>
      <c r="B1201">
        <v>5791</v>
      </c>
      <c r="C1201" t="s">
        <v>4854</v>
      </c>
      <c r="D1201">
        <v>8</v>
      </c>
      <c r="E1201">
        <v>8</v>
      </c>
      <c r="F1201">
        <v>1056</v>
      </c>
      <c r="G1201">
        <v>8448</v>
      </c>
      <c r="H1201">
        <v>132</v>
      </c>
      <c r="I1201">
        <v>8</v>
      </c>
      <c r="J1201">
        <v>8.49</v>
      </c>
      <c r="K1201">
        <v>71723.520000000004</v>
      </c>
    </row>
    <row r="1202" spans="1:11" x14ac:dyDescent="0.2">
      <c r="A1202">
        <v>52660</v>
      </c>
      <c r="B1202">
        <v>5793</v>
      </c>
      <c r="C1202" t="s">
        <v>4855</v>
      </c>
      <c r="D1202">
        <v>6</v>
      </c>
      <c r="E1202">
        <v>8</v>
      </c>
      <c r="F1202">
        <v>160</v>
      </c>
      <c r="G1202">
        <v>1280</v>
      </c>
      <c r="H1202">
        <v>80</v>
      </c>
      <c r="I1202">
        <v>2</v>
      </c>
      <c r="J1202">
        <v>7.69</v>
      </c>
      <c r="K1202">
        <v>9843.2000000000007</v>
      </c>
    </row>
    <row r="1203" spans="1:11" x14ac:dyDescent="0.2">
      <c r="A1203">
        <v>70232</v>
      </c>
      <c r="B1203">
        <v>5796</v>
      </c>
      <c r="C1203" t="s">
        <v>4856</v>
      </c>
      <c r="D1203">
        <v>8</v>
      </c>
      <c r="E1203">
        <v>10</v>
      </c>
      <c r="F1203">
        <v>118</v>
      </c>
      <c r="G1203">
        <v>1180</v>
      </c>
      <c r="H1203">
        <v>48</v>
      </c>
      <c r="I1203">
        <v>2.5</v>
      </c>
      <c r="J1203">
        <v>12.99</v>
      </c>
      <c r="K1203">
        <v>15328.2</v>
      </c>
    </row>
    <row r="1204" spans="1:11" x14ac:dyDescent="0.2">
      <c r="A1204">
        <v>0</v>
      </c>
      <c r="B1204">
        <v>5796</v>
      </c>
      <c r="C1204" t="s">
        <v>4856</v>
      </c>
      <c r="D1204">
        <v>12</v>
      </c>
      <c r="E1204">
        <v>12</v>
      </c>
      <c r="F1204">
        <v>0</v>
      </c>
      <c r="G1204">
        <v>0</v>
      </c>
      <c r="H1204">
        <v>60</v>
      </c>
      <c r="I1204">
        <v>0</v>
      </c>
      <c r="J1204">
        <v>12.99</v>
      </c>
      <c r="K1204">
        <v>0</v>
      </c>
    </row>
    <row r="1205" spans="1:11" x14ac:dyDescent="0.2">
      <c r="A1205">
        <v>66080</v>
      </c>
      <c r="B1205">
        <v>5798</v>
      </c>
      <c r="C1205" t="s">
        <v>4857</v>
      </c>
      <c r="D1205">
        <v>8</v>
      </c>
      <c r="E1205">
        <v>16</v>
      </c>
      <c r="F1205">
        <v>169</v>
      </c>
      <c r="G1205">
        <v>2704</v>
      </c>
      <c r="H1205">
        <v>80</v>
      </c>
      <c r="I1205">
        <v>2.1</v>
      </c>
      <c r="J1205">
        <v>1.32</v>
      </c>
      <c r="K1205">
        <v>3569.28</v>
      </c>
    </row>
    <row r="1206" spans="1:11" x14ac:dyDescent="0.2">
      <c r="A1206">
        <v>81072</v>
      </c>
      <c r="B1206">
        <v>5800</v>
      </c>
      <c r="C1206" t="s">
        <v>4858</v>
      </c>
      <c r="D1206">
        <v>8</v>
      </c>
      <c r="E1206">
        <v>6</v>
      </c>
      <c r="F1206">
        <v>327</v>
      </c>
      <c r="G1206">
        <v>1962</v>
      </c>
      <c r="H1206">
        <v>54</v>
      </c>
      <c r="I1206">
        <v>6.1</v>
      </c>
      <c r="J1206">
        <v>1.25</v>
      </c>
      <c r="K1206">
        <v>2452.5</v>
      </c>
    </row>
    <row r="1207" spans="1:11" x14ac:dyDescent="0.2">
      <c r="A1207">
        <v>81093</v>
      </c>
      <c r="B1207">
        <v>5804</v>
      </c>
      <c r="C1207" t="s">
        <v>4859</v>
      </c>
      <c r="D1207">
        <v>8</v>
      </c>
      <c r="E1207">
        <v>16</v>
      </c>
      <c r="F1207">
        <v>123</v>
      </c>
      <c r="G1207">
        <v>1968</v>
      </c>
      <c r="H1207">
        <v>80</v>
      </c>
      <c r="I1207">
        <v>1.5</v>
      </c>
      <c r="J1207">
        <v>1.95</v>
      </c>
      <c r="K1207">
        <v>3837.6</v>
      </c>
    </row>
    <row r="1208" spans="1:11" x14ac:dyDescent="0.2">
      <c r="A1208">
        <v>65263</v>
      </c>
      <c r="B1208">
        <v>5805</v>
      </c>
      <c r="C1208" t="s">
        <v>4860</v>
      </c>
      <c r="D1208">
        <v>8</v>
      </c>
      <c r="E1208">
        <v>14</v>
      </c>
      <c r="F1208">
        <v>178</v>
      </c>
      <c r="G1208">
        <v>2493</v>
      </c>
      <c r="H1208">
        <v>84</v>
      </c>
      <c r="I1208">
        <v>2.1</v>
      </c>
      <c r="J1208">
        <v>1.68</v>
      </c>
      <c r="K1208">
        <v>4188.24</v>
      </c>
    </row>
    <row r="1209" spans="1:11" x14ac:dyDescent="0.2">
      <c r="A1209">
        <v>99666</v>
      </c>
      <c r="B1209">
        <v>5815</v>
      </c>
      <c r="C1209" t="s">
        <v>4861</v>
      </c>
      <c r="D1209">
        <v>10</v>
      </c>
      <c r="E1209">
        <v>4</v>
      </c>
      <c r="F1209">
        <v>0</v>
      </c>
      <c r="G1209">
        <v>0</v>
      </c>
      <c r="H1209">
        <v>171</v>
      </c>
      <c r="I1209">
        <v>0</v>
      </c>
      <c r="J1209">
        <v>2.99</v>
      </c>
      <c r="K1209">
        <v>0</v>
      </c>
    </row>
    <row r="1210" spans="1:11" x14ac:dyDescent="0.2">
      <c r="A1210">
        <v>89028</v>
      </c>
      <c r="B1210">
        <v>5816</v>
      </c>
      <c r="C1210" t="s">
        <v>4862</v>
      </c>
      <c r="D1210">
        <v>8</v>
      </c>
      <c r="E1210">
        <v>4</v>
      </c>
      <c r="F1210">
        <v>0</v>
      </c>
      <c r="G1210">
        <v>0</v>
      </c>
      <c r="H1210">
        <v>171</v>
      </c>
      <c r="I1210">
        <v>0</v>
      </c>
      <c r="J1210">
        <v>2.99</v>
      </c>
      <c r="K1210">
        <v>0</v>
      </c>
    </row>
    <row r="1211" spans="1:11" x14ac:dyDescent="0.2">
      <c r="A1211">
        <v>72263</v>
      </c>
      <c r="B1211">
        <v>5820</v>
      </c>
      <c r="C1211" t="s">
        <v>4863</v>
      </c>
      <c r="D1211">
        <v>8</v>
      </c>
      <c r="E1211">
        <v>12</v>
      </c>
      <c r="F1211">
        <v>242</v>
      </c>
      <c r="G1211">
        <v>2904</v>
      </c>
      <c r="H1211">
        <v>100</v>
      </c>
      <c r="I1211">
        <v>2.4</v>
      </c>
      <c r="J1211">
        <v>1.85</v>
      </c>
      <c r="K1211">
        <v>5372.4</v>
      </c>
    </row>
    <row r="1212" spans="1:11" x14ac:dyDescent="0.2">
      <c r="A1212">
        <v>1632</v>
      </c>
      <c r="B1212">
        <v>5822</v>
      </c>
      <c r="C1212" t="s">
        <v>4864</v>
      </c>
      <c r="D1212">
        <v>11</v>
      </c>
      <c r="E1212">
        <v>12</v>
      </c>
      <c r="F1212">
        <v>0</v>
      </c>
      <c r="G1212">
        <v>0</v>
      </c>
      <c r="H1212">
        <v>342</v>
      </c>
      <c r="I1212">
        <v>0</v>
      </c>
      <c r="J1212">
        <v>2.75</v>
      </c>
      <c r="K1212">
        <v>0</v>
      </c>
    </row>
    <row r="1213" spans="1:11" x14ac:dyDescent="0.2">
      <c r="B1213">
        <v>5823</v>
      </c>
      <c r="C1213" t="s">
        <v>4865</v>
      </c>
      <c r="D1213">
        <v>11</v>
      </c>
      <c r="E1213">
        <v>12</v>
      </c>
      <c r="F1213">
        <v>0</v>
      </c>
      <c r="G1213">
        <v>0</v>
      </c>
      <c r="H1213">
        <v>342</v>
      </c>
      <c r="I1213">
        <v>0</v>
      </c>
      <c r="J1213">
        <v>2.79</v>
      </c>
      <c r="K1213">
        <v>0</v>
      </c>
    </row>
    <row r="1214" spans="1:11" x14ac:dyDescent="0.2">
      <c r="A1214">
        <v>57661</v>
      </c>
      <c r="B1214">
        <v>5842</v>
      </c>
      <c r="C1214" t="s">
        <v>4866</v>
      </c>
      <c r="D1214">
        <v>10</v>
      </c>
      <c r="E1214">
        <v>1</v>
      </c>
      <c r="F1214">
        <v>60</v>
      </c>
      <c r="G1214">
        <v>60</v>
      </c>
      <c r="H1214">
        <v>24</v>
      </c>
      <c r="I1214">
        <v>2.5</v>
      </c>
      <c r="J1214">
        <v>5.59</v>
      </c>
      <c r="K1214">
        <v>335.4</v>
      </c>
    </row>
    <row r="1215" spans="1:11" x14ac:dyDescent="0.2">
      <c r="A1215">
        <v>57006</v>
      </c>
      <c r="B1215">
        <v>5847</v>
      </c>
      <c r="C1215" t="s">
        <v>4867</v>
      </c>
      <c r="D1215">
        <v>11</v>
      </c>
      <c r="E1215">
        <v>12</v>
      </c>
      <c r="F1215">
        <v>0</v>
      </c>
      <c r="G1215">
        <v>0</v>
      </c>
      <c r="H1215">
        <v>187</v>
      </c>
      <c r="I1215">
        <v>0</v>
      </c>
      <c r="J1215">
        <v>0.5</v>
      </c>
      <c r="K1215">
        <v>0</v>
      </c>
    </row>
    <row r="1216" spans="1:11" x14ac:dyDescent="0.2">
      <c r="B1216">
        <v>5848</v>
      </c>
      <c r="C1216" t="s">
        <v>4868</v>
      </c>
      <c r="D1216">
        <v>11</v>
      </c>
      <c r="E1216">
        <v>90</v>
      </c>
      <c r="F1216">
        <v>0</v>
      </c>
      <c r="G1216">
        <v>0</v>
      </c>
      <c r="H1216">
        <v>2</v>
      </c>
      <c r="I1216">
        <v>0</v>
      </c>
      <c r="J1216">
        <v>4.99</v>
      </c>
      <c r="K1216">
        <v>0</v>
      </c>
    </row>
    <row r="1217" spans="1:11" x14ac:dyDescent="0.2">
      <c r="A1217">
        <v>0</v>
      </c>
      <c r="B1217">
        <v>5856</v>
      </c>
      <c r="C1217" t="s">
        <v>4869</v>
      </c>
      <c r="D1217">
        <v>11</v>
      </c>
      <c r="E1217">
        <v>12</v>
      </c>
      <c r="F1217">
        <v>0</v>
      </c>
      <c r="G1217">
        <v>0</v>
      </c>
      <c r="H1217">
        <v>224</v>
      </c>
      <c r="I1217">
        <v>0</v>
      </c>
      <c r="J1217">
        <v>1.27</v>
      </c>
      <c r="K1217">
        <v>0</v>
      </c>
    </row>
    <row r="1218" spans="1:11" x14ac:dyDescent="0.2">
      <c r="A1218">
        <v>71105</v>
      </c>
      <c r="B1218">
        <v>5858</v>
      </c>
      <c r="C1218" t="s">
        <v>4870</v>
      </c>
      <c r="D1218">
        <v>8</v>
      </c>
      <c r="E1218">
        <v>4</v>
      </c>
      <c r="F1218">
        <v>1153</v>
      </c>
      <c r="G1218">
        <v>4612</v>
      </c>
      <c r="H1218">
        <v>88</v>
      </c>
      <c r="I1218">
        <v>13.1</v>
      </c>
      <c r="J1218">
        <v>2.59</v>
      </c>
      <c r="K1218">
        <v>11945.08</v>
      </c>
    </row>
    <row r="1219" spans="1:11" x14ac:dyDescent="0.2">
      <c r="B1219">
        <v>5859</v>
      </c>
      <c r="C1219" t="s">
        <v>4871</v>
      </c>
      <c r="D1219">
        <v>10</v>
      </c>
      <c r="E1219">
        <v>12</v>
      </c>
      <c r="F1219">
        <v>13</v>
      </c>
      <c r="G1219">
        <v>157</v>
      </c>
      <c r="H1219">
        <v>98</v>
      </c>
      <c r="I1219">
        <v>0.1</v>
      </c>
      <c r="J1219">
        <v>1.51</v>
      </c>
      <c r="K1219">
        <v>237.07</v>
      </c>
    </row>
    <row r="1220" spans="1:11" x14ac:dyDescent="0.2">
      <c r="B1220">
        <v>5864</v>
      </c>
      <c r="C1220" t="s">
        <v>4872</v>
      </c>
      <c r="D1220">
        <v>11</v>
      </c>
      <c r="E1220">
        <v>4</v>
      </c>
      <c r="F1220">
        <v>-1</v>
      </c>
      <c r="G1220">
        <v>-4</v>
      </c>
      <c r="H1220">
        <v>45</v>
      </c>
      <c r="I1220">
        <v>0</v>
      </c>
      <c r="J1220">
        <v>7.25</v>
      </c>
      <c r="K1220">
        <v>-29</v>
      </c>
    </row>
    <row r="1221" spans="1:11" x14ac:dyDescent="0.2">
      <c r="B1221">
        <v>5866</v>
      </c>
      <c r="C1221" t="s">
        <v>4873</v>
      </c>
      <c r="D1221">
        <v>11</v>
      </c>
      <c r="E1221">
        <v>10</v>
      </c>
      <c r="F1221">
        <v>0</v>
      </c>
      <c r="G1221">
        <v>0</v>
      </c>
      <c r="H1221">
        <v>50</v>
      </c>
      <c r="I1221">
        <v>0</v>
      </c>
      <c r="J1221">
        <v>2.0499999999999998</v>
      </c>
      <c r="K1221">
        <v>0</v>
      </c>
    </row>
    <row r="1222" spans="1:11" x14ac:dyDescent="0.2">
      <c r="B1222">
        <v>5867</v>
      </c>
      <c r="C1222" t="s">
        <v>4874</v>
      </c>
      <c r="D1222">
        <v>11</v>
      </c>
      <c r="E1222">
        <v>6</v>
      </c>
      <c r="F1222">
        <v>0</v>
      </c>
      <c r="G1222">
        <v>0</v>
      </c>
      <c r="H1222">
        <v>104</v>
      </c>
      <c r="I1222">
        <v>0</v>
      </c>
      <c r="J1222">
        <v>2.4900000000000002</v>
      </c>
      <c r="K1222">
        <v>0</v>
      </c>
    </row>
    <row r="1223" spans="1:11" x14ac:dyDescent="0.2">
      <c r="A1223">
        <v>83100</v>
      </c>
      <c r="B1223">
        <v>5872</v>
      </c>
      <c r="C1223" t="s">
        <v>4875</v>
      </c>
      <c r="D1223">
        <v>8</v>
      </c>
      <c r="E1223">
        <v>8</v>
      </c>
      <c r="F1223">
        <v>340</v>
      </c>
      <c r="G1223">
        <v>2720</v>
      </c>
      <c r="H1223">
        <v>60</v>
      </c>
      <c r="I1223">
        <v>5.7</v>
      </c>
      <c r="J1223">
        <v>2.17</v>
      </c>
      <c r="K1223">
        <v>5902.4</v>
      </c>
    </row>
    <row r="1224" spans="1:11" x14ac:dyDescent="0.2">
      <c r="A1224">
        <v>83138</v>
      </c>
      <c r="B1224">
        <v>5875</v>
      </c>
      <c r="C1224" t="s">
        <v>4876</v>
      </c>
      <c r="D1224">
        <v>8</v>
      </c>
      <c r="E1224">
        <v>8</v>
      </c>
      <c r="F1224">
        <v>127</v>
      </c>
      <c r="G1224">
        <v>1016</v>
      </c>
      <c r="H1224">
        <v>45</v>
      </c>
      <c r="I1224">
        <v>2.8</v>
      </c>
      <c r="J1224">
        <v>1.76</v>
      </c>
      <c r="K1224">
        <v>1788.16</v>
      </c>
    </row>
    <row r="1225" spans="1:11" x14ac:dyDescent="0.2">
      <c r="A1225">
        <v>74228</v>
      </c>
      <c r="B1225">
        <v>5888</v>
      </c>
      <c r="C1225" t="s">
        <v>4877</v>
      </c>
      <c r="D1225">
        <v>8</v>
      </c>
      <c r="E1225">
        <v>17</v>
      </c>
      <c r="F1225">
        <v>264</v>
      </c>
      <c r="G1225">
        <v>4488</v>
      </c>
      <c r="H1225">
        <v>180</v>
      </c>
      <c r="I1225">
        <v>1.5</v>
      </c>
      <c r="J1225">
        <v>1.55</v>
      </c>
      <c r="K1225">
        <v>6956.4</v>
      </c>
    </row>
    <row r="1226" spans="1:11" x14ac:dyDescent="0.2">
      <c r="A1226">
        <v>72252</v>
      </c>
      <c r="B1226">
        <v>5894</v>
      </c>
      <c r="C1226" t="s">
        <v>4878</v>
      </c>
      <c r="D1226">
        <v>8</v>
      </c>
      <c r="E1226">
        <v>12</v>
      </c>
      <c r="F1226">
        <v>185</v>
      </c>
      <c r="G1226">
        <v>2220</v>
      </c>
      <c r="H1226">
        <v>120</v>
      </c>
      <c r="I1226">
        <v>1.5</v>
      </c>
      <c r="J1226">
        <v>2.5499999999999998</v>
      </c>
      <c r="K1226">
        <v>5661</v>
      </c>
    </row>
    <row r="1227" spans="1:11" x14ac:dyDescent="0.2">
      <c r="A1227">
        <v>74208</v>
      </c>
      <c r="B1227">
        <v>5896</v>
      </c>
      <c r="C1227" t="s">
        <v>4879</v>
      </c>
      <c r="D1227">
        <v>8</v>
      </c>
      <c r="E1227">
        <v>17</v>
      </c>
      <c r="F1227">
        <v>500</v>
      </c>
      <c r="G1227">
        <v>8500</v>
      </c>
      <c r="H1227">
        <v>180</v>
      </c>
      <c r="I1227">
        <v>2.8</v>
      </c>
      <c r="J1227">
        <v>1.49</v>
      </c>
      <c r="K1227">
        <v>12665</v>
      </c>
    </row>
    <row r="1228" spans="1:11" x14ac:dyDescent="0.2">
      <c r="A1228">
        <v>92999</v>
      </c>
      <c r="B1228">
        <v>5900</v>
      </c>
      <c r="C1228" t="s">
        <v>4880</v>
      </c>
      <c r="D1228">
        <v>10</v>
      </c>
      <c r="E1228">
        <v>1</v>
      </c>
      <c r="F1228">
        <v>-8042</v>
      </c>
      <c r="G1228">
        <v>-8042</v>
      </c>
      <c r="H1228">
        <v>63</v>
      </c>
      <c r="I1228">
        <v>-127.7</v>
      </c>
      <c r="J1228">
        <v>0.01</v>
      </c>
      <c r="K1228">
        <v>-80.42</v>
      </c>
    </row>
    <row r="1229" spans="1:11" x14ac:dyDescent="0.2">
      <c r="A1229">
        <v>95049</v>
      </c>
      <c r="B1229">
        <v>5909</v>
      </c>
      <c r="C1229" t="s">
        <v>4881</v>
      </c>
      <c r="D1229">
        <v>10</v>
      </c>
      <c r="E1229">
        <v>48</v>
      </c>
      <c r="F1229">
        <v>3</v>
      </c>
      <c r="G1229">
        <v>144</v>
      </c>
      <c r="H1229">
        <v>4</v>
      </c>
      <c r="I1229">
        <v>0.8</v>
      </c>
      <c r="J1229">
        <v>4.8899999999999997</v>
      </c>
      <c r="K1229">
        <v>704.16</v>
      </c>
    </row>
    <row r="1230" spans="1:11" x14ac:dyDescent="0.2">
      <c r="A1230">
        <v>76010</v>
      </c>
      <c r="B1230">
        <v>5919</v>
      </c>
      <c r="C1230" t="s">
        <v>4882</v>
      </c>
      <c r="D1230">
        <v>8</v>
      </c>
      <c r="E1230">
        <v>18</v>
      </c>
      <c r="F1230">
        <v>222</v>
      </c>
      <c r="G1230">
        <v>3994</v>
      </c>
      <c r="H1230">
        <v>64</v>
      </c>
      <c r="I1230">
        <v>3.5</v>
      </c>
      <c r="J1230">
        <v>3.05</v>
      </c>
      <c r="K1230">
        <v>12181.7</v>
      </c>
    </row>
    <row r="1231" spans="1:11" x14ac:dyDescent="0.2">
      <c r="B1231">
        <v>5932</v>
      </c>
      <c r="C1231" t="s">
        <v>4883</v>
      </c>
      <c r="D1231">
        <v>11</v>
      </c>
      <c r="E1231">
        <v>20</v>
      </c>
      <c r="F1231">
        <v>-1</v>
      </c>
      <c r="G1231">
        <v>-20</v>
      </c>
      <c r="H1231">
        <v>80</v>
      </c>
      <c r="I1231">
        <v>0</v>
      </c>
      <c r="J1231">
        <v>3.29</v>
      </c>
      <c r="K1231">
        <v>-65.8</v>
      </c>
    </row>
    <row r="1232" spans="1:11" x14ac:dyDescent="0.2">
      <c r="A1232">
        <v>47671</v>
      </c>
      <c r="B1232">
        <v>5946</v>
      </c>
      <c r="C1232" t="s">
        <v>4884</v>
      </c>
      <c r="D1232">
        <v>10</v>
      </c>
      <c r="E1232">
        <v>48</v>
      </c>
      <c r="F1232">
        <v>0</v>
      </c>
      <c r="G1232">
        <v>0</v>
      </c>
      <c r="H1232">
        <v>4</v>
      </c>
      <c r="I1232">
        <v>0</v>
      </c>
      <c r="J1232">
        <v>6.49</v>
      </c>
      <c r="K1232">
        <v>0</v>
      </c>
    </row>
    <row r="1233" spans="1:11" x14ac:dyDescent="0.2">
      <c r="A1233">
        <v>39680</v>
      </c>
      <c r="B1233">
        <v>5948</v>
      </c>
      <c r="C1233" t="s">
        <v>4885</v>
      </c>
      <c r="D1233">
        <v>10</v>
      </c>
      <c r="E1233">
        <v>132</v>
      </c>
      <c r="F1233">
        <v>0</v>
      </c>
      <c r="G1233">
        <v>0</v>
      </c>
      <c r="H1233">
        <v>4</v>
      </c>
      <c r="I1233">
        <v>0</v>
      </c>
      <c r="J1233">
        <v>3.79</v>
      </c>
      <c r="K1233">
        <v>0</v>
      </c>
    </row>
    <row r="1234" spans="1:11" x14ac:dyDescent="0.2">
      <c r="A1234">
        <v>46601</v>
      </c>
      <c r="B1234">
        <v>5971</v>
      </c>
      <c r="C1234" t="s">
        <v>4886</v>
      </c>
      <c r="D1234">
        <v>10</v>
      </c>
      <c r="E1234">
        <v>20</v>
      </c>
      <c r="F1234">
        <v>-2</v>
      </c>
      <c r="G1234">
        <v>-40</v>
      </c>
      <c r="H1234">
        <v>54</v>
      </c>
      <c r="I1234">
        <v>0</v>
      </c>
      <c r="J1234">
        <v>2.79</v>
      </c>
      <c r="K1234">
        <v>-111.6</v>
      </c>
    </row>
    <row r="1235" spans="1:11" x14ac:dyDescent="0.2">
      <c r="B1235">
        <v>5981</v>
      </c>
      <c r="C1235" t="s">
        <v>4887</v>
      </c>
      <c r="D1235">
        <v>12</v>
      </c>
      <c r="E1235">
        <v>22</v>
      </c>
      <c r="F1235">
        <v>0</v>
      </c>
      <c r="G1235">
        <v>0</v>
      </c>
      <c r="H1235">
        <v>96</v>
      </c>
      <c r="I1235">
        <v>0</v>
      </c>
      <c r="J1235">
        <v>1</v>
      </c>
      <c r="K1235">
        <v>0</v>
      </c>
    </row>
    <row r="1236" spans="1:11" x14ac:dyDescent="0.2">
      <c r="A1236">
        <v>8694</v>
      </c>
      <c r="B1236">
        <v>5993</v>
      </c>
      <c r="C1236" t="s">
        <v>4888</v>
      </c>
      <c r="D1236">
        <v>10</v>
      </c>
      <c r="E1236">
        <v>90</v>
      </c>
      <c r="F1236">
        <v>3</v>
      </c>
      <c r="G1236">
        <v>270</v>
      </c>
      <c r="H1236">
        <v>4</v>
      </c>
      <c r="I1236">
        <v>0.8</v>
      </c>
      <c r="J1236">
        <v>6.29</v>
      </c>
      <c r="K1236">
        <v>1698.3</v>
      </c>
    </row>
    <row r="1237" spans="1:11" x14ac:dyDescent="0.2">
      <c r="A1237">
        <v>95098</v>
      </c>
      <c r="B1237">
        <v>5996</v>
      </c>
      <c r="C1237" t="s">
        <v>4889</v>
      </c>
      <c r="D1237">
        <v>10</v>
      </c>
      <c r="E1237">
        <v>72</v>
      </c>
      <c r="F1237">
        <v>39</v>
      </c>
      <c r="G1237">
        <v>2808</v>
      </c>
      <c r="H1237">
        <v>4</v>
      </c>
      <c r="I1237">
        <v>9.8000000000000007</v>
      </c>
      <c r="J1237">
        <v>6.29</v>
      </c>
      <c r="K1237">
        <v>17662.32</v>
      </c>
    </row>
    <row r="1238" spans="1:11" x14ac:dyDescent="0.2">
      <c r="B1238">
        <v>6000</v>
      </c>
      <c r="C1238" t="s">
        <v>4890</v>
      </c>
      <c r="D1238">
        <v>10</v>
      </c>
      <c r="E1238">
        <v>1</v>
      </c>
      <c r="F1238">
        <v>-78</v>
      </c>
      <c r="G1238">
        <v>-78</v>
      </c>
      <c r="H1238">
        <v>126</v>
      </c>
      <c r="I1238">
        <v>-0.6</v>
      </c>
      <c r="J1238">
        <v>0.01</v>
      </c>
      <c r="K1238">
        <v>-0.78</v>
      </c>
    </row>
    <row r="1239" spans="1:11" x14ac:dyDescent="0.2">
      <c r="A1239">
        <v>60057</v>
      </c>
      <c r="B1239">
        <v>6002</v>
      </c>
      <c r="C1239" t="s">
        <v>4891</v>
      </c>
      <c r="D1239">
        <v>8</v>
      </c>
      <c r="E1239">
        <v>1</v>
      </c>
      <c r="F1239">
        <v>-40518</v>
      </c>
      <c r="G1239">
        <v>-40518</v>
      </c>
      <c r="H1239">
        <v>9999</v>
      </c>
      <c r="I1239">
        <v>-4.0999999999999996</v>
      </c>
      <c r="J1239">
        <v>0.01</v>
      </c>
      <c r="K1239">
        <v>-405.18</v>
      </c>
    </row>
    <row r="1240" spans="1:11" x14ac:dyDescent="0.2">
      <c r="A1240">
        <v>2622</v>
      </c>
      <c r="B1240">
        <v>6004</v>
      </c>
      <c r="C1240" t="s">
        <v>4892</v>
      </c>
      <c r="D1240">
        <v>6</v>
      </c>
      <c r="E1240">
        <v>21</v>
      </c>
      <c r="F1240">
        <v>0</v>
      </c>
      <c r="G1240">
        <v>0</v>
      </c>
      <c r="H1240">
        <v>42</v>
      </c>
      <c r="I1240">
        <v>0</v>
      </c>
      <c r="J1240">
        <v>1.59</v>
      </c>
      <c r="K1240">
        <v>0</v>
      </c>
    </row>
    <row r="1241" spans="1:11" x14ac:dyDescent="0.2">
      <c r="B1241">
        <v>6008</v>
      </c>
      <c r="C1241" t="s">
        <v>4893</v>
      </c>
      <c r="D1241">
        <v>7</v>
      </c>
      <c r="E1241">
        <v>1</v>
      </c>
      <c r="F1241">
        <v>0</v>
      </c>
      <c r="G1241">
        <v>0</v>
      </c>
      <c r="H1241">
        <v>0</v>
      </c>
      <c r="I1241">
        <v>0</v>
      </c>
      <c r="J1241">
        <v>0.01</v>
      </c>
      <c r="K1241">
        <v>0</v>
      </c>
    </row>
    <row r="1242" spans="1:11" x14ac:dyDescent="0.2">
      <c r="A1242">
        <v>91130</v>
      </c>
      <c r="B1242">
        <v>6010</v>
      </c>
      <c r="C1242" t="s">
        <v>4894</v>
      </c>
      <c r="D1242">
        <v>8</v>
      </c>
      <c r="E1242">
        <v>1</v>
      </c>
      <c r="F1242">
        <v>-714</v>
      </c>
      <c r="G1242">
        <v>-714</v>
      </c>
      <c r="H1242">
        <v>96</v>
      </c>
      <c r="I1242">
        <v>-7.4</v>
      </c>
      <c r="J1242">
        <v>4.49</v>
      </c>
      <c r="K1242">
        <v>-3207.21</v>
      </c>
    </row>
    <row r="1243" spans="1:11" x14ac:dyDescent="0.2">
      <c r="A1243">
        <v>3600</v>
      </c>
      <c r="B1243">
        <v>6039</v>
      </c>
      <c r="C1243" t="s">
        <v>4895</v>
      </c>
      <c r="D1243">
        <v>6</v>
      </c>
      <c r="E1243">
        <v>6</v>
      </c>
      <c r="F1243">
        <v>0</v>
      </c>
      <c r="G1243">
        <v>0</v>
      </c>
      <c r="H1243">
        <v>180</v>
      </c>
      <c r="I1243">
        <v>0</v>
      </c>
      <c r="J1243">
        <v>1.99</v>
      </c>
      <c r="K1243">
        <v>0</v>
      </c>
    </row>
    <row r="1244" spans="1:11" x14ac:dyDescent="0.2">
      <c r="A1244">
        <v>91025</v>
      </c>
      <c r="B1244">
        <v>6082</v>
      </c>
      <c r="C1244" t="s">
        <v>4896</v>
      </c>
      <c r="D1244">
        <v>8</v>
      </c>
      <c r="E1244">
        <v>1</v>
      </c>
      <c r="F1244">
        <v>550</v>
      </c>
      <c r="G1244">
        <v>550</v>
      </c>
      <c r="H1244">
        <v>120</v>
      </c>
      <c r="I1244">
        <v>4.5999999999999996</v>
      </c>
      <c r="J1244">
        <v>2.4900000000000002</v>
      </c>
      <c r="K1244">
        <v>1369.5</v>
      </c>
    </row>
    <row r="1245" spans="1:11" x14ac:dyDescent="0.2">
      <c r="A1245">
        <v>45501</v>
      </c>
      <c r="B1245">
        <v>6145</v>
      </c>
      <c r="C1245" t="s">
        <v>4897</v>
      </c>
      <c r="D1245">
        <v>10</v>
      </c>
      <c r="E1245">
        <v>8</v>
      </c>
      <c r="F1245">
        <v>5</v>
      </c>
      <c r="G1245">
        <v>40</v>
      </c>
      <c r="H1245">
        <v>4</v>
      </c>
      <c r="I1245">
        <v>1.3</v>
      </c>
      <c r="J1245">
        <v>36.99</v>
      </c>
      <c r="K1245">
        <v>1479.6</v>
      </c>
    </row>
    <row r="1246" spans="1:11" x14ac:dyDescent="0.2">
      <c r="A1246">
        <v>91138</v>
      </c>
      <c r="B1246">
        <v>6155</v>
      </c>
      <c r="C1246" t="s">
        <v>4898</v>
      </c>
      <c r="D1246">
        <v>8</v>
      </c>
      <c r="E1246">
        <v>1</v>
      </c>
      <c r="F1246">
        <v>395</v>
      </c>
      <c r="G1246">
        <v>395</v>
      </c>
      <c r="H1246">
        <v>88</v>
      </c>
      <c r="I1246">
        <v>4.5</v>
      </c>
      <c r="J1246">
        <v>5.99</v>
      </c>
      <c r="K1246">
        <v>2366.0500000000002</v>
      </c>
    </row>
    <row r="1247" spans="1:11" x14ac:dyDescent="0.2">
      <c r="A1247">
        <v>1502</v>
      </c>
      <c r="B1247">
        <v>6165</v>
      </c>
      <c r="C1247" t="s">
        <v>4899</v>
      </c>
      <c r="D1247">
        <v>6</v>
      </c>
      <c r="E1247">
        <v>6</v>
      </c>
      <c r="F1247">
        <v>0</v>
      </c>
      <c r="G1247">
        <v>0</v>
      </c>
      <c r="H1247">
        <v>49</v>
      </c>
      <c r="I1247">
        <v>0</v>
      </c>
      <c r="J1247">
        <v>4.99</v>
      </c>
      <c r="K1247">
        <v>0</v>
      </c>
    </row>
    <row r="1248" spans="1:11" x14ac:dyDescent="0.2">
      <c r="A1248">
        <v>84190</v>
      </c>
      <c r="B1248">
        <v>6187</v>
      </c>
      <c r="C1248" t="s">
        <v>4900</v>
      </c>
      <c r="D1248">
        <v>8</v>
      </c>
      <c r="E1248">
        <v>8</v>
      </c>
      <c r="F1248">
        <v>249</v>
      </c>
      <c r="G1248">
        <v>1992</v>
      </c>
      <c r="H1248">
        <v>99</v>
      </c>
      <c r="I1248">
        <v>2.5</v>
      </c>
      <c r="J1248">
        <v>1.99</v>
      </c>
      <c r="K1248">
        <v>3964.08</v>
      </c>
    </row>
    <row r="1249" spans="1:11" x14ac:dyDescent="0.2">
      <c r="A1249">
        <v>99985</v>
      </c>
      <c r="B1249">
        <v>6191</v>
      </c>
      <c r="C1249" t="s">
        <v>4901</v>
      </c>
      <c r="D1249">
        <v>10</v>
      </c>
      <c r="E1249">
        <v>24</v>
      </c>
      <c r="F1249">
        <v>0</v>
      </c>
      <c r="G1249">
        <v>0</v>
      </c>
      <c r="H1249">
        <v>49</v>
      </c>
      <c r="I1249">
        <v>0</v>
      </c>
      <c r="J1249">
        <v>1.79</v>
      </c>
      <c r="K1249">
        <v>0</v>
      </c>
    </row>
    <row r="1250" spans="1:11" x14ac:dyDescent="0.2">
      <c r="B1250">
        <v>6195</v>
      </c>
      <c r="C1250" t="s">
        <v>4902</v>
      </c>
      <c r="D1250">
        <v>6</v>
      </c>
      <c r="E1250">
        <v>1</v>
      </c>
      <c r="F1250">
        <v>0</v>
      </c>
      <c r="G1250">
        <v>0</v>
      </c>
      <c r="H1250">
        <v>88</v>
      </c>
      <c r="I1250">
        <v>0</v>
      </c>
      <c r="J1250">
        <v>6.29</v>
      </c>
      <c r="K1250">
        <v>0</v>
      </c>
    </row>
    <row r="1251" spans="1:11" x14ac:dyDescent="0.2">
      <c r="B1251">
        <v>6201</v>
      </c>
      <c r="C1251" t="s">
        <v>4903</v>
      </c>
      <c r="D1251">
        <v>11</v>
      </c>
      <c r="E1251">
        <v>12</v>
      </c>
      <c r="F1251">
        <v>0</v>
      </c>
      <c r="G1251">
        <v>0</v>
      </c>
      <c r="H1251">
        <v>112</v>
      </c>
      <c r="I1251">
        <v>0</v>
      </c>
      <c r="J1251">
        <v>0.99</v>
      </c>
      <c r="K1251">
        <v>0</v>
      </c>
    </row>
    <row r="1252" spans="1:11" x14ac:dyDescent="0.2">
      <c r="B1252">
        <v>6202</v>
      </c>
      <c r="C1252" t="s">
        <v>4904</v>
      </c>
      <c r="D1252">
        <v>6</v>
      </c>
      <c r="E1252">
        <v>1</v>
      </c>
      <c r="F1252">
        <v>0</v>
      </c>
      <c r="G1252">
        <v>0</v>
      </c>
      <c r="H1252">
        <v>80</v>
      </c>
      <c r="I1252">
        <v>0</v>
      </c>
      <c r="J1252">
        <v>12.39</v>
      </c>
      <c r="K1252">
        <v>0</v>
      </c>
    </row>
    <row r="1253" spans="1:11" x14ac:dyDescent="0.2">
      <c r="A1253">
        <v>36615</v>
      </c>
      <c r="B1253">
        <v>6204</v>
      </c>
      <c r="C1253" t="s">
        <v>4905</v>
      </c>
      <c r="D1253">
        <v>10</v>
      </c>
      <c r="E1253">
        <v>15</v>
      </c>
      <c r="F1253">
        <v>0</v>
      </c>
      <c r="G1253">
        <v>0</v>
      </c>
      <c r="H1253">
        <v>80</v>
      </c>
      <c r="I1253">
        <v>0</v>
      </c>
      <c r="J1253">
        <v>2.89</v>
      </c>
      <c r="K1253">
        <v>0</v>
      </c>
    </row>
    <row r="1254" spans="1:11" x14ac:dyDescent="0.2">
      <c r="A1254">
        <v>3623</v>
      </c>
      <c r="B1254">
        <v>6215</v>
      </c>
      <c r="C1254" t="s">
        <v>4906</v>
      </c>
      <c r="D1254">
        <v>6</v>
      </c>
      <c r="E1254">
        <v>15</v>
      </c>
      <c r="F1254">
        <v>-1</v>
      </c>
      <c r="G1254">
        <v>-15</v>
      </c>
      <c r="H1254">
        <v>64</v>
      </c>
      <c r="I1254">
        <v>0</v>
      </c>
      <c r="J1254">
        <v>2.89</v>
      </c>
      <c r="K1254">
        <v>-43.35</v>
      </c>
    </row>
    <row r="1255" spans="1:11" x14ac:dyDescent="0.2">
      <c r="A1255">
        <v>72173</v>
      </c>
      <c r="B1255">
        <v>6273</v>
      </c>
      <c r="C1255" t="s">
        <v>4907</v>
      </c>
      <c r="D1255">
        <v>8</v>
      </c>
      <c r="E1255">
        <v>8</v>
      </c>
      <c r="F1255">
        <v>889</v>
      </c>
      <c r="G1255">
        <v>7114</v>
      </c>
      <c r="H1255">
        <v>90</v>
      </c>
      <c r="I1255">
        <v>9.9</v>
      </c>
      <c r="J1255">
        <v>2.02</v>
      </c>
      <c r="K1255">
        <v>14370.28</v>
      </c>
    </row>
    <row r="1256" spans="1:11" x14ac:dyDescent="0.2">
      <c r="B1256">
        <v>6294</v>
      </c>
      <c r="C1256" t="s">
        <v>4908</v>
      </c>
      <c r="D1256">
        <v>10</v>
      </c>
      <c r="E1256">
        <v>12</v>
      </c>
      <c r="F1256">
        <v>0</v>
      </c>
      <c r="G1256">
        <v>0</v>
      </c>
      <c r="H1256">
        <v>84</v>
      </c>
      <c r="I1256">
        <v>0</v>
      </c>
      <c r="J1256">
        <v>2.29</v>
      </c>
      <c r="K1256">
        <v>0</v>
      </c>
    </row>
    <row r="1257" spans="1:11" x14ac:dyDescent="0.2">
      <c r="A1257">
        <v>45625</v>
      </c>
      <c r="B1257">
        <v>6299</v>
      </c>
      <c r="C1257" t="s">
        <v>4909</v>
      </c>
      <c r="D1257">
        <v>10</v>
      </c>
      <c r="E1257">
        <v>12</v>
      </c>
      <c r="F1257">
        <v>-1</v>
      </c>
      <c r="G1257">
        <v>-12</v>
      </c>
      <c r="H1257">
        <v>120</v>
      </c>
      <c r="I1257">
        <v>0</v>
      </c>
      <c r="J1257">
        <v>1.69</v>
      </c>
      <c r="K1257">
        <v>-20.28</v>
      </c>
    </row>
    <row r="1258" spans="1:11" x14ac:dyDescent="0.2">
      <c r="A1258">
        <v>57602</v>
      </c>
      <c r="B1258">
        <v>6326</v>
      </c>
      <c r="C1258" t="s">
        <v>4910</v>
      </c>
      <c r="D1258">
        <v>11</v>
      </c>
      <c r="E1258">
        <v>11</v>
      </c>
      <c r="F1258">
        <v>10</v>
      </c>
      <c r="G1258">
        <v>115</v>
      </c>
      <c r="H1258">
        <v>80</v>
      </c>
      <c r="I1258">
        <v>0.1</v>
      </c>
      <c r="J1258">
        <v>2.4900000000000002</v>
      </c>
      <c r="K1258">
        <v>286.35000000000002</v>
      </c>
    </row>
    <row r="1259" spans="1:11" x14ac:dyDescent="0.2">
      <c r="A1259">
        <v>91026</v>
      </c>
      <c r="B1259">
        <v>6338</v>
      </c>
      <c r="C1259" t="s">
        <v>4911</v>
      </c>
      <c r="D1259">
        <v>8</v>
      </c>
      <c r="E1259">
        <v>1</v>
      </c>
      <c r="F1259">
        <v>732</v>
      </c>
      <c r="G1259">
        <v>732</v>
      </c>
      <c r="H1259">
        <v>88</v>
      </c>
      <c r="I1259">
        <v>8.3000000000000007</v>
      </c>
      <c r="J1259">
        <v>4.09</v>
      </c>
      <c r="K1259">
        <v>2993.88</v>
      </c>
    </row>
    <row r="1260" spans="1:11" x14ac:dyDescent="0.2">
      <c r="A1260">
        <v>52636</v>
      </c>
      <c r="B1260">
        <v>6340</v>
      </c>
      <c r="C1260" t="s">
        <v>4912</v>
      </c>
      <c r="D1260">
        <v>6</v>
      </c>
      <c r="E1260">
        <v>7</v>
      </c>
      <c r="F1260">
        <v>314</v>
      </c>
      <c r="G1260">
        <v>2198</v>
      </c>
      <c r="H1260">
        <v>63</v>
      </c>
      <c r="I1260">
        <v>5</v>
      </c>
      <c r="J1260">
        <v>3.99</v>
      </c>
      <c r="K1260">
        <v>8770.02</v>
      </c>
    </row>
    <row r="1261" spans="1:11" x14ac:dyDescent="0.2">
      <c r="A1261">
        <v>51610</v>
      </c>
      <c r="B1261">
        <v>6341</v>
      </c>
      <c r="C1261" t="s">
        <v>4913</v>
      </c>
      <c r="D1261">
        <v>10</v>
      </c>
      <c r="E1261">
        <v>9</v>
      </c>
      <c r="F1261">
        <v>96</v>
      </c>
      <c r="G1261">
        <v>864</v>
      </c>
      <c r="H1261">
        <v>96</v>
      </c>
      <c r="I1261">
        <v>1</v>
      </c>
      <c r="J1261">
        <v>3.69</v>
      </c>
      <c r="K1261">
        <v>3188.16</v>
      </c>
    </row>
    <row r="1262" spans="1:11" x14ac:dyDescent="0.2">
      <c r="A1262">
        <v>91023</v>
      </c>
      <c r="B1262">
        <v>6360</v>
      </c>
      <c r="C1262" t="s">
        <v>4914</v>
      </c>
      <c r="D1262">
        <v>8</v>
      </c>
      <c r="E1262">
        <v>1</v>
      </c>
      <c r="F1262">
        <v>47</v>
      </c>
      <c r="G1262">
        <v>47</v>
      </c>
      <c r="H1262">
        <v>96</v>
      </c>
      <c r="I1262">
        <v>0.5</v>
      </c>
      <c r="J1262">
        <v>4.6900000000000004</v>
      </c>
      <c r="K1262">
        <v>220.43</v>
      </c>
    </row>
    <row r="1263" spans="1:11" x14ac:dyDescent="0.2">
      <c r="A1263">
        <v>41502</v>
      </c>
      <c r="B1263">
        <v>6409</v>
      </c>
      <c r="C1263" t="s">
        <v>4915</v>
      </c>
      <c r="D1263">
        <v>10</v>
      </c>
      <c r="E1263">
        <v>8</v>
      </c>
      <c r="F1263">
        <v>0</v>
      </c>
      <c r="G1263">
        <v>0</v>
      </c>
      <c r="H1263">
        <v>64</v>
      </c>
      <c r="I1263">
        <v>0</v>
      </c>
      <c r="J1263">
        <v>2.39</v>
      </c>
      <c r="K1263">
        <v>0</v>
      </c>
    </row>
    <row r="1264" spans="1:11" x14ac:dyDescent="0.2">
      <c r="A1264">
        <v>3607</v>
      </c>
      <c r="B1264">
        <v>6424</v>
      </c>
      <c r="C1264" t="s">
        <v>4916</v>
      </c>
      <c r="D1264">
        <v>6</v>
      </c>
      <c r="E1264">
        <v>7</v>
      </c>
      <c r="F1264">
        <v>6</v>
      </c>
      <c r="G1264">
        <v>42</v>
      </c>
      <c r="H1264">
        <v>196</v>
      </c>
      <c r="I1264">
        <v>0</v>
      </c>
      <c r="J1264">
        <v>4.99</v>
      </c>
      <c r="K1264">
        <v>209.58</v>
      </c>
    </row>
    <row r="1265" spans="1:11" x14ac:dyDescent="0.2">
      <c r="A1265">
        <v>75073</v>
      </c>
      <c r="B1265">
        <v>6432</v>
      </c>
      <c r="C1265" t="s">
        <v>4917</v>
      </c>
      <c r="D1265">
        <v>9</v>
      </c>
      <c r="E1265">
        <v>8</v>
      </c>
      <c r="F1265">
        <v>127</v>
      </c>
      <c r="G1265">
        <v>1016</v>
      </c>
      <c r="H1265">
        <v>48</v>
      </c>
      <c r="I1265">
        <v>2.6</v>
      </c>
      <c r="J1265">
        <v>3.99</v>
      </c>
      <c r="K1265">
        <v>4053.84</v>
      </c>
    </row>
    <row r="1266" spans="1:11" x14ac:dyDescent="0.2">
      <c r="A1266">
        <v>48624</v>
      </c>
      <c r="B1266">
        <v>6453</v>
      </c>
      <c r="C1266" t="s">
        <v>4918</v>
      </c>
      <c r="D1266">
        <v>10</v>
      </c>
      <c r="E1266">
        <v>6</v>
      </c>
      <c r="F1266">
        <v>1</v>
      </c>
      <c r="G1266">
        <v>6</v>
      </c>
      <c r="H1266">
        <v>72</v>
      </c>
      <c r="I1266">
        <v>0</v>
      </c>
      <c r="J1266">
        <v>19.989999999999998</v>
      </c>
      <c r="K1266">
        <v>119.94</v>
      </c>
    </row>
    <row r="1267" spans="1:11" x14ac:dyDescent="0.2">
      <c r="A1267">
        <v>52614</v>
      </c>
      <c r="B1267">
        <v>6454</v>
      </c>
      <c r="C1267" t="s">
        <v>4919</v>
      </c>
      <c r="D1267">
        <v>6</v>
      </c>
      <c r="E1267">
        <v>6</v>
      </c>
      <c r="F1267">
        <v>316</v>
      </c>
      <c r="G1267">
        <v>1896</v>
      </c>
      <c r="H1267">
        <v>105</v>
      </c>
      <c r="I1267">
        <v>3</v>
      </c>
      <c r="J1267">
        <v>1.79</v>
      </c>
      <c r="K1267">
        <v>3393.84</v>
      </c>
    </row>
    <row r="1268" spans="1:11" x14ac:dyDescent="0.2">
      <c r="A1268">
        <v>72181</v>
      </c>
      <c r="B1268">
        <v>6458</v>
      </c>
      <c r="C1268" t="s">
        <v>4920</v>
      </c>
      <c r="D1268">
        <v>8</v>
      </c>
      <c r="E1268">
        <v>12</v>
      </c>
      <c r="F1268">
        <v>263</v>
      </c>
      <c r="G1268">
        <v>3156</v>
      </c>
      <c r="H1268">
        <v>56</v>
      </c>
      <c r="I1268">
        <v>4.7</v>
      </c>
      <c r="J1268">
        <v>2.65</v>
      </c>
      <c r="K1268">
        <v>8363.4</v>
      </c>
    </row>
    <row r="1269" spans="1:11" x14ac:dyDescent="0.2">
      <c r="B1269">
        <v>6474</v>
      </c>
      <c r="C1269" t="s">
        <v>4921</v>
      </c>
      <c r="D1269">
        <v>11</v>
      </c>
      <c r="E1269">
        <v>1</v>
      </c>
      <c r="F1269">
        <v>3</v>
      </c>
      <c r="G1269">
        <v>3</v>
      </c>
      <c r="H1269">
        <v>80</v>
      </c>
      <c r="I1269">
        <v>0</v>
      </c>
      <c r="J1269">
        <v>5.79</v>
      </c>
      <c r="K1269">
        <v>17.37</v>
      </c>
    </row>
    <row r="1270" spans="1:11" x14ac:dyDescent="0.2">
      <c r="A1270">
        <v>91087</v>
      </c>
      <c r="B1270">
        <v>6499</v>
      </c>
      <c r="C1270" t="s">
        <v>4922</v>
      </c>
      <c r="D1270">
        <v>8</v>
      </c>
      <c r="E1270">
        <v>1</v>
      </c>
      <c r="F1270">
        <v>117</v>
      </c>
      <c r="G1270">
        <v>117</v>
      </c>
      <c r="H1270">
        <v>80</v>
      </c>
      <c r="I1270">
        <v>1.5</v>
      </c>
      <c r="J1270">
        <v>8.69</v>
      </c>
      <c r="K1270">
        <v>1016.73</v>
      </c>
    </row>
    <row r="1271" spans="1:11" x14ac:dyDescent="0.2">
      <c r="A1271">
        <v>91128</v>
      </c>
      <c r="B1271">
        <v>6508</v>
      </c>
      <c r="C1271" t="s">
        <v>4923</v>
      </c>
      <c r="D1271">
        <v>8</v>
      </c>
      <c r="E1271">
        <v>1</v>
      </c>
      <c r="F1271">
        <v>1008</v>
      </c>
      <c r="G1271">
        <v>1008</v>
      </c>
      <c r="H1271">
        <v>44</v>
      </c>
      <c r="I1271">
        <v>22.9</v>
      </c>
      <c r="J1271">
        <v>5.49</v>
      </c>
      <c r="K1271">
        <v>5536.56</v>
      </c>
    </row>
    <row r="1272" spans="1:11" x14ac:dyDescent="0.2">
      <c r="B1272">
        <v>6513</v>
      </c>
      <c r="C1272" t="s">
        <v>4924</v>
      </c>
      <c r="D1272">
        <v>11</v>
      </c>
      <c r="E1272">
        <v>8</v>
      </c>
      <c r="F1272">
        <v>0</v>
      </c>
      <c r="G1272">
        <v>0</v>
      </c>
      <c r="H1272">
        <v>72</v>
      </c>
      <c r="I1272">
        <v>0</v>
      </c>
      <c r="J1272">
        <v>4.99</v>
      </c>
      <c r="K1272">
        <v>0</v>
      </c>
    </row>
    <row r="1273" spans="1:11" x14ac:dyDescent="0.2">
      <c r="B1273">
        <v>6516</v>
      </c>
      <c r="C1273" t="s">
        <v>4925</v>
      </c>
      <c r="D1273">
        <v>6</v>
      </c>
      <c r="E1273">
        <v>1</v>
      </c>
      <c r="F1273">
        <v>0</v>
      </c>
      <c r="G1273">
        <v>0</v>
      </c>
      <c r="H1273">
        <v>80</v>
      </c>
      <c r="I1273">
        <v>0</v>
      </c>
      <c r="J1273">
        <v>13.99</v>
      </c>
      <c r="K1273">
        <v>0</v>
      </c>
    </row>
    <row r="1274" spans="1:11" x14ac:dyDescent="0.2">
      <c r="A1274">
        <v>89057</v>
      </c>
      <c r="B1274">
        <v>6522</v>
      </c>
      <c r="C1274" t="s">
        <v>4926</v>
      </c>
      <c r="D1274">
        <v>8</v>
      </c>
      <c r="E1274">
        <v>12</v>
      </c>
      <c r="F1274">
        <v>117</v>
      </c>
      <c r="G1274">
        <v>1404</v>
      </c>
      <c r="H1274">
        <v>125</v>
      </c>
      <c r="I1274">
        <v>0.9</v>
      </c>
      <c r="J1274">
        <v>1.99</v>
      </c>
      <c r="K1274">
        <v>2793.96</v>
      </c>
    </row>
    <row r="1275" spans="1:11" x14ac:dyDescent="0.2">
      <c r="A1275">
        <v>99802</v>
      </c>
      <c r="B1275">
        <v>6523</v>
      </c>
      <c r="C1275" t="s">
        <v>4927</v>
      </c>
      <c r="D1275">
        <v>10</v>
      </c>
      <c r="E1275">
        <v>8</v>
      </c>
      <c r="F1275">
        <v>0</v>
      </c>
      <c r="G1275">
        <v>0</v>
      </c>
      <c r="H1275">
        <v>96</v>
      </c>
      <c r="I1275">
        <v>0</v>
      </c>
      <c r="J1275">
        <v>4.99</v>
      </c>
      <c r="K1275">
        <v>0</v>
      </c>
    </row>
    <row r="1276" spans="1:11" x14ac:dyDescent="0.2">
      <c r="A1276">
        <v>50502</v>
      </c>
      <c r="B1276">
        <v>6542</v>
      </c>
      <c r="C1276" t="s">
        <v>4928</v>
      </c>
      <c r="D1276">
        <v>10</v>
      </c>
      <c r="E1276">
        <v>6</v>
      </c>
      <c r="F1276">
        <v>2</v>
      </c>
      <c r="G1276">
        <v>12</v>
      </c>
      <c r="H1276">
        <v>48</v>
      </c>
      <c r="I1276">
        <v>0</v>
      </c>
      <c r="J1276">
        <v>2.75</v>
      </c>
      <c r="K1276">
        <v>33</v>
      </c>
    </row>
    <row r="1277" spans="1:11" x14ac:dyDescent="0.2">
      <c r="A1277">
        <v>76041</v>
      </c>
      <c r="B1277">
        <v>6546</v>
      </c>
      <c r="C1277" t="s">
        <v>4929</v>
      </c>
      <c r="D1277">
        <v>8</v>
      </c>
      <c r="E1277">
        <v>15</v>
      </c>
      <c r="F1277">
        <v>148</v>
      </c>
      <c r="G1277">
        <v>2220</v>
      </c>
      <c r="H1277">
        <v>88</v>
      </c>
      <c r="I1277">
        <v>1.7</v>
      </c>
      <c r="J1277">
        <v>2.59</v>
      </c>
      <c r="K1277">
        <v>5749.8</v>
      </c>
    </row>
    <row r="1278" spans="1:11" x14ac:dyDescent="0.2">
      <c r="A1278">
        <v>39610</v>
      </c>
      <c r="B1278">
        <v>6548</v>
      </c>
      <c r="C1278" t="s">
        <v>4930</v>
      </c>
      <c r="D1278">
        <v>10</v>
      </c>
      <c r="E1278">
        <v>6</v>
      </c>
      <c r="F1278">
        <v>1</v>
      </c>
      <c r="G1278">
        <v>6</v>
      </c>
      <c r="H1278">
        <v>76</v>
      </c>
      <c r="I1278">
        <v>0</v>
      </c>
      <c r="J1278">
        <v>2</v>
      </c>
      <c r="K1278">
        <v>12</v>
      </c>
    </row>
    <row r="1279" spans="1:11" x14ac:dyDescent="0.2">
      <c r="A1279">
        <v>99841</v>
      </c>
      <c r="B1279">
        <v>6549</v>
      </c>
      <c r="C1279" t="s">
        <v>4931</v>
      </c>
      <c r="D1279">
        <v>10</v>
      </c>
      <c r="E1279">
        <v>8</v>
      </c>
      <c r="F1279">
        <v>0</v>
      </c>
      <c r="G1279">
        <v>0</v>
      </c>
      <c r="H1279">
        <v>70</v>
      </c>
      <c r="I1279">
        <v>0</v>
      </c>
      <c r="J1279">
        <v>2.89</v>
      </c>
      <c r="K1279">
        <v>0</v>
      </c>
    </row>
    <row r="1280" spans="1:11" x14ac:dyDescent="0.2">
      <c r="A1280">
        <v>75081</v>
      </c>
      <c r="B1280">
        <v>6553</v>
      </c>
      <c r="C1280" t="s">
        <v>4932</v>
      </c>
      <c r="D1280">
        <v>9</v>
      </c>
      <c r="E1280">
        <v>12</v>
      </c>
      <c r="F1280">
        <v>13</v>
      </c>
      <c r="G1280">
        <v>156</v>
      </c>
      <c r="H1280">
        <v>80</v>
      </c>
      <c r="I1280">
        <v>0.2</v>
      </c>
      <c r="J1280">
        <v>1.99</v>
      </c>
      <c r="K1280">
        <v>310.44</v>
      </c>
    </row>
    <row r="1281" spans="1:11" x14ac:dyDescent="0.2">
      <c r="A1281">
        <v>75208</v>
      </c>
      <c r="B1281">
        <v>6559</v>
      </c>
      <c r="C1281" t="s">
        <v>4933</v>
      </c>
      <c r="D1281">
        <v>9</v>
      </c>
      <c r="E1281">
        <v>6</v>
      </c>
      <c r="F1281">
        <v>0</v>
      </c>
      <c r="G1281">
        <v>0</v>
      </c>
      <c r="H1281">
        <v>231</v>
      </c>
      <c r="I1281">
        <v>0</v>
      </c>
      <c r="J1281">
        <v>2.19</v>
      </c>
      <c r="K1281">
        <v>0</v>
      </c>
    </row>
    <row r="1282" spans="1:11" x14ac:dyDescent="0.2">
      <c r="A1282">
        <v>51609</v>
      </c>
      <c r="B1282">
        <v>6560</v>
      </c>
      <c r="C1282" t="s">
        <v>4934</v>
      </c>
      <c r="D1282">
        <v>10</v>
      </c>
      <c r="E1282">
        <v>6</v>
      </c>
      <c r="F1282">
        <v>5</v>
      </c>
      <c r="G1282">
        <v>30</v>
      </c>
      <c r="H1282">
        <v>231</v>
      </c>
      <c r="I1282">
        <v>0</v>
      </c>
      <c r="J1282">
        <v>11.39</v>
      </c>
      <c r="K1282">
        <v>341.7</v>
      </c>
    </row>
    <row r="1283" spans="1:11" x14ac:dyDescent="0.2">
      <c r="A1283">
        <v>75079</v>
      </c>
      <c r="B1283">
        <v>6571</v>
      </c>
      <c r="C1283" t="s">
        <v>4935</v>
      </c>
      <c r="D1283">
        <v>9</v>
      </c>
      <c r="E1283">
        <v>8</v>
      </c>
      <c r="F1283">
        <v>0</v>
      </c>
      <c r="G1283">
        <v>0</v>
      </c>
      <c r="H1283">
        <v>156</v>
      </c>
      <c r="I1283">
        <v>0</v>
      </c>
      <c r="J1283">
        <v>1.39</v>
      </c>
      <c r="K1283">
        <v>0</v>
      </c>
    </row>
    <row r="1284" spans="1:11" x14ac:dyDescent="0.2">
      <c r="A1284">
        <v>75188</v>
      </c>
      <c r="B1284">
        <v>6574</v>
      </c>
      <c r="C1284" t="s">
        <v>4936</v>
      </c>
      <c r="D1284">
        <v>9</v>
      </c>
      <c r="E1284">
        <v>8</v>
      </c>
      <c r="F1284">
        <v>3</v>
      </c>
      <c r="G1284">
        <v>24</v>
      </c>
      <c r="H1284">
        <v>156</v>
      </c>
      <c r="I1284">
        <v>0</v>
      </c>
      <c r="J1284">
        <v>1.39</v>
      </c>
      <c r="K1284">
        <v>33.36</v>
      </c>
    </row>
    <row r="1285" spans="1:11" x14ac:dyDescent="0.2">
      <c r="A1285">
        <v>99084</v>
      </c>
      <c r="B1285">
        <v>6598</v>
      </c>
      <c r="C1285" t="s">
        <v>4937</v>
      </c>
      <c r="D1285">
        <v>10</v>
      </c>
      <c r="E1285">
        <v>10</v>
      </c>
      <c r="F1285">
        <v>0</v>
      </c>
      <c r="G1285">
        <v>0</v>
      </c>
      <c r="H1285">
        <v>65</v>
      </c>
      <c r="I1285">
        <v>0</v>
      </c>
      <c r="J1285">
        <v>3.19</v>
      </c>
      <c r="K1285">
        <v>0</v>
      </c>
    </row>
    <row r="1286" spans="1:11" x14ac:dyDescent="0.2">
      <c r="A1286">
        <v>99060</v>
      </c>
      <c r="B1286">
        <v>6605</v>
      </c>
      <c r="C1286" t="s">
        <v>4938</v>
      </c>
      <c r="D1286">
        <v>10</v>
      </c>
      <c r="E1286">
        <v>12</v>
      </c>
      <c r="F1286">
        <v>0</v>
      </c>
      <c r="G1286">
        <v>0</v>
      </c>
      <c r="H1286">
        <v>72</v>
      </c>
      <c r="I1286">
        <v>0</v>
      </c>
      <c r="J1286">
        <v>2.99</v>
      </c>
      <c r="K1286">
        <v>0</v>
      </c>
    </row>
    <row r="1287" spans="1:11" x14ac:dyDescent="0.2">
      <c r="A1287">
        <v>99100</v>
      </c>
      <c r="B1287">
        <v>6618</v>
      </c>
      <c r="C1287" t="s">
        <v>4939</v>
      </c>
      <c r="D1287">
        <v>10</v>
      </c>
      <c r="E1287">
        <v>8</v>
      </c>
      <c r="F1287">
        <v>0</v>
      </c>
      <c r="G1287">
        <v>0</v>
      </c>
      <c r="H1287">
        <v>144</v>
      </c>
      <c r="I1287">
        <v>0</v>
      </c>
      <c r="J1287">
        <v>6.59</v>
      </c>
      <c r="K1287">
        <v>0</v>
      </c>
    </row>
    <row r="1288" spans="1:11" x14ac:dyDescent="0.2">
      <c r="A1288">
        <v>99470</v>
      </c>
      <c r="B1288">
        <v>6622</v>
      </c>
      <c r="C1288" t="s">
        <v>4940</v>
      </c>
      <c r="D1288">
        <v>10</v>
      </c>
      <c r="E1288">
        <v>6</v>
      </c>
      <c r="F1288">
        <v>0</v>
      </c>
      <c r="G1288">
        <v>0</v>
      </c>
      <c r="H1288">
        <v>72</v>
      </c>
      <c r="I1288">
        <v>0</v>
      </c>
      <c r="J1288">
        <v>2.99</v>
      </c>
      <c r="K1288">
        <v>0</v>
      </c>
    </row>
    <row r="1289" spans="1:11" x14ac:dyDescent="0.2">
      <c r="A1289">
        <v>85239</v>
      </c>
      <c r="B1289">
        <v>6623</v>
      </c>
      <c r="C1289" t="s">
        <v>4941</v>
      </c>
      <c r="D1289">
        <v>10</v>
      </c>
      <c r="E1289">
        <v>6</v>
      </c>
      <c r="F1289">
        <v>441</v>
      </c>
      <c r="G1289">
        <v>2646</v>
      </c>
      <c r="H1289">
        <v>120</v>
      </c>
      <c r="I1289">
        <v>3.7</v>
      </c>
      <c r="J1289">
        <v>1.59</v>
      </c>
      <c r="K1289">
        <v>4207.1400000000003</v>
      </c>
    </row>
    <row r="1290" spans="1:11" x14ac:dyDescent="0.2">
      <c r="A1290">
        <v>99000</v>
      </c>
      <c r="B1290">
        <v>6625</v>
      </c>
      <c r="C1290" t="s">
        <v>4942</v>
      </c>
      <c r="D1290">
        <v>10</v>
      </c>
      <c r="E1290">
        <v>8</v>
      </c>
      <c r="F1290">
        <v>0</v>
      </c>
      <c r="G1290">
        <v>0</v>
      </c>
      <c r="H1290">
        <v>80</v>
      </c>
      <c r="I1290">
        <v>0</v>
      </c>
      <c r="J1290">
        <v>2.64</v>
      </c>
      <c r="K1290">
        <v>0</v>
      </c>
    </row>
    <row r="1291" spans="1:11" x14ac:dyDescent="0.2">
      <c r="A1291">
        <v>75202</v>
      </c>
      <c r="B1291">
        <v>6632</v>
      </c>
      <c r="C1291" t="s">
        <v>4943</v>
      </c>
      <c r="D1291">
        <v>9</v>
      </c>
      <c r="E1291">
        <v>6</v>
      </c>
      <c r="F1291">
        <v>191</v>
      </c>
      <c r="G1291">
        <v>1146</v>
      </c>
      <c r="H1291">
        <v>496</v>
      </c>
      <c r="I1291">
        <v>0.4</v>
      </c>
      <c r="J1291">
        <v>0.99</v>
      </c>
      <c r="K1291">
        <v>1134.54</v>
      </c>
    </row>
    <row r="1292" spans="1:11" x14ac:dyDescent="0.2">
      <c r="A1292">
        <v>75075</v>
      </c>
      <c r="B1292">
        <v>6636</v>
      </c>
      <c r="C1292" t="s">
        <v>4944</v>
      </c>
      <c r="D1292">
        <v>9</v>
      </c>
      <c r="E1292">
        <v>6</v>
      </c>
      <c r="F1292">
        <v>195</v>
      </c>
      <c r="G1292">
        <v>1172</v>
      </c>
      <c r="H1292">
        <v>496</v>
      </c>
      <c r="I1292">
        <v>0.4</v>
      </c>
      <c r="J1292">
        <v>0.99</v>
      </c>
      <c r="K1292">
        <v>1160.28</v>
      </c>
    </row>
    <row r="1293" spans="1:11" x14ac:dyDescent="0.2">
      <c r="A1293">
        <v>85237</v>
      </c>
      <c r="B1293">
        <v>6637</v>
      </c>
      <c r="C1293" t="s">
        <v>4945</v>
      </c>
      <c r="D1293">
        <v>10</v>
      </c>
      <c r="E1293">
        <v>8</v>
      </c>
      <c r="F1293">
        <v>236</v>
      </c>
      <c r="G1293">
        <v>1888</v>
      </c>
      <c r="H1293">
        <v>50</v>
      </c>
      <c r="I1293">
        <v>4.7</v>
      </c>
      <c r="J1293">
        <v>2.99</v>
      </c>
      <c r="K1293">
        <v>5645.12</v>
      </c>
    </row>
    <row r="1294" spans="1:11" x14ac:dyDescent="0.2">
      <c r="A1294">
        <v>75077</v>
      </c>
      <c r="B1294">
        <v>6645</v>
      </c>
      <c r="C1294" t="s">
        <v>4946</v>
      </c>
      <c r="D1294">
        <v>9</v>
      </c>
      <c r="E1294">
        <v>12</v>
      </c>
      <c r="F1294">
        <v>0</v>
      </c>
      <c r="G1294">
        <v>0</v>
      </c>
      <c r="H1294">
        <v>112</v>
      </c>
      <c r="I1294">
        <v>0</v>
      </c>
      <c r="J1294">
        <v>3.39</v>
      </c>
      <c r="K1294">
        <v>0</v>
      </c>
    </row>
    <row r="1295" spans="1:11" x14ac:dyDescent="0.2">
      <c r="A1295">
        <v>72192</v>
      </c>
      <c r="B1295">
        <v>6653</v>
      </c>
      <c r="C1295" t="s">
        <v>4947</v>
      </c>
      <c r="D1295">
        <v>8</v>
      </c>
      <c r="E1295">
        <v>6</v>
      </c>
      <c r="F1295">
        <v>931</v>
      </c>
      <c r="G1295">
        <v>5586</v>
      </c>
      <c r="H1295">
        <v>162</v>
      </c>
      <c r="I1295">
        <v>5.7</v>
      </c>
      <c r="J1295">
        <v>1.95</v>
      </c>
      <c r="K1295">
        <v>10892.7</v>
      </c>
    </row>
    <row r="1296" spans="1:11" x14ac:dyDescent="0.2">
      <c r="A1296">
        <v>85236</v>
      </c>
      <c r="B1296">
        <v>6666</v>
      </c>
      <c r="C1296" t="s">
        <v>4948</v>
      </c>
      <c r="D1296">
        <v>10</v>
      </c>
      <c r="E1296">
        <v>6</v>
      </c>
      <c r="F1296">
        <v>389</v>
      </c>
      <c r="G1296">
        <v>2334</v>
      </c>
      <c r="H1296">
        <v>120</v>
      </c>
      <c r="I1296">
        <v>3.2</v>
      </c>
      <c r="J1296">
        <v>3.29</v>
      </c>
      <c r="K1296">
        <v>7678.86</v>
      </c>
    </row>
    <row r="1297" spans="1:11" x14ac:dyDescent="0.2">
      <c r="A1297">
        <v>85234</v>
      </c>
      <c r="B1297">
        <v>6669</v>
      </c>
      <c r="C1297" t="s">
        <v>4949</v>
      </c>
      <c r="D1297">
        <v>10</v>
      </c>
      <c r="E1297">
        <v>6</v>
      </c>
      <c r="F1297">
        <v>312</v>
      </c>
      <c r="G1297">
        <v>1872</v>
      </c>
      <c r="H1297">
        <v>120</v>
      </c>
      <c r="I1297">
        <v>2.6</v>
      </c>
      <c r="J1297">
        <v>3.29</v>
      </c>
      <c r="K1297">
        <v>6158.88</v>
      </c>
    </row>
    <row r="1298" spans="1:11" x14ac:dyDescent="0.2">
      <c r="A1298">
        <v>85232</v>
      </c>
      <c r="B1298">
        <v>6670</v>
      </c>
      <c r="C1298" t="s">
        <v>4950</v>
      </c>
      <c r="D1298">
        <v>10</v>
      </c>
      <c r="E1298">
        <v>6</v>
      </c>
      <c r="F1298">
        <v>399</v>
      </c>
      <c r="G1298">
        <v>2394</v>
      </c>
      <c r="H1298">
        <v>120</v>
      </c>
      <c r="I1298">
        <v>3.3</v>
      </c>
      <c r="J1298">
        <v>3.29</v>
      </c>
      <c r="K1298">
        <v>7876.26</v>
      </c>
    </row>
    <row r="1299" spans="1:11" x14ac:dyDescent="0.2">
      <c r="A1299">
        <v>84017</v>
      </c>
      <c r="B1299">
        <v>6707</v>
      </c>
      <c r="C1299" t="s">
        <v>4951</v>
      </c>
      <c r="D1299">
        <v>8</v>
      </c>
      <c r="E1299">
        <v>8</v>
      </c>
      <c r="F1299">
        <v>142</v>
      </c>
      <c r="G1299">
        <v>1136</v>
      </c>
      <c r="H1299">
        <v>70</v>
      </c>
      <c r="I1299">
        <v>2</v>
      </c>
      <c r="J1299">
        <v>2.75</v>
      </c>
      <c r="K1299">
        <v>3124</v>
      </c>
    </row>
    <row r="1300" spans="1:11" x14ac:dyDescent="0.2">
      <c r="A1300">
        <v>18645</v>
      </c>
      <c r="B1300">
        <v>6714</v>
      </c>
      <c r="C1300" t="s">
        <v>4952</v>
      </c>
      <c r="D1300">
        <v>6</v>
      </c>
      <c r="E1300">
        <v>12</v>
      </c>
      <c r="F1300">
        <v>0</v>
      </c>
      <c r="G1300">
        <v>0</v>
      </c>
      <c r="H1300">
        <v>84</v>
      </c>
      <c r="I1300">
        <v>0</v>
      </c>
      <c r="J1300">
        <v>4</v>
      </c>
      <c r="K1300">
        <v>0</v>
      </c>
    </row>
    <row r="1301" spans="1:11" x14ac:dyDescent="0.2">
      <c r="A1301">
        <v>82113</v>
      </c>
      <c r="B1301">
        <v>6721</v>
      </c>
      <c r="C1301" t="s">
        <v>4953</v>
      </c>
      <c r="D1301">
        <v>8</v>
      </c>
      <c r="E1301">
        <v>12</v>
      </c>
      <c r="F1301">
        <v>330</v>
      </c>
      <c r="G1301">
        <v>3955</v>
      </c>
      <c r="H1301">
        <v>50</v>
      </c>
      <c r="I1301">
        <v>6.6</v>
      </c>
      <c r="J1301">
        <v>2.09</v>
      </c>
      <c r="K1301">
        <v>8265.9500000000007</v>
      </c>
    </row>
    <row r="1302" spans="1:11" x14ac:dyDescent="0.2">
      <c r="A1302">
        <v>35509</v>
      </c>
      <c r="B1302">
        <v>6728</v>
      </c>
      <c r="C1302" t="s">
        <v>4954</v>
      </c>
      <c r="D1302">
        <v>10</v>
      </c>
      <c r="E1302">
        <v>6</v>
      </c>
      <c r="F1302">
        <v>0</v>
      </c>
      <c r="G1302">
        <v>0</v>
      </c>
      <c r="H1302">
        <v>90</v>
      </c>
      <c r="I1302">
        <v>0</v>
      </c>
      <c r="J1302">
        <v>2.99</v>
      </c>
      <c r="K1302">
        <v>0</v>
      </c>
    </row>
    <row r="1303" spans="1:11" x14ac:dyDescent="0.2">
      <c r="A1303">
        <v>57249</v>
      </c>
      <c r="B1303">
        <v>6772</v>
      </c>
      <c r="C1303" t="s">
        <v>4955</v>
      </c>
      <c r="D1303">
        <v>10</v>
      </c>
      <c r="E1303">
        <v>16</v>
      </c>
      <c r="F1303">
        <v>0</v>
      </c>
      <c r="G1303">
        <v>0</v>
      </c>
      <c r="H1303">
        <v>66</v>
      </c>
      <c r="I1303">
        <v>0</v>
      </c>
      <c r="J1303">
        <v>1.39</v>
      </c>
      <c r="K1303">
        <v>0</v>
      </c>
    </row>
    <row r="1304" spans="1:11" x14ac:dyDescent="0.2">
      <c r="A1304">
        <v>43504</v>
      </c>
      <c r="B1304">
        <v>6776</v>
      </c>
      <c r="C1304" t="s">
        <v>4956</v>
      </c>
      <c r="D1304">
        <v>10</v>
      </c>
      <c r="E1304">
        <v>10</v>
      </c>
      <c r="F1304">
        <v>3</v>
      </c>
      <c r="G1304">
        <v>30</v>
      </c>
      <c r="H1304">
        <v>90</v>
      </c>
      <c r="I1304">
        <v>0</v>
      </c>
      <c r="J1304">
        <v>4.29</v>
      </c>
      <c r="K1304">
        <v>128.69999999999999</v>
      </c>
    </row>
    <row r="1305" spans="1:11" x14ac:dyDescent="0.2">
      <c r="A1305">
        <v>87049</v>
      </c>
      <c r="B1305">
        <v>6813</v>
      </c>
      <c r="C1305" t="s">
        <v>4957</v>
      </c>
      <c r="D1305">
        <v>8</v>
      </c>
      <c r="E1305">
        <v>10</v>
      </c>
      <c r="F1305">
        <v>320</v>
      </c>
      <c r="G1305">
        <v>3200</v>
      </c>
      <c r="H1305">
        <v>80</v>
      </c>
      <c r="I1305">
        <v>4</v>
      </c>
      <c r="J1305">
        <v>2.59</v>
      </c>
      <c r="K1305">
        <v>8288</v>
      </c>
    </row>
    <row r="1306" spans="1:11" x14ac:dyDescent="0.2">
      <c r="A1306">
        <v>36616</v>
      </c>
      <c r="B1306">
        <v>6814</v>
      </c>
      <c r="C1306" t="s">
        <v>4958</v>
      </c>
      <c r="D1306">
        <v>10</v>
      </c>
      <c r="E1306">
        <v>15</v>
      </c>
      <c r="F1306">
        <v>0</v>
      </c>
      <c r="G1306">
        <v>0</v>
      </c>
      <c r="H1306">
        <v>80</v>
      </c>
      <c r="I1306">
        <v>0</v>
      </c>
      <c r="J1306">
        <v>2.89</v>
      </c>
      <c r="K1306">
        <v>0</v>
      </c>
    </row>
    <row r="1307" spans="1:11" x14ac:dyDescent="0.2">
      <c r="A1307">
        <v>85171</v>
      </c>
      <c r="B1307">
        <v>6828</v>
      </c>
      <c r="C1307" t="s">
        <v>4959</v>
      </c>
      <c r="D1307">
        <v>9</v>
      </c>
      <c r="E1307">
        <v>6</v>
      </c>
      <c r="F1307">
        <v>4</v>
      </c>
      <c r="G1307">
        <v>24</v>
      </c>
      <c r="H1307">
        <v>150</v>
      </c>
      <c r="I1307">
        <v>0</v>
      </c>
      <c r="J1307">
        <v>1.99</v>
      </c>
      <c r="K1307">
        <v>47.76</v>
      </c>
    </row>
    <row r="1308" spans="1:11" x14ac:dyDescent="0.2">
      <c r="A1308">
        <v>48625</v>
      </c>
      <c r="B1308">
        <v>6850</v>
      </c>
      <c r="C1308" t="s">
        <v>4960</v>
      </c>
      <c r="D1308">
        <v>10</v>
      </c>
      <c r="E1308">
        <v>6</v>
      </c>
      <c r="F1308">
        <v>-1</v>
      </c>
      <c r="G1308">
        <v>-6</v>
      </c>
      <c r="H1308">
        <v>105</v>
      </c>
      <c r="I1308">
        <v>0</v>
      </c>
      <c r="J1308">
        <v>3.99</v>
      </c>
      <c r="K1308">
        <v>-23.94</v>
      </c>
    </row>
    <row r="1309" spans="1:11" x14ac:dyDescent="0.2">
      <c r="A1309">
        <v>91043</v>
      </c>
      <c r="B1309">
        <v>6862</v>
      </c>
      <c r="C1309" t="s">
        <v>4961</v>
      </c>
      <c r="D1309">
        <v>8</v>
      </c>
      <c r="E1309">
        <v>1</v>
      </c>
      <c r="F1309">
        <v>399</v>
      </c>
      <c r="G1309">
        <v>399</v>
      </c>
      <c r="H1309">
        <v>70</v>
      </c>
      <c r="I1309">
        <v>5.7</v>
      </c>
      <c r="J1309">
        <v>4.99</v>
      </c>
      <c r="K1309">
        <v>1991.01</v>
      </c>
    </row>
    <row r="1310" spans="1:11" x14ac:dyDescent="0.2">
      <c r="A1310">
        <v>57519</v>
      </c>
      <c r="B1310">
        <v>6864</v>
      </c>
      <c r="C1310" t="s">
        <v>4962</v>
      </c>
      <c r="D1310">
        <v>10</v>
      </c>
      <c r="E1310">
        <v>4</v>
      </c>
      <c r="F1310">
        <v>1</v>
      </c>
      <c r="G1310">
        <v>4</v>
      </c>
      <c r="H1310">
        <v>171</v>
      </c>
      <c r="I1310">
        <v>0</v>
      </c>
      <c r="J1310">
        <v>1.99</v>
      </c>
      <c r="K1310">
        <v>7.96</v>
      </c>
    </row>
    <row r="1311" spans="1:11" x14ac:dyDescent="0.2">
      <c r="B1311">
        <v>6877</v>
      </c>
      <c r="C1311" t="s">
        <v>4963</v>
      </c>
      <c r="D1311">
        <v>10</v>
      </c>
      <c r="E1311">
        <v>6</v>
      </c>
      <c r="F1311">
        <v>0</v>
      </c>
      <c r="G1311">
        <v>0</v>
      </c>
      <c r="H1311">
        <v>188</v>
      </c>
      <c r="I1311">
        <v>0</v>
      </c>
      <c r="J1311">
        <v>2.4900000000000002</v>
      </c>
      <c r="K1311">
        <v>0</v>
      </c>
    </row>
    <row r="1312" spans="1:11" x14ac:dyDescent="0.2">
      <c r="A1312">
        <v>26503</v>
      </c>
      <c r="B1312">
        <v>6899</v>
      </c>
      <c r="C1312" t="s">
        <v>4964</v>
      </c>
      <c r="D1312">
        <v>10</v>
      </c>
      <c r="E1312">
        <v>8</v>
      </c>
      <c r="F1312">
        <v>0</v>
      </c>
      <c r="G1312">
        <v>0</v>
      </c>
      <c r="H1312">
        <v>70</v>
      </c>
      <c r="I1312">
        <v>0</v>
      </c>
      <c r="J1312">
        <v>1.99</v>
      </c>
      <c r="K1312">
        <v>0</v>
      </c>
    </row>
    <row r="1313" spans="1:12" x14ac:dyDescent="0.2">
      <c r="A1313">
        <v>82039</v>
      </c>
      <c r="B1313">
        <v>6906</v>
      </c>
      <c r="C1313" t="s">
        <v>4965</v>
      </c>
      <c r="D1313">
        <v>8</v>
      </c>
      <c r="E1313">
        <v>6</v>
      </c>
      <c r="F1313">
        <v>349</v>
      </c>
      <c r="G1313">
        <v>2094</v>
      </c>
      <c r="H1313">
        <v>55</v>
      </c>
      <c r="I1313">
        <v>6.3</v>
      </c>
      <c r="J1313">
        <v>1.78</v>
      </c>
      <c r="K1313">
        <v>3727.32</v>
      </c>
    </row>
    <row r="1314" spans="1:12" x14ac:dyDescent="0.2">
      <c r="A1314">
        <v>85226</v>
      </c>
      <c r="B1314">
        <v>6920</v>
      </c>
      <c r="C1314" t="s">
        <v>4966</v>
      </c>
      <c r="D1314">
        <v>10</v>
      </c>
      <c r="E1314">
        <v>8</v>
      </c>
      <c r="F1314">
        <v>373</v>
      </c>
      <c r="G1314">
        <v>2984</v>
      </c>
      <c r="H1314">
        <v>84</v>
      </c>
      <c r="I1314">
        <v>4.4000000000000004</v>
      </c>
      <c r="J1314">
        <v>2.19</v>
      </c>
      <c r="K1314">
        <v>6534.96</v>
      </c>
    </row>
    <row r="1315" spans="1:12" x14ac:dyDescent="0.2">
      <c r="A1315">
        <v>91104</v>
      </c>
      <c r="B1315">
        <v>6924</v>
      </c>
      <c r="C1315" t="s">
        <v>4967</v>
      </c>
      <c r="D1315">
        <v>8</v>
      </c>
      <c r="E1315">
        <v>1</v>
      </c>
      <c r="F1315">
        <v>1839</v>
      </c>
      <c r="G1315">
        <v>1839</v>
      </c>
      <c r="H1315">
        <v>150</v>
      </c>
      <c r="I1315">
        <v>12.3</v>
      </c>
      <c r="J1315">
        <v>4.99</v>
      </c>
      <c r="K1315">
        <v>9176.61</v>
      </c>
    </row>
    <row r="1316" spans="1:12" x14ac:dyDescent="0.2">
      <c r="A1316">
        <v>4608</v>
      </c>
      <c r="B1316">
        <v>6929</v>
      </c>
      <c r="C1316" t="s">
        <v>4968</v>
      </c>
      <c r="D1316">
        <v>6</v>
      </c>
      <c r="E1316">
        <v>6</v>
      </c>
      <c r="F1316">
        <v>0</v>
      </c>
      <c r="G1316">
        <v>0</v>
      </c>
      <c r="H1316">
        <v>248</v>
      </c>
      <c r="I1316">
        <v>0</v>
      </c>
      <c r="J1316">
        <v>1.79</v>
      </c>
      <c r="K1316">
        <v>0</v>
      </c>
    </row>
    <row r="1317" spans="1:12" x14ac:dyDescent="0.2">
      <c r="A1317">
        <v>57007</v>
      </c>
      <c r="B1317">
        <v>6942</v>
      </c>
      <c r="C1317" t="s">
        <v>4969</v>
      </c>
      <c r="D1317">
        <v>11</v>
      </c>
      <c r="E1317">
        <v>6</v>
      </c>
      <c r="F1317">
        <v>0</v>
      </c>
      <c r="G1317">
        <v>0</v>
      </c>
      <c r="H1317">
        <v>96</v>
      </c>
      <c r="I1317">
        <v>0</v>
      </c>
      <c r="J1317">
        <v>3.4</v>
      </c>
      <c r="K1317">
        <v>0</v>
      </c>
    </row>
    <row r="1318" spans="1:12" x14ac:dyDescent="0.2">
      <c r="A1318">
        <v>75198</v>
      </c>
      <c r="B1318">
        <v>6945</v>
      </c>
      <c r="C1318" t="s">
        <v>4970</v>
      </c>
      <c r="D1318">
        <v>9</v>
      </c>
      <c r="E1318">
        <v>22</v>
      </c>
      <c r="F1318">
        <v>4</v>
      </c>
      <c r="G1318">
        <v>88</v>
      </c>
      <c r="H1318">
        <v>96</v>
      </c>
      <c r="I1318">
        <v>0</v>
      </c>
      <c r="J1318">
        <v>2.19</v>
      </c>
      <c r="K1318">
        <v>192.72</v>
      </c>
    </row>
    <row r="1319" spans="1:12" x14ac:dyDescent="0.2">
      <c r="A1319">
        <v>75204</v>
      </c>
      <c r="B1319">
        <v>6960</v>
      </c>
      <c r="C1319" t="s">
        <v>4971</v>
      </c>
      <c r="D1319">
        <v>9</v>
      </c>
      <c r="E1319">
        <v>16</v>
      </c>
      <c r="F1319">
        <v>3</v>
      </c>
      <c r="G1319">
        <v>48</v>
      </c>
      <c r="H1319">
        <v>45</v>
      </c>
      <c r="I1319">
        <v>0.1</v>
      </c>
      <c r="J1319">
        <v>4.79</v>
      </c>
      <c r="K1319">
        <v>229.92</v>
      </c>
    </row>
    <row r="1320" spans="1:12" x14ac:dyDescent="0.2">
      <c r="A1320">
        <v>73274</v>
      </c>
      <c r="B1320">
        <v>6976</v>
      </c>
      <c r="C1320" t="s">
        <v>4972</v>
      </c>
      <c r="D1320">
        <v>10</v>
      </c>
      <c r="E1320">
        <v>16</v>
      </c>
      <c r="F1320">
        <v>121</v>
      </c>
      <c r="G1320">
        <v>1936</v>
      </c>
      <c r="H1320">
        <v>60</v>
      </c>
      <c r="I1320">
        <v>2</v>
      </c>
      <c r="J1320">
        <v>1.29</v>
      </c>
      <c r="K1320">
        <v>2497.44</v>
      </c>
    </row>
    <row r="1321" spans="1:12" x14ac:dyDescent="0.2">
      <c r="B1321">
        <v>6996</v>
      </c>
      <c r="C1321" t="s">
        <v>4973</v>
      </c>
      <c r="D1321">
        <v>12</v>
      </c>
      <c r="E1321">
        <v>12</v>
      </c>
      <c r="F1321">
        <v>0</v>
      </c>
      <c r="G1321">
        <v>0</v>
      </c>
      <c r="H1321">
        <v>112</v>
      </c>
      <c r="I1321">
        <v>0</v>
      </c>
      <c r="J1321">
        <v>0.5</v>
      </c>
      <c r="K1321">
        <v>0</v>
      </c>
      <c r="L1321" t="s">
        <v>3699</v>
      </c>
    </row>
    <row r="1322" spans="1:12" x14ac:dyDescent="0.2">
      <c r="A1322">
        <v>61001</v>
      </c>
      <c r="B1322">
        <v>6997</v>
      </c>
      <c r="C1322" t="s">
        <v>4974</v>
      </c>
      <c r="D1322">
        <v>8</v>
      </c>
      <c r="E1322">
        <v>6</v>
      </c>
      <c r="F1322">
        <v>578</v>
      </c>
      <c r="G1322">
        <v>3468</v>
      </c>
      <c r="H1322">
        <v>100</v>
      </c>
      <c r="I1322">
        <v>5.8</v>
      </c>
      <c r="J1322">
        <v>1.99</v>
      </c>
      <c r="K1322">
        <v>6901.32</v>
      </c>
    </row>
    <row r="1323" spans="1:12" x14ac:dyDescent="0.2">
      <c r="B1323">
        <v>7010</v>
      </c>
      <c r="C1323" t="s">
        <v>4975</v>
      </c>
      <c r="D1323">
        <v>7</v>
      </c>
      <c r="E1323">
        <v>1</v>
      </c>
      <c r="F1323">
        <v>813</v>
      </c>
      <c r="G1323">
        <v>813</v>
      </c>
      <c r="H1323">
        <v>1</v>
      </c>
      <c r="I1323">
        <v>813</v>
      </c>
      <c r="J1323">
        <v>0.01</v>
      </c>
      <c r="K1323">
        <v>8.1300000000000008</v>
      </c>
    </row>
    <row r="1324" spans="1:12" x14ac:dyDescent="0.2">
      <c r="B1324">
        <v>7011</v>
      </c>
      <c r="C1324" t="s">
        <v>4976</v>
      </c>
      <c r="D1324">
        <v>7</v>
      </c>
      <c r="E1324">
        <v>1</v>
      </c>
      <c r="F1324">
        <v>550</v>
      </c>
      <c r="G1324">
        <v>550</v>
      </c>
      <c r="H1324">
        <v>1</v>
      </c>
      <c r="I1324">
        <v>550</v>
      </c>
      <c r="J1324">
        <v>0.01</v>
      </c>
      <c r="K1324">
        <v>5.5</v>
      </c>
    </row>
    <row r="1325" spans="1:12" x14ac:dyDescent="0.2">
      <c r="B1325">
        <v>7039</v>
      </c>
      <c r="C1325" t="s">
        <v>4977</v>
      </c>
      <c r="D1325">
        <v>11</v>
      </c>
      <c r="E1325">
        <v>6</v>
      </c>
      <c r="F1325">
        <v>0</v>
      </c>
      <c r="G1325">
        <v>0</v>
      </c>
      <c r="H1325">
        <v>105</v>
      </c>
      <c r="I1325">
        <v>0</v>
      </c>
      <c r="J1325">
        <v>1.99</v>
      </c>
      <c r="K1325">
        <v>0</v>
      </c>
    </row>
    <row r="1326" spans="1:12" x14ac:dyDescent="0.2">
      <c r="A1326">
        <v>99056</v>
      </c>
      <c r="B1326">
        <v>7081</v>
      </c>
      <c r="C1326" t="s">
        <v>4978</v>
      </c>
      <c r="D1326">
        <v>10</v>
      </c>
      <c r="E1326">
        <v>9</v>
      </c>
      <c r="F1326">
        <v>0</v>
      </c>
      <c r="G1326">
        <v>0</v>
      </c>
      <c r="H1326">
        <v>147</v>
      </c>
      <c r="I1326">
        <v>0</v>
      </c>
      <c r="J1326">
        <v>2.69</v>
      </c>
      <c r="K1326">
        <v>0</v>
      </c>
    </row>
    <row r="1327" spans="1:12" x14ac:dyDescent="0.2">
      <c r="B1327">
        <v>7082</v>
      </c>
      <c r="C1327" t="s">
        <v>4979</v>
      </c>
      <c r="D1327">
        <v>11</v>
      </c>
      <c r="E1327">
        <v>6</v>
      </c>
      <c r="F1327">
        <v>0</v>
      </c>
      <c r="G1327">
        <v>0</v>
      </c>
      <c r="H1327">
        <v>80</v>
      </c>
      <c r="I1327">
        <v>0</v>
      </c>
      <c r="J1327">
        <v>6.99</v>
      </c>
      <c r="K1327">
        <v>0</v>
      </c>
    </row>
    <row r="1328" spans="1:12" x14ac:dyDescent="0.2">
      <c r="A1328">
        <v>91045</v>
      </c>
      <c r="B1328">
        <v>7094</v>
      </c>
      <c r="C1328" t="s">
        <v>4980</v>
      </c>
      <c r="D1328">
        <v>8</v>
      </c>
      <c r="E1328">
        <v>1</v>
      </c>
      <c r="F1328">
        <v>438</v>
      </c>
      <c r="G1328">
        <v>438</v>
      </c>
      <c r="H1328">
        <v>96</v>
      </c>
      <c r="I1328">
        <v>4.5999999999999996</v>
      </c>
      <c r="J1328">
        <v>3.65</v>
      </c>
      <c r="K1328">
        <v>1598.7</v>
      </c>
    </row>
    <row r="1329" spans="1:11" x14ac:dyDescent="0.2">
      <c r="B1329">
        <v>7095</v>
      </c>
      <c r="C1329" t="s">
        <v>4981</v>
      </c>
      <c r="D1329">
        <v>6</v>
      </c>
      <c r="E1329">
        <v>1</v>
      </c>
      <c r="F1329">
        <v>0</v>
      </c>
      <c r="G1329">
        <v>0</v>
      </c>
      <c r="H1329">
        <v>128</v>
      </c>
      <c r="I1329">
        <v>0</v>
      </c>
      <c r="J1329">
        <v>10.99</v>
      </c>
      <c r="K1329">
        <v>0</v>
      </c>
    </row>
    <row r="1330" spans="1:11" x14ac:dyDescent="0.2">
      <c r="B1330">
        <v>7098</v>
      </c>
      <c r="C1330" t="s">
        <v>4982</v>
      </c>
      <c r="D1330">
        <v>6</v>
      </c>
      <c r="E1330">
        <v>1</v>
      </c>
      <c r="F1330">
        <v>0</v>
      </c>
      <c r="G1330">
        <v>0</v>
      </c>
      <c r="H1330">
        <v>96</v>
      </c>
      <c r="I1330">
        <v>0</v>
      </c>
      <c r="J1330">
        <v>5.99</v>
      </c>
      <c r="K1330">
        <v>0</v>
      </c>
    </row>
    <row r="1331" spans="1:11" x14ac:dyDescent="0.2">
      <c r="A1331">
        <v>91096</v>
      </c>
      <c r="B1331">
        <v>7100</v>
      </c>
      <c r="C1331" t="s">
        <v>4983</v>
      </c>
      <c r="D1331">
        <v>8</v>
      </c>
      <c r="E1331">
        <v>1</v>
      </c>
      <c r="F1331">
        <v>1020</v>
      </c>
      <c r="G1331">
        <v>1020</v>
      </c>
      <c r="H1331">
        <v>60</v>
      </c>
      <c r="I1331">
        <v>17</v>
      </c>
      <c r="J1331">
        <v>2.99</v>
      </c>
      <c r="K1331">
        <v>3049.8</v>
      </c>
    </row>
    <row r="1332" spans="1:11" x14ac:dyDescent="0.2">
      <c r="A1332">
        <v>91124</v>
      </c>
      <c r="B1332">
        <v>7145</v>
      </c>
      <c r="C1332" t="s">
        <v>4984</v>
      </c>
      <c r="D1332">
        <v>8</v>
      </c>
      <c r="E1332">
        <v>1</v>
      </c>
      <c r="F1332">
        <v>110</v>
      </c>
      <c r="G1332">
        <v>110</v>
      </c>
      <c r="H1332">
        <v>44</v>
      </c>
      <c r="I1332">
        <v>2.5</v>
      </c>
      <c r="J1332">
        <v>7.89</v>
      </c>
      <c r="K1332">
        <v>869.48</v>
      </c>
    </row>
    <row r="1333" spans="1:11" x14ac:dyDescent="0.2">
      <c r="A1333">
        <v>83012</v>
      </c>
      <c r="B1333">
        <v>7159</v>
      </c>
      <c r="C1333" t="s">
        <v>4985</v>
      </c>
      <c r="D1333">
        <v>8</v>
      </c>
      <c r="E1333">
        <v>20</v>
      </c>
      <c r="F1333">
        <v>173</v>
      </c>
      <c r="G1333">
        <v>3460</v>
      </c>
      <c r="H1333">
        <v>90</v>
      </c>
      <c r="I1333">
        <v>1.9</v>
      </c>
      <c r="J1333">
        <v>2.99</v>
      </c>
      <c r="K1333">
        <v>10345.4</v>
      </c>
    </row>
    <row r="1334" spans="1:11" x14ac:dyDescent="0.2">
      <c r="B1334">
        <v>7160</v>
      </c>
      <c r="C1334" t="s">
        <v>4986</v>
      </c>
      <c r="D1334">
        <v>11</v>
      </c>
      <c r="E1334">
        <v>1</v>
      </c>
      <c r="F1334">
        <v>-13</v>
      </c>
      <c r="G1334">
        <v>-13</v>
      </c>
      <c r="H1334">
        <v>88</v>
      </c>
      <c r="I1334">
        <v>-0.1</v>
      </c>
      <c r="J1334">
        <v>3.29</v>
      </c>
      <c r="K1334">
        <v>-42.77</v>
      </c>
    </row>
    <row r="1335" spans="1:11" x14ac:dyDescent="0.2">
      <c r="A1335">
        <v>83188</v>
      </c>
      <c r="B1335">
        <v>7161</v>
      </c>
      <c r="C1335" t="s">
        <v>4987</v>
      </c>
      <c r="D1335">
        <v>8</v>
      </c>
      <c r="E1335">
        <v>4</v>
      </c>
      <c r="F1335">
        <v>268</v>
      </c>
      <c r="G1335">
        <v>1072</v>
      </c>
      <c r="H1335">
        <v>80</v>
      </c>
      <c r="I1335">
        <v>3.4</v>
      </c>
      <c r="J1335">
        <v>4.99</v>
      </c>
      <c r="K1335">
        <v>5349.28</v>
      </c>
    </row>
    <row r="1336" spans="1:11" x14ac:dyDescent="0.2">
      <c r="A1336">
        <v>30684</v>
      </c>
      <c r="B1336">
        <v>7163</v>
      </c>
      <c r="C1336" t="s">
        <v>4988</v>
      </c>
      <c r="D1336">
        <v>10</v>
      </c>
      <c r="E1336">
        <v>12</v>
      </c>
      <c r="F1336">
        <v>0</v>
      </c>
      <c r="G1336">
        <v>0</v>
      </c>
      <c r="H1336">
        <v>80</v>
      </c>
      <c r="I1336">
        <v>0</v>
      </c>
      <c r="J1336">
        <v>2.5</v>
      </c>
      <c r="K1336">
        <v>0</v>
      </c>
    </row>
    <row r="1337" spans="1:11" x14ac:dyDescent="0.2">
      <c r="A1337">
        <v>57570</v>
      </c>
      <c r="B1337">
        <v>7244</v>
      </c>
      <c r="C1337" t="s">
        <v>4989</v>
      </c>
      <c r="D1337">
        <v>10</v>
      </c>
      <c r="E1337">
        <v>12</v>
      </c>
      <c r="F1337">
        <v>0</v>
      </c>
      <c r="G1337">
        <v>0</v>
      </c>
      <c r="H1337">
        <v>60</v>
      </c>
      <c r="I1337">
        <v>0</v>
      </c>
      <c r="J1337">
        <v>0.5</v>
      </c>
      <c r="K1337">
        <v>0</v>
      </c>
    </row>
    <row r="1338" spans="1:11" x14ac:dyDescent="0.2">
      <c r="A1338">
        <v>99078</v>
      </c>
      <c r="B1338">
        <v>7249</v>
      </c>
      <c r="C1338" t="s">
        <v>4990</v>
      </c>
      <c r="D1338">
        <v>10</v>
      </c>
      <c r="E1338">
        <v>3</v>
      </c>
      <c r="F1338">
        <v>0</v>
      </c>
      <c r="G1338">
        <v>0</v>
      </c>
      <c r="H1338">
        <v>72</v>
      </c>
      <c r="I1338">
        <v>0</v>
      </c>
      <c r="J1338">
        <v>9.99</v>
      </c>
      <c r="K1338">
        <v>0</v>
      </c>
    </row>
    <row r="1339" spans="1:11" x14ac:dyDescent="0.2">
      <c r="A1339">
        <v>3616</v>
      </c>
      <c r="B1339">
        <v>7275</v>
      </c>
      <c r="C1339" t="s">
        <v>4991</v>
      </c>
      <c r="D1339">
        <v>6</v>
      </c>
      <c r="E1339">
        <v>20</v>
      </c>
      <c r="F1339">
        <v>0</v>
      </c>
      <c r="G1339">
        <v>0</v>
      </c>
      <c r="H1339">
        <v>108</v>
      </c>
      <c r="I1339">
        <v>0</v>
      </c>
      <c r="J1339">
        <v>0.69</v>
      </c>
      <c r="K1339">
        <v>0</v>
      </c>
    </row>
    <row r="1340" spans="1:11" x14ac:dyDescent="0.2">
      <c r="A1340">
        <v>57571</v>
      </c>
      <c r="B1340">
        <v>7276</v>
      </c>
      <c r="C1340" t="s">
        <v>4992</v>
      </c>
      <c r="D1340">
        <v>10</v>
      </c>
      <c r="E1340">
        <v>18</v>
      </c>
      <c r="F1340">
        <v>2</v>
      </c>
      <c r="G1340">
        <v>36</v>
      </c>
      <c r="H1340">
        <v>50</v>
      </c>
      <c r="I1340">
        <v>0</v>
      </c>
      <c r="J1340">
        <v>0.5</v>
      </c>
      <c r="K1340">
        <v>18</v>
      </c>
    </row>
    <row r="1341" spans="1:11" x14ac:dyDescent="0.2">
      <c r="A1341">
        <v>3617</v>
      </c>
      <c r="B1341">
        <v>7284</v>
      </c>
      <c r="C1341" t="s">
        <v>4993</v>
      </c>
      <c r="D1341">
        <v>6</v>
      </c>
      <c r="E1341">
        <v>20</v>
      </c>
      <c r="F1341">
        <v>0</v>
      </c>
      <c r="G1341">
        <v>0</v>
      </c>
      <c r="H1341">
        <v>108</v>
      </c>
      <c r="I1341">
        <v>0</v>
      </c>
      <c r="J1341">
        <v>0.69</v>
      </c>
      <c r="K1341">
        <v>0</v>
      </c>
    </row>
    <row r="1342" spans="1:11" x14ac:dyDescent="0.2">
      <c r="A1342">
        <v>38600</v>
      </c>
      <c r="B1342">
        <v>7327</v>
      </c>
      <c r="C1342" t="s">
        <v>4994</v>
      </c>
      <c r="D1342">
        <v>10</v>
      </c>
      <c r="E1342">
        <v>6</v>
      </c>
      <c r="F1342">
        <v>0</v>
      </c>
      <c r="G1342">
        <v>0</v>
      </c>
      <c r="H1342">
        <v>54</v>
      </c>
      <c r="I1342">
        <v>0</v>
      </c>
      <c r="J1342">
        <v>3</v>
      </c>
      <c r="K1342">
        <v>0</v>
      </c>
    </row>
    <row r="1343" spans="1:11" x14ac:dyDescent="0.2">
      <c r="A1343">
        <v>38602</v>
      </c>
      <c r="B1343">
        <v>7335</v>
      </c>
      <c r="C1343" t="s">
        <v>4995</v>
      </c>
      <c r="D1343">
        <v>10</v>
      </c>
      <c r="E1343">
        <v>6</v>
      </c>
      <c r="F1343">
        <v>0</v>
      </c>
      <c r="G1343">
        <v>0</v>
      </c>
      <c r="H1343">
        <v>54</v>
      </c>
      <c r="I1343">
        <v>0</v>
      </c>
      <c r="J1343">
        <v>3</v>
      </c>
      <c r="K1343">
        <v>0</v>
      </c>
    </row>
    <row r="1344" spans="1:11" x14ac:dyDescent="0.2">
      <c r="A1344">
        <v>75083</v>
      </c>
      <c r="B1344">
        <v>7337</v>
      </c>
      <c r="C1344" t="s">
        <v>4996</v>
      </c>
      <c r="D1344">
        <v>9</v>
      </c>
      <c r="E1344">
        <v>7</v>
      </c>
      <c r="F1344">
        <v>0</v>
      </c>
      <c r="G1344">
        <v>0</v>
      </c>
      <c r="H1344">
        <v>196</v>
      </c>
      <c r="I1344">
        <v>0</v>
      </c>
      <c r="J1344">
        <v>1.79</v>
      </c>
      <c r="K1344">
        <v>0</v>
      </c>
    </row>
    <row r="1345" spans="1:11" x14ac:dyDescent="0.2">
      <c r="A1345">
        <v>54005</v>
      </c>
      <c r="B1345">
        <v>7399</v>
      </c>
      <c r="C1345" t="s">
        <v>4997</v>
      </c>
      <c r="D1345">
        <v>10</v>
      </c>
      <c r="E1345">
        <v>1</v>
      </c>
      <c r="F1345">
        <v>-141</v>
      </c>
      <c r="G1345">
        <v>-141</v>
      </c>
      <c r="H1345">
        <v>100</v>
      </c>
      <c r="I1345">
        <v>-1.4</v>
      </c>
      <c r="J1345">
        <v>0.5</v>
      </c>
      <c r="K1345">
        <v>-70.5</v>
      </c>
    </row>
    <row r="1346" spans="1:11" x14ac:dyDescent="0.2">
      <c r="A1346">
        <v>54006</v>
      </c>
      <c r="B1346">
        <v>7401</v>
      </c>
      <c r="C1346" t="s">
        <v>4998</v>
      </c>
      <c r="D1346">
        <v>10</v>
      </c>
      <c r="E1346">
        <v>1</v>
      </c>
      <c r="F1346">
        <v>-158</v>
      </c>
      <c r="G1346">
        <v>-158</v>
      </c>
      <c r="H1346">
        <v>100</v>
      </c>
      <c r="I1346">
        <v>-1.6</v>
      </c>
      <c r="J1346">
        <v>1</v>
      </c>
      <c r="K1346">
        <v>-158</v>
      </c>
    </row>
    <row r="1347" spans="1:11" x14ac:dyDescent="0.2">
      <c r="A1347">
        <v>54007</v>
      </c>
      <c r="B1347">
        <v>7405</v>
      </c>
      <c r="C1347" t="s">
        <v>4999</v>
      </c>
      <c r="D1347">
        <v>10</v>
      </c>
      <c r="E1347">
        <v>1</v>
      </c>
      <c r="F1347">
        <v>-285</v>
      </c>
      <c r="G1347">
        <v>-285</v>
      </c>
      <c r="H1347">
        <v>100</v>
      </c>
      <c r="I1347">
        <v>-2.9</v>
      </c>
      <c r="J1347">
        <v>2</v>
      </c>
      <c r="K1347">
        <v>-570</v>
      </c>
    </row>
    <row r="1348" spans="1:11" x14ac:dyDescent="0.2">
      <c r="A1348">
        <v>54003</v>
      </c>
      <c r="B1348">
        <v>7406</v>
      </c>
      <c r="C1348" t="s">
        <v>5000</v>
      </c>
      <c r="D1348">
        <v>10</v>
      </c>
      <c r="E1348">
        <v>1</v>
      </c>
      <c r="F1348">
        <v>-2206</v>
      </c>
      <c r="G1348">
        <v>-2206</v>
      </c>
      <c r="H1348">
        <v>100</v>
      </c>
      <c r="I1348">
        <v>-22.1</v>
      </c>
      <c r="J1348">
        <v>3</v>
      </c>
      <c r="K1348">
        <v>-6618</v>
      </c>
    </row>
    <row r="1349" spans="1:11" x14ac:dyDescent="0.2">
      <c r="A1349">
        <v>54004</v>
      </c>
      <c r="B1349">
        <v>7412</v>
      </c>
      <c r="C1349" t="s">
        <v>5001</v>
      </c>
      <c r="D1349">
        <v>10</v>
      </c>
      <c r="E1349">
        <v>1</v>
      </c>
      <c r="F1349">
        <v>-120</v>
      </c>
      <c r="G1349">
        <v>-120</v>
      </c>
      <c r="H1349">
        <v>100</v>
      </c>
      <c r="I1349">
        <v>-1.2</v>
      </c>
      <c r="J1349">
        <v>5</v>
      </c>
      <c r="K1349">
        <v>-600</v>
      </c>
    </row>
    <row r="1350" spans="1:11" x14ac:dyDescent="0.2">
      <c r="A1350">
        <v>54000</v>
      </c>
      <c r="B1350">
        <v>7413</v>
      </c>
      <c r="C1350" t="s">
        <v>5002</v>
      </c>
      <c r="D1350">
        <v>10</v>
      </c>
      <c r="E1350">
        <v>1</v>
      </c>
      <c r="F1350">
        <v>-84</v>
      </c>
      <c r="G1350">
        <v>-84</v>
      </c>
      <c r="H1350">
        <v>100</v>
      </c>
      <c r="I1350">
        <v>-0.8</v>
      </c>
      <c r="J1350">
        <v>7</v>
      </c>
      <c r="K1350">
        <v>-588</v>
      </c>
    </row>
    <row r="1351" spans="1:11" x14ac:dyDescent="0.2">
      <c r="B1351">
        <v>7416</v>
      </c>
      <c r="C1351" t="s">
        <v>5003</v>
      </c>
      <c r="D1351">
        <v>11</v>
      </c>
      <c r="E1351">
        <v>1</v>
      </c>
      <c r="F1351">
        <v>3</v>
      </c>
      <c r="G1351">
        <v>3</v>
      </c>
      <c r="H1351">
        <v>80</v>
      </c>
      <c r="I1351">
        <v>0</v>
      </c>
      <c r="J1351">
        <v>12.99</v>
      </c>
      <c r="K1351">
        <v>38.97</v>
      </c>
    </row>
    <row r="1352" spans="1:11" x14ac:dyDescent="0.2">
      <c r="A1352">
        <v>54001</v>
      </c>
      <c r="B1352">
        <v>7417</v>
      </c>
      <c r="C1352" t="s">
        <v>5004</v>
      </c>
      <c r="D1352">
        <v>10</v>
      </c>
      <c r="E1352">
        <v>1</v>
      </c>
      <c r="F1352">
        <v>-46</v>
      </c>
      <c r="G1352">
        <v>-46</v>
      </c>
      <c r="H1352">
        <v>100</v>
      </c>
      <c r="I1352">
        <v>-0.5</v>
      </c>
      <c r="J1352">
        <v>10</v>
      </c>
      <c r="K1352">
        <v>-460</v>
      </c>
    </row>
    <row r="1353" spans="1:11" x14ac:dyDescent="0.2">
      <c r="A1353">
        <v>75206</v>
      </c>
      <c r="B1353">
        <v>7432</v>
      </c>
      <c r="C1353" t="s">
        <v>5005</v>
      </c>
      <c r="D1353">
        <v>11</v>
      </c>
      <c r="E1353">
        <v>6</v>
      </c>
      <c r="F1353">
        <v>-3</v>
      </c>
      <c r="G1353">
        <v>-16</v>
      </c>
      <c r="H1353">
        <v>150</v>
      </c>
      <c r="I1353">
        <v>0</v>
      </c>
      <c r="J1353">
        <v>1.99</v>
      </c>
      <c r="K1353">
        <v>-31.84</v>
      </c>
    </row>
    <row r="1354" spans="1:11" x14ac:dyDescent="0.2">
      <c r="B1354">
        <v>7433</v>
      </c>
      <c r="C1354" t="s">
        <v>5006</v>
      </c>
      <c r="D1354">
        <v>10</v>
      </c>
      <c r="E1354">
        <v>4</v>
      </c>
      <c r="F1354">
        <v>-9</v>
      </c>
      <c r="G1354">
        <v>-36</v>
      </c>
      <c r="H1354">
        <v>54</v>
      </c>
      <c r="I1354">
        <v>-0.2</v>
      </c>
      <c r="J1354">
        <v>3.39</v>
      </c>
      <c r="K1354">
        <v>-122.04</v>
      </c>
    </row>
    <row r="1355" spans="1:11" x14ac:dyDescent="0.2">
      <c r="A1355">
        <v>54002</v>
      </c>
      <c r="B1355">
        <v>7442</v>
      </c>
      <c r="C1355" t="s">
        <v>5007</v>
      </c>
      <c r="D1355">
        <v>10</v>
      </c>
      <c r="E1355">
        <v>1</v>
      </c>
      <c r="F1355">
        <v>-55</v>
      </c>
      <c r="G1355">
        <v>-55</v>
      </c>
      <c r="H1355">
        <v>100</v>
      </c>
      <c r="I1355">
        <v>-0.6</v>
      </c>
      <c r="J1355">
        <v>15</v>
      </c>
      <c r="K1355">
        <v>-825</v>
      </c>
    </row>
    <row r="1356" spans="1:11" x14ac:dyDescent="0.2">
      <c r="A1356">
        <v>54008</v>
      </c>
      <c r="B1356">
        <v>7448</v>
      </c>
      <c r="C1356" t="s">
        <v>5008</v>
      </c>
      <c r="D1356">
        <v>10</v>
      </c>
      <c r="E1356">
        <v>1</v>
      </c>
      <c r="F1356">
        <v>-12</v>
      </c>
      <c r="G1356">
        <v>-12</v>
      </c>
      <c r="H1356">
        <v>100</v>
      </c>
      <c r="I1356">
        <v>-0.1</v>
      </c>
      <c r="J1356">
        <v>20</v>
      </c>
      <c r="K1356">
        <v>-240</v>
      </c>
    </row>
    <row r="1357" spans="1:11" x14ac:dyDescent="0.2">
      <c r="A1357">
        <v>54009</v>
      </c>
      <c r="B1357">
        <v>7457</v>
      </c>
      <c r="C1357" t="s">
        <v>5009</v>
      </c>
      <c r="D1357">
        <v>10</v>
      </c>
      <c r="E1357">
        <v>1</v>
      </c>
      <c r="F1357">
        <v>-86</v>
      </c>
      <c r="G1357">
        <v>-86</v>
      </c>
      <c r="H1357">
        <v>100</v>
      </c>
      <c r="I1357">
        <v>-0.9</v>
      </c>
      <c r="J1357">
        <v>30</v>
      </c>
      <c r="K1357">
        <v>-2580</v>
      </c>
    </row>
    <row r="1358" spans="1:11" x14ac:dyDescent="0.2">
      <c r="A1358">
        <v>54010</v>
      </c>
      <c r="B1358">
        <v>7466</v>
      </c>
      <c r="C1358" t="s">
        <v>5010</v>
      </c>
      <c r="D1358">
        <v>10</v>
      </c>
      <c r="E1358">
        <v>1</v>
      </c>
      <c r="F1358">
        <v>-7</v>
      </c>
      <c r="G1358">
        <v>-7</v>
      </c>
      <c r="H1358">
        <v>100</v>
      </c>
      <c r="I1358">
        <v>-0.1</v>
      </c>
      <c r="J1358">
        <v>40</v>
      </c>
      <c r="K1358">
        <v>-280</v>
      </c>
    </row>
    <row r="1359" spans="1:11" x14ac:dyDescent="0.2">
      <c r="A1359">
        <v>54011</v>
      </c>
      <c r="B1359">
        <v>7474</v>
      </c>
      <c r="C1359" t="s">
        <v>5011</v>
      </c>
      <c r="D1359">
        <v>10</v>
      </c>
      <c r="E1359">
        <v>1</v>
      </c>
      <c r="F1359">
        <v>0</v>
      </c>
      <c r="G1359">
        <v>0</v>
      </c>
      <c r="H1359">
        <v>100</v>
      </c>
      <c r="I1359">
        <v>0</v>
      </c>
      <c r="J1359">
        <v>50</v>
      </c>
      <c r="K1359">
        <v>0</v>
      </c>
    </row>
    <row r="1360" spans="1:11" x14ac:dyDescent="0.2">
      <c r="A1360">
        <v>36617</v>
      </c>
      <c r="B1360">
        <v>7504</v>
      </c>
      <c r="C1360" t="s">
        <v>5012</v>
      </c>
      <c r="D1360">
        <v>10</v>
      </c>
      <c r="E1360">
        <v>15</v>
      </c>
      <c r="F1360">
        <v>0</v>
      </c>
      <c r="G1360">
        <v>0</v>
      </c>
      <c r="H1360">
        <v>80</v>
      </c>
      <c r="I1360">
        <v>0</v>
      </c>
      <c r="J1360">
        <v>2.89</v>
      </c>
      <c r="K1360">
        <v>0</v>
      </c>
    </row>
    <row r="1361" spans="1:11" x14ac:dyDescent="0.2">
      <c r="A1361">
        <v>38601</v>
      </c>
      <c r="B1361">
        <v>7519</v>
      </c>
      <c r="C1361" t="s">
        <v>5013</v>
      </c>
      <c r="D1361">
        <v>10</v>
      </c>
      <c r="E1361">
        <v>6</v>
      </c>
      <c r="F1361">
        <v>0</v>
      </c>
      <c r="G1361">
        <v>0</v>
      </c>
      <c r="H1361">
        <v>54</v>
      </c>
      <c r="I1361">
        <v>0</v>
      </c>
      <c r="J1361">
        <v>3</v>
      </c>
      <c r="K1361">
        <v>0</v>
      </c>
    </row>
    <row r="1362" spans="1:11" x14ac:dyDescent="0.2">
      <c r="B1362">
        <v>7539</v>
      </c>
      <c r="C1362" t="s">
        <v>5014</v>
      </c>
      <c r="D1362">
        <v>11</v>
      </c>
      <c r="E1362">
        <v>1</v>
      </c>
      <c r="F1362">
        <v>0</v>
      </c>
      <c r="G1362">
        <v>0</v>
      </c>
      <c r="H1362">
        <v>112</v>
      </c>
      <c r="I1362">
        <v>0</v>
      </c>
      <c r="J1362">
        <v>3.79</v>
      </c>
      <c r="K1362">
        <v>0</v>
      </c>
    </row>
    <row r="1363" spans="1:11" x14ac:dyDescent="0.2">
      <c r="B1363">
        <v>7547</v>
      </c>
      <c r="C1363" t="s">
        <v>5015</v>
      </c>
      <c r="D1363">
        <v>11</v>
      </c>
      <c r="E1363">
        <v>1</v>
      </c>
      <c r="F1363">
        <v>0</v>
      </c>
      <c r="G1363">
        <v>0</v>
      </c>
      <c r="H1363">
        <v>112</v>
      </c>
      <c r="I1363">
        <v>0</v>
      </c>
      <c r="J1363">
        <v>12.99</v>
      </c>
      <c r="K1363">
        <v>0</v>
      </c>
    </row>
    <row r="1364" spans="1:11" x14ac:dyDescent="0.2">
      <c r="A1364">
        <v>57417</v>
      </c>
      <c r="B1364">
        <v>7563</v>
      </c>
      <c r="C1364" t="s">
        <v>4989</v>
      </c>
      <c r="D1364">
        <v>10</v>
      </c>
      <c r="E1364">
        <v>12</v>
      </c>
      <c r="F1364">
        <v>0</v>
      </c>
      <c r="G1364">
        <v>0</v>
      </c>
      <c r="H1364">
        <v>64</v>
      </c>
      <c r="I1364">
        <v>0</v>
      </c>
      <c r="J1364">
        <v>1.69</v>
      </c>
      <c r="K1364">
        <v>0</v>
      </c>
    </row>
    <row r="1365" spans="1:11" x14ac:dyDescent="0.2">
      <c r="A1365">
        <v>57008</v>
      </c>
      <c r="B1365">
        <v>7577</v>
      </c>
      <c r="C1365" t="s">
        <v>5016</v>
      </c>
      <c r="D1365">
        <v>11</v>
      </c>
      <c r="E1365">
        <v>1</v>
      </c>
      <c r="F1365">
        <v>0</v>
      </c>
      <c r="G1365">
        <v>0</v>
      </c>
      <c r="H1365">
        <v>120</v>
      </c>
      <c r="I1365">
        <v>0</v>
      </c>
      <c r="J1365">
        <v>13.99</v>
      </c>
      <c r="K1365">
        <v>0</v>
      </c>
    </row>
    <row r="1366" spans="1:11" x14ac:dyDescent="0.2">
      <c r="A1366">
        <v>57009</v>
      </c>
      <c r="B1366">
        <v>7585</v>
      </c>
      <c r="C1366" t="s">
        <v>5017</v>
      </c>
      <c r="D1366">
        <v>11</v>
      </c>
      <c r="E1366">
        <v>1</v>
      </c>
      <c r="F1366">
        <v>0</v>
      </c>
      <c r="G1366">
        <v>0</v>
      </c>
      <c r="H1366">
        <v>90</v>
      </c>
      <c r="I1366">
        <v>0</v>
      </c>
      <c r="J1366">
        <v>13.99</v>
      </c>
      <c r="K1366">
        <v>0</v>
      </c>
    </row>
    <row r="1367" spans="1:11" x14ac:dyDescent="0.2">
      <c r="A1367">
        <v>57233</v>
      </c>
      <c r="B1367">
        <v>7588</v>
      </c>
      <c r="C1367" t="s">
        <v>5018</v>
      </c>
      <c r="D1367">
        <v>11</v>
      </c>
      <c r="E1367">
        <v>12</v>
      </c>
      <c r="F1367">
        <v>0</v>
      </c>
      <c r="G1367">
        <v>0</v>
      </c>
      <c r="H1367">
        <v>72</v>
      </c>
      <c r="I1367">
        <v>0</v>
      </c>
      <c r="J1367">
        <v>3.1</v>
      </c>
      <c r="K1367">
        <v>0</v>
      </c>
    </row>
    <row r="1368" spans="1:11" x14ac:dyDescent="0.2">
      <c r="A1368">
        <v>57143</v>
      </c>
      <c r="B1368">
        <v>7596</v>
      </c>
      <c r="C1368" t="s">
        <v>5019</v>
      </c>
      <c r="D1368">
        <v>11</v>
      </c>
      <c r="E1368">
        <v>12</v>
      </c>
      <c r="F1368">
        <v>0</v>
      </c>
      <c r="G1368">
        <v>0</v>
      </c>
      <c r="H1368">
        <v>72</v>
      </c>
      <c r="I1368">
        <v>0</v>
      </c>
      <c r="J1368">
        <v>3.1</v>
      </c>
      <c r="K1368">
        <v>0</v>
      </c>
    </row>
    <row r="1369" spans="1:11" x14ac:dyDescent="0.2">
      <c r="A1369">
        <v>36504</v>
      </c>
      <c r="B1369">
        <v>7600</v>
      </c>
      <c r="C1369" t="s">
        <v>5020</v>
      </c>
      <c r="D1369">
        <v>10</v>
      </c>
      <c r="E1369">
        <v>12</v>
      </c>
      <c r="F1369">
        <v>0</v>
      </c>
      <c r="G1369">
        <v>0</v>
      </c>
      <c r="H1369">
        <v>100</v>
      </c>
      <c r="I1369">
        <v>0</v>
      </c>
      <c r="J1369">
        <v>1.99</v>
      </c>
      <c r="K1369">
        <v>0</v>
      </c>
    </row>
    <row r="1370" spans="1:11" x14ac:dyDescent="0.2">
      <c r="A1370">
        <v>99562</v>
      </c>
      <c r="B1370">
        <v>7611</v>
      </c>
      <c r="C1370" t="s">
        <v>5021</v>
      </c>
      <c r="D1370">
        <v>10</v>
      </c>
      <c r="E1370">
        <v>8</v>
      </c>
      <c r="F1370">
        <v>0</v>
      </c>
      <c r="G1370">
        <v>0</v>
      </c>
      <c r="H1370">
        <v>70</v>
      </c>
      <c r="I1370">
        <v>0</v>
      </c>
      <c r="J1370">
        <v>2.89</v>
      </c>
      <c r="K1370">
        <v>0</v>
      </c>
    </row>
    <row r="1371" spans="1:11" x14ac:dyDescent="0.2">
      <c r="B1371">
        <v>7615</v>
      </c>
      <c r="C1371" t="s">
        <v>5022</v>
      </c>
      <c r="D1371">
        <v>10</v>
      </c>
      <c r="E1371">
        <v>8</v>
      </c>
      <c r="F1371">
        <v>-1</v>
      </c>
      <c r="G1371">
        <v>-8</v>
      </c>
      <c r="H1371">
        <v>80</v>
      </c>
      <c r="I1371">
        <v>0</v>
      </c>
      <c r="J1371">
        <v>1.29</v>
      </c>
      <c r="K1371">
        <v>-10.32</v>
      </c>
    </row>
    <row r="1372" spans="1:11" x14ac:dyDescent="0.2">
      <c r="A1372">
        <v>85215</v>
      </c>
      <c r="B1372">
        <v>7616</v>
      </c>
      <c r="C1372" t="s">
        <v>5023</v>
      </c>
      <c r="D1372">
        <v>9</v>
      </c>
      <c r="E1372">
        <v>6</v>
      </c>
      <c r="F1372">
        <v>8</v>
      </c>
      <c r="G1372">
        <v>50</v>
      </c>
      <c r="H1372">
        <v>80</v>
      </c>
      <c r="I1372">
        <v>0.1</v>
      </c>
      <c r="J1372">
        <v>1.89</v>
      </c>
      <c r="K1372">
        <v>94.5</v>
      </c>
    </row>
    <row r="1373" spans="1:11" x14ac:dyDescent="0.2">
      <c r="A1373">
        <v>57520</v>
      </c>
      <c r="B1373">
        <v>7624</v>
      </c>
      <c r="C1373" t="s">
        <v>5024</v>
      </c>
      <c r="D1373">
        <v>10</v>
      </c>
      <c r="E1373">
        <v>6</v>
      </c>
      <c r="F1373">
        <v>25</v>
      </c>
      <c r="G1373">
        <v>147</v>
      </c>
      <c r="H1373">
        <v>155</v>
      </c>
      <c r="I1373">
        <v>0.2</v>
      </c>
      <c r="J1373">
        <v>1.69</v>
      </c>
      <c r="K1373">
        <v>248.43</v>
      </c>
    </row>
    <row r="1374" spans="1:11" x14ac:dyDescent="0.2">
      <c r="A1374">
        <v>33603</v>
      </c>
      <c r="B1374">
        <v>7640</v>
      </c>
      <c r="C1374" t="s">
        <v>5025</v>
      </c>
      <c r="D1374">
        <v>10</v>
      </c>
      <c r="E1374">
        <v>12</v>
      </c>
      <c r="F1374">
        <v>0</v>
      </c>
      <c r="G1374">
        <v>0</v>
      </c>
      <c r="H1374">
        <v>64</v>
      </c>
      <c r="I1374">
        <v>0</v>
      </c>
      <c r="J1374">
        <v>1.9</v>
      </c>
      <c r="K1374">
        <v>0</v>
      </c>
    </row>
    <row r="1375" spans="1:11" x14ac:dyDescent="0.2">
      <c r="A1375">
        <v>2661</v>
      </c>
      <c r="B1375">
        <v>7662</v>
      </c>
      <c r="C1375" t="s">
        <v>5026</v>
      </c>
      <c r="D1375">
        <v>6</v>
      </c>
      <c r="E1375">
        <v>12</v>
      </c>
      <c r="F1375">
        <v>0</v>
      </c>
      <c r="G1375">
        <v>0</v>
      </c>
      <c r="H1375">
        <v>40</v>
      </c>
      <c r="I1375">
        <v>0</v>
      </c>
      <c r="J1375">
        <v>1.69</v>
      </c>
      <c r="K1375">
        <v>0</v>
      </c>
    </row>
    <row r="1376" spans="1:11" x14ac:dyDescent="0.2">
      <c r="A1376">
        <v>41505</v>
      </c>
      <c r="B1376">
        <v>7689</v>
      </c>
      <c r="C1376" t="s">
        <v>5027</v>
      </c>
      <c r="D1376">
        <v>10</v>
      </c>
      <c r="E1376">
        <v>12</v>
      </c>
      <c r="F1376">
        <v>1</v>
      </c>
      <c r="G1376">
        <v>12</v>
      </c>
      <c r="H1376">
        <v>96</v>
      </c>
      <c r="I1376">
        <v>0</v>
      </c>
      <c r="J1376">
        <v>2.79</v>
      </c>
      <c r="K1376">
        <v>33.479999999999997</v>
      </c>
    </row>
    <row r="1377" spans="1:11" x14ac:dyDescent="0.2">
      <c r="A1377">
        <v>91052</v>
      </c>
      <c r="B1377">
        <v>7768</v>
      </c>
      <c r="C1377" t="s">
        <v>5028</v>
      </c>
      <c r="D1377">
        <v>8</v>
      </c>
      <c r="E1377">
        <v>1</v>
      </c>
      <c r="F1377">
        <v>87</v>
      </c>
      <c r="G1377">
        <v>87</v>
      </c>
      <c r="H1377">
        <v>160</v>
      </c>
      <c r="I1377">
        <v>0.5</v>
      </c>
      <c r="J1377">
        <v>17.989999999999998</v>
      </c>
      <c r="K1377">
        <v>1556.14</v>
      </c>
    </row>
    <row r="1378" spans="1:11" x14ac:dyDescent="0.2">
      <c r="B1378">
        <v>7778</v>
      </c>
      <c r="C1378" t="s">
        <v>5029</v>
      </c>
      <c r="D1378">
        <v>12</v>
      </c>
      <c r="E1378">
        <v>10</v>
      </c>
      <c r="F1378">
        <v>0</v>
      </c>
      <c r="G1378">
        <v>0</v>
      </c>
      <c r="H1378">
        <v>108</v>
      </c>
      <c r="I1378">
        <v>0</v>
      </c>
      <c r="J1378">
        <v>0.95</v>
      </c>
      <c r="K1378">
        <v>0</v>
      </c>
    </row>
    <row r="1379" spans="1:11" x14ac:dyDescent="0.2">
      <c r="A1379">
        <v>89051</v>
      </c>
      <c r="B1379">
        <v>7816</v>
      </c>
      <c r="C1379" t="s">
        <v>5030</v>
      </c>
      <c r="D1379">
        <v>8</v>
      </c>
      <c r="E1379">
        <v>12</v>
      </c>
      <c r="F1379">
        <v>35</v>
      </c>
      <c r="G1379">
        <v>420</v>
      </c>
      <c r="H1379">
        <v>35</v>
      </c>
      <c r="I1379">
        <v>1</v>
      </c>
      <c r="J1379">
        <v>4.99</v>
      </c>
      <c r="K1379">
        <v>2095.8000000000002</v>
      </c>
    </row>
    <row r="1380" spans="1:11" x14ac:dyDescent="0.2">
      <c r="A1380">
        <v>91044</v>
      </c>
      <c r="B1380">
        <v>7820</v>
      </c>
      <c r="C1380" t="s">
        <v>5031</v>
      </c>
      <c r="D1380">
        <v>8</v>
      </c>
      <c r="E1380">
        <v>1</v>
      </c>
      <c r="F1380">
        <v>472</v>
      </c>
      <c r="G1380">
        <v>472</v>
      </c>
      <c r="H1380">
        <v>96</v>
      </c>
      <c r="I1380">
        <v>4.9000000000000004</v>
      </c>
      <c r="J1380">
        <v>3.19</v>
      </c>
      <c r="K1380">
        <v>1505.68</v>
      </c>
    </row>
    <row r="1381" spans="1:11" x14ac:dyDescent="0.2">
      <c r="A1381">
        <v>85228</v>
      </c>
      <c r="B1381">
        <v>7869</v>
      </c>
      <c r="C1381" t="s">
        <v>5032</v>
      </c>
      <c r="D1381">
        <v>10</v>
      </c>
      <c r="E1381">
        <v>8</v>
      </c>
      <c r="F1381">
        <v>397</v>
      </c>
      <c r="G1381">
        <v>3176</v>
      </c>
      <c r="H1381">
        <v>84</v>
      </c>
      <c r="I1381">
        <v>4.7</v>
      </c>
      <c r="J1381">
        <v>2.29</v>
      </c>
      <c r="K1381">
        <v>7273.04</v>
      </c>
    </row>
    <row r="1382" spans="1:11" x14ac:dyDescent="0.2">
      <c r="A1382">
        <v>36618</v>
      </c>
      <c r="B1382">
        <v>7911</v>
      </c>
      <c r="C1382" t="s">
        <v>5033</v>
      </c>
      <c r="D1382">
        <v>10</v>
      </c>
      <c r="E1382">
        <v>15</v>
      </c>
      <c r="F1382">
        <v>0</v>
      </c>
      <c r="G1382">
        <v>0</v>
      </c>
      <c r="H1382">
        <v>80</v>
      </c>
      <c r="I1382">
        <v>0</v>
      </c>
      <c r="J1382">
        <v>2.89</v>
      </c>
      <c r="K1382">
        <v>0</v>
      </c>
    </row>
    <row r="1383" spans="1:11" x14ac:dyDescent="0.2">
      <c r="A1383">
        <v>33604</v>
      </c>
      <c r="B1383">
        <v>7934</v>
      </c>
      <c r="C1383" t="s">
        <v>5034</v>
      </c>
      <c r="D1383">
        <v>10</v>
      </c>
      <c r="E1383">
        <v>12</v>
      </c>
      <c r="F1383">
        <v>0</v>
      </c>
      <c r="G1383">
        <v>0</v>
      </c>
      <c r="H1383">
        <v>64</v>
      </c>
      <c r="I1383">
        <v>0</v>
      </c>
      <c r="J1383">
        <v>2.09</v>
      </c>
      <c r="K1383">
        <v>0</v>
      </c>
    </row>
    <row r="1384" spans="1:11" x14ac:dyDescent="0.2">
      <c r="B1384">
        <v>7939</v>
      </c>
      <c r="C1384" t="s">
        <v>5035</v>
      </c>
      <c r="D1384">
        <v>12</v>
      </c>
      <c r="E1384">
        <v>6</v>
      </c>
      <c r="F1384">
        <v>0</v>
      </c>
      <c r="G1384">
        <v>0</v>
      </c>
      <c r="H1384">
        <v>105</v>
      </c>
      <c r="I1384">
        <v>0</v>
      </c>
      <c r="J1384">
        <v>0.9</v>
      </c>
      <c r="K1384">
        <v>0</v>
      </c>
    </row>
    <row r="1385" spans="1:11" x14ac:dyDescent="0.2">
      <c r="A1385">
        <v>85173</v>
      </c>
      <c r="B1385">
        <v>7956</v>
      </c>
      <c r="C1385" t="s">
        <v>5036</v>
      </c>
      <c r="D1385">
        <v>9</v>
      </c>
      <c r="E1385">
        <v>7</v>
      </c>
      <c r="F1385">
        <v>117</v>
      </c>
      <c r="G1385">
        <v>819</v>
      </c>
      <c r="H1385">
        <v>120</v>
      </c>
      <c r="I1385">
        <v>1</v>
      </c>
      <c r="J1385">
        <v>1.85</v>
      </c>
      <c r="K1385">
        <v>1515.15</v>
      </c>
    </row>
    <row r="1386" spans="1:11" x14ac:dyDescent="0.2">
      <c r="B1386">
        <v>7976</v>
      </c>
      <c r="C1386" t="s">
        <v>5037</v>
      </c>
      <c r="D1386">
        <v>11</v>
      </c>
      <c r="E1386">
        <v>8</v>
      </c>
      <c r="F1386">
        <v>0</v>
      </c>
      <c r="G1386">
        <v>0</v>
      </c>
      <c r="H1386">
        <v>108</v>
      </c>
      <c r="I1386">
        <v>0</v>
      </c>
      <c r="J1386">
        <v>1.45</v>
      </c>
      <c r="K1386">
        <v>0</v>
      </c>
    </row>
    <row r="1387" spans="1:11" x14ac:dyDescent="0.2">
      <c r="A1387">
        <v>85214</v>
      </c>
      <c r="B1387">
        <v>7977</v>
      </c>
      <c r="C1387" t="s">
        <v>5038</v>
      </c>
      <c r="D1387">
        <v>9</v>
      </c>
      <c r="E1387">
        <v>7</v>
      </c>
      <c r="F1387">
        <v>192</v>
      </c>
      <c r="G1387">
        <v>1344</v>
      </c>
      <c r="H1387">
        <v>120</v>
      </c>
      <c r="I1387">
        <v>1.6</v>
      </c>
      <c r="J1387">
        <v>1.85</v>
      </c>
      <c r="K1387">
        <v>2486.4</v>
      </c>
    </row>
    <row r="1388" spans="1:11" x14ac:dyDescent="0.2">
      <c r="A1388">
        <v>99662</v>
      </c>
      <c r="B1388">
        <v>7991</v>
      </c>
      <c r="C1388" t="s">
        <v>5039</v>
      </c>
      <c r="D1388">
        <v>6</v>
      </c>
      <c r="E1388">
        <v>9</v>
      </c>
      <c r="F1388">
        <v>0</v>
      </c>
      <c r="G1388">
        <v>0</v>
      </c>
      <c r="H1388">
        <v>110</v>
      </c>
      <c r="I1388">
        <v>0</v>
      </c>
      <c r="J1388">
        <v>5.99</v>
      </c>
      <c r="K1388">
        <v>0</v>
      </c>
    </row>
    <row r="1389" spans="1:11" x14ac:dyDescent="0.2">
      <c r="A1389">
        <v>48626</v>
      </c>
      <c r="B1389">
        <v>7995</v>
      </c>
      <c r="C1389" t="s">
        <v>5040</v>
      </c>
      <c r="D1389">
        <v>10</v>
      </c>
      <c r="E1389">
        <v>6</v>
      </c>
      <c r="F1389">
        <v>0</v>
      </c>
      <c r="G1389">
        <v>0</v>
      </c>
      <c r="H1389">
        <v>76</v>
      </c>
      <c r="I1389">
        <v>0</v>
      </c>
      <c r="J1389">
        <v>6.59</v>
      </c>
      <c r="K1389">
        <v>0</v>
      </c>
    </row>
    <row r="1390" spans="1:11" x14ac:dyDescent="0.2">
      <c r="A1390">
        <v>82168</v>
      </c>
      <c r="B1390">
        <v>8061</v>
      </c>
      <c r="C1390" t="s">
        <v>5041</v>
      </c>
      <c r="D1390">
        <v>8</v>
      </c>
      <c r="E1390">
        <v>8</v>
      </c>
      <c r="F1390">
        <v>659</v>
      </c>
      <c r="G1390">
        <v>5271</v>
      </c>
      <c r="H1390">
        <v>112</v>
      </c>
      <c r="I1390">
        <v>5.9</v>
      </c>
      <c r="J1390">
        <v>2.99</v>
      </c>
      <c r="K1390">
        <v>15760.29</v>
      </c>
    </row>
    <row r="1391" spans="1:11" x14ac:dyDescent="0.2">
      <c r="A1391">
        <v>29503</v>
      </c>
      <c r="B1391">
        <v>8083</v>
      </c>
      <c r="C1391" t="s">
        <v>5042</v>
      </c>
      <c r="D1391">
        <v>10</v>
      </c>
      <c r="E1391">
        <v>6</v>
      </c>
      <c r="F1391">
        <v>0</v>
      </c>
      <c r="G1391">
        <v>0</v>
      </c>
      <c r="H1391">
        <v>126</v>
      </c>
      <c r="I1391">
        <v>0</v>
      </c>
      <c r="J1391">
        <v>1.29</v>
      </c>
      <c r="K1391">
        <v>0</v>
      </c>
    </row>
    <row r="1392" spans="1:11" x14ac:dyDescent="0.2">
      <c r="A1392">
        <v>93130</v>
      </c>
      <c r="B1392">
        <v>8143</v>
      </c>
      <c r="C1392" t="s">
        <v>5043</v>
      </c>
      <c r="D1392">
        <v>10</v>
      </c>
      <c r="E1392">
        <v>20</v>
      </c>
      <c r="F1392">
        <v>0</v>
      </c>
      <c r="G1392">
        <v>0</v>
      </c>
      <c r="H1392">
        <v>32</v>
      </c>
      <c r="I1392">
        <v>0</v>
      </c>
      <c r="J1392">
        <v>3.99</v>
      </c>
      <c r="K1392">
        <v>0</v>
      </c>
    </row>
    <row r="1393" spans="1:11" x14ac:dyDescent="0.2">
      <c r="A1393">
        <v>2600</v>
      </c>
      <c r="B1393">
        <v>8158</v>
      </c>
      <c r="C1393" t="s">
        <v>5044</v>
      </c>
      <c r="D1393">
        <v>6</v>
      </c>
      <c r="E1393">
        <v>10</v>
      </c>
      <c r="F1393">
        <v>0</v>
      </c>
      <c r="G1393">
        <v>0</v>
      </c>
      <c r="H1393">
        <v>60</v>
      </c>
      <c r="I1393">
        <v>0</v>
      </c>
      <c r="J1393">
        <v>3.79</v>
      </c>
      <c r="K1393">
        <v>0</v>
      </c>
    </row>
    <row r="1394" spans="1:11" x14ac:dyDescent="0.2">
      <c r="A1394">
        <v>62190</v>
      </c>
      <c r="B1394">
        <v>8297</v>
      </c>
      <c r="C1394" t="s">
        <v>5045</v>
      </c>
      <c r="D1394">
        <v>8</v>
      </c>
      <c r="E1394">
        <v>6</v>
      </c>
      <c r="F1394">
        <v>925</v>
      </c>
      <c r="G1394">
        <v>5547</v>
      </c>
      <c r="H1394">
        <v>105</v>
      </c>
      <c r="I1394">
        <v>8.8000000000000007</v>
      </c>
      <c r="J1394">
        <v>1.99</v>
      </c>
      <c r="K1394">
        <v>11038.53</v>
      </c>
    </row>
    <row r="1395" spans="1:11" x14ac:dyDescent="0.2">
      <c r="A1395">
        <v>57010</v>
      </c>
      <c r="B1395">
        <v>8359</v>
      </c>
      <c r="C1395" t="s">
        <v>5046</v>
      </c>
      <c r="D1395">
        <v>11</v>
      </c>
      <c r="E1395">
        <v>6</v>
      </c>
      <c r="F1395">
        <v>0</v>
      </c>
      <c r="G1395">
        <v>0</v>
      </c>
      <c r="H1395">
        <v>248</v>
      </c>
      <c r="I1395">
        <v>0</v>
      </c>
      <c r="J1395">
        <v>1.6</v>
      </c>
      <c r="K1395">
        <v>0</v>
      </c>
    </row>
    <row r="1396" spans="1:11" x14ac:dyDescent="0.2">
      <c r="A1396">
        <v>82117</v>
      </c>
      <c r="B1396">
        <v>8370</v>
      </c>
      <c r="C1396" t="s">
        <v>5047</v>
      </c>
      <c r="D1396">
        <v>8</v>
      </c>
      <c r="E1396">
        <v>8</v>
      </c>
      <c r="F1396">
        <v>112</v>
      </c>
      <c r="G1396">
        <v>896</v>
      </c>
      <c r="H1396">
        <v>66</v>
      </c>
      <c r="I1396">
        <v>1.7</v>
      </c>
      <c r="J1396">
        <v>2.37</v>
      </c>
      <c r="K1396">
        <v>2123.52</v>
      </c>
    </row>
    <row r="1397" spans="1:11" x14ac:dyDescent="0.2">
      <c r="A1397">
        <v>3525</v>
      </c>
      <c r="B1397">
        <v>8375</v>
      </c>
      <c r="C1397" t="s">
        <v>5048</v>
      </c>
      <c r="D1397">
        <v>6</v>
      </c>
      <c r="E1397">
        <v>12</v>
      </c>
      <c r="F1397">
        <v>0</v>
      </c>
      <c r="G1397">
        <v>0</v>
      </c>
      <c r="H1397">
        <v>80</v>
      </c>
      <c r="I1397">
        <v>0</v>
      </c>
      <c r="J1397">
        <v>1.49</v>
      </c>
      <c r="K1397">
        <v>0</v>
      </c>
    </row>
    <row r="1398" spans="1:11" x14ac:dyDescent="0.2">
      <c r="A1398">
        <v>70019</v>
      </c>
      <c r="B1398">
        <v>8530</v>
      </c>
      <c r="C1398" t="s">
        <v>5049</v>
      </c>
      <c r="D1398">
        <v>8</v>
      </c>
      <c r="E1398">
        <v>20</v>
      </c>
      <c r="F1398">
        <v>57</v>
      </c>
      <c r="G1398">
        <v>1140</v>
      </c>
      <c r="H1398">
        <v>84</v>
      </c>
      <c r="I1398">
        <v>0.7</v>
      </c>
      <c r="J1398">
        <v>3.59</v>
      </c>
      <c r="K1398">
        <v>4092.6</v>
      </c>
    </row>
    <row r="1399" spans="1:11" x14ac:dyDescent="0.2">
      <c r="A1399">
        <v>40623</v>
      </c>
      <c r="B1399">
        <v>8546</v>
      </c>
      <c r="C1399" t="s">
        <v>4857</v>
      </c>
      <c r="D1399">
        <v>10</v>
      </c>
      <c r="E1399">
        <v>92</v>
      </c>
      <c r="F1399">
        <v>0</v>
      </c>
      <c r="G1399">
        <v>-2</v>
      </c>
      <c r="H1399">
        <v>4</v>
      </c>
      <c r="I1399">
        <v>0</v>
      </c>
      <c r="J1399">
        <v>2.34</v>
      </c>
      <c r="K1399">
        <v>-4.68</v>
      </c>
    </row>
    <row r="1400" spans="1:11" x14ac:dyDescent="0.2">
      <c r="A1400">
        <v>73010</v>
      </c>
      <c r="B1400">
        <v>8549</v>
      </c>
      <c r="C1400" t="s">
        <v>5050</v>
      </c>
      <c r="D1400">
        <v>8</v>
      </c>
      <c r="E1400">
        <v>60</v>
      </c>
      <c r="F1400">
        <v>212</v>
      </c>
      <c r="G1400">
        <v>12720</v>
      </c>
      <c r="H1400">
        <v>72</v>
      </c>
      <c r="I1400">
        <v>2.9</v>
      </c>
      <c r="J1400">
        <v>2.25</v>
      </c>
      <c r="K1400">
        <v>28620</v>
      </c>
    </row>
    <row r="1401" spans="1:11" x14ac:dyDescent="0.2">
      <c r="A1401">
        <v>38525</v>
      </c>
      <c r="B1401">
        <v>8552</v>
      </c>
      <c r="C1401" t="s">
        <v>5051</v>
      </c>
      <c r="D1401">
        <v>6</v>
      </c>
      <c r="E1401">
        <v>12</v>
      </c>
      <c r="F1401">
        <v>0</v>
      </c>
      <c r="G1401">
        <v>0</v>
      </c>
      <c r="H1401">
        <v>32</v>
      </c>
      <c r="I1401">
        <v>0</v>
      </c>
      <c r="J1401">
        <v>2.39</v>
      </c>
      <c r="K1401">
        <v>0</v>
      </c>
    </row>
    <row r="1402" spans="1:11" x14ac:dyDescent="0.2">
      <c r="A1402">
        <v>70028</v>
      </c>
      <c r="B1402">
        <v>8555</v>
      </c>
      <c r="C1402" t="s">
        <v>5052</v>
      </c>
      <c r="D1402">
        <v>8</v>
      </c>
      <c r="E1402">
        <v>20</v>
      </c>
      <c r="F1402">
        <v>60</v>
      </c>
      <c r="G1402">
        <v>1200</v>
      </c>
      <c r="H1402">
        <v>84</v>
      </c>
      <c r="I1402">
        <v>0.7</v>
      </c>
      <c r="J1402">
        <v>3.59</v>
      </c>
      <c r="K1402">
        <v>4308</v>
      </c>
    </row>
    <row r="1403" spans="1:11" x14ac:dyDescent="0.2">
      <c r="A1403">
        <v>99053</v>
      </c>
      <c r="B1403">
        <v>8559</v>
      </c>
      <c r="C1403" t="s">
        <v>5053</v>
      </c>
      <c r="D1403">
        <v>10</v>
      </c>
      <c r="E1403">
        <v>10.5</v>
      </c>
      <c r="F1403">
        <v>0</v>
      </c>
      <c r="G1403">
        <v>0</v>
      </c>
      <c r="H1403">
        <v>56</v>
      </c>
      <c r="I1403">
        <v>0</v>
      </c>
      <c r="J1403">
        <v>1.59</v>
      </c>
      <c r="K1403">
        <v>0</v>
      </c>
    </row>
    <row r="1404" spans="1:11" x14ac:dyDescent="0.2">
      <c r="A1404">
        <v>70010</v>
      </c>
      <c r="B1404">
        <v>8563</v>
      </c>
      <c r="C1404" t="s">
        <v>5054</v>
      </c>
      <c r="D1404">
        <v>8</v>
      </c>
      <c r="E1404">
        <v>12</v>
      </c>
      <c r="F1404">
        <v>129</v>
      </c>
      <c r="G1404">
        <v>1548</v>
      </c>
      <c r="H1404">
        <v>48</v>
      </c>
      <c r="I1404">
        <v>2.7</v>
      </c>
      <c r="J1404">
        <v>3.45</v>
      </c>
      <c r="K1404">
        <v>5340.6</v>
      </c>
    </row>
    <row r="1405" spans="1:11" x14ac:dyDescent="0.2">
      <c r="A1405">
        <v>76008</v>
      </c>
      <c r="B1405">
        <v>8569</v>
      </c>
      <c r="C1405" t="s">
        <v>5055</v>
      </c>
      <c r="D1405">
        <v>8</v>
      </c>
      <c r="E1405">
        <v>40</v>
      </c>
      <c r="F1405">
        <v>143</v>
      </c>
      <c r="G1405">
        <v>5720</v>
      </c>
      <c r="H1405">
        <v>99</v>
      </c>
      <c r="I1405">
        <v>1.4</v>
      </c>
      <c r="J1405">
        <v>1.29</v>
      </c>
      <c r="K1405">
        <v>7378.8</v>
      </c>
    </row>
    <row r="1406" spans="1:11" x14ac:dyDescent="0.2">
      <c r="A1406">
        <v>70014</v>
      </c>
      <c r="B1406">
        <v>8573</v>
      </c>
      <c r="C1406" t="s">
        <v>5056</v>
      </c>
      <c r="D1406">
        <v>8</v>
      </c>
      <c r="E1406">
        <v>12</v>
      </c>
      <c r="F1406">
        <v>189</v>
      </c>
      <c r="G1406">
        <v>2268</v>
      </c>
      <c r="H1406">
        <v>48</v>
      </c>
      <c r="I1406">
        <v>3.9</v>
      </c>
      <c r="J1406">
        <v>3.45</v>
      </c>
      <c r="K1406">
        <v>7824.6</v>
      </c>
    </row>
    <row r="1407" spans="1:11" x14ac:dyDescent="0.2">
      <c r="A1407">
        <v>70012</v>
      </c>
      <c r="B1407">
        <v>8575</v>
      </c>
      <c r="C1407" t="s">
        <v>5057</v>
      </c>
      <c r="D1407">
        <v>8</v>
      </c>
      <c r="E1407">
        <v>12</v>
      </c>
      <c r="F1407">
        <v>160</v>
      </c>
      <c r="G1407">
        <v>1920</v>
      </c>
      <c r="H1407">
        <v>110</v>
      </c>
      <c r="I1407">
        <v>1.5</v>
      </c>
      <c r="J1407">
        <v>2.31</v>
      </c>
      <c r="K1407">
        <v>4435.2</v>
      </c>
    </row>
    <row r="1408" spans="1:11" x14ac:dyDescent="0.2">
      <c r="A1408">
        <v>49650</v>
      </c>
      <c r="B1408">
        <v>8589</v>
      </c>
      <c r="C1408" t="s">
        <v>5058</v>
      </c>
      <c r="D1408">
        <v>10</v>
      </c>
      <c r="E1408">
        <v>72</v>
      </c>
      <c r="F1408">
        <v>0</v>
      </c>
      <c r="G1408">
        <v>0</v>
      </c>
      <c r="H1408">
        <v>4</v>
      </c>
      <c r="I1408">
        <v>0</v>
      </c>
      <c r="J1408">
        <v>5.59</v>
      </c>
      <c r="K1408">
        <v>0</v>
      </c>
    </row>
    <row r="1409" spans="1:11" x14ac:dyDescent="0.2">
      <c r="A1409">
        <v>57251</v>
      </c>
      <c r="B1409">
        <v>8590</v>
      </c>
      <c r="C1409" t="s">
        <v>5059</v>
      </c>
      <c r="D1409">
        <v>11</v>
      </c>
      <c r="E1409">
        <v>80</v>
      </c>
      <c r="F1409">
        <v>0</v>
      </c>
      <c r="G1409">
        <v>0</v>
      </c>
      <c r="H1409">
        <v>4</v>
      </c>
      <c r="I1409">
        <v>0</v>
      </c>
      <c r="J1409">
        <v>2.4</v>
      </c>
      <c r="K1409">
        <v>0</v>
      </c>
    </row>
    <row r="1410" spans="1:11" x14ac:dyDescent="0.2">
      <c r="A1410">
        <v>44650</v>
      </c>
      <c r="B1410">
        <v>8592</v>
      </c>
      <c r="C1410" t="s">
        <v>5060</v>
      </c>
      <c r="D1410">
        <v>10</v>
      </c>
      <c r="E1410">
        <v>72</v>
      </c>
      <c r="F1410">
        <v>0</v>
      </c>
      <c r="G1410">
        <v>0</v>
      </c>
      <c r="H1410">
        <v>4</v>
      </c>
      <c r="I1410">
        <v>0</v>
      </c>
      <c r="J1410">
        <v>4.59</v>
      </c>
      <c r="K1410">
        <v>0</v>
      </c>
    </row>
    <row r="1411" spans="1:11" x14ac:dyDescent="0.2">
      <c r="B1411">
        <v>8597</v>
      </c>
      <c r="C1411" t="s">
        <v>5061</v>
      </c>
      <c r="D1411">
        <v>11</v>
      </c>
      <c r="E1411">
        <v>90</v>
      </c>
      <c r="F1411">
        <v>0</v>
      </c>
      <c r="G1411">
        <v>0</v>
      </c>
      <c r="H1411">
        <v>4</v>
      </c>
      <c r="I1411">
        <v>0</v>
      </c>
      <c r="J1411">
        <v>6</v>
      </c>
      <c r="K1411">
        <v>0</v>
      </c>
    </row>
    <row r="1412" spans="1:11" x14ac:dyDescent="0.2">
      <c r="A1412">
        <v>67019</v>
      </c>
      <c r="B1412">
        <v>8598</v>
      </c>
      <c r="C1412" t="s">
        <v>5062</v>
      </c>
      <c r="D1412">
        <v>8</v>
      </c>
      <c r="E1412">
        <v>10</v>
      </c>
      <c r="F1412">
        <v>1425</v>
      </c>
      <c r="G1412">
        <v>14245</v>
      </c>
      <c r="H1412">
        <v>104</v>
      </c>
      <c r="I1412">
        <v>13.7</v>
      </c>
      <c r="J1412">
        <v>0.89</v>
      </c>
      <c r="K1412">
        <v>12678.05</v>
      </c>
    </row>
    <row r="1413" spans="1:11" x14ac:dyDescent="0.2">
      <c r="A1413">
        <v>73060</v>
      </c>
      <c r="B1413">
        <v>8600</v>
      </c>
      <c r="C1413" t="s">
        <v>5063</v>
      </c>
      <c r="D1413">
        <v>8</v>
      </c>
      <c r="E1413">
        <v>25</v>
      </c>
      <c r="F1413">
        <v>245</v>
      </c>
      <c r="G1413">
        <v>6125</v>
      </c>
      <c r="H1413">
        <v>128</v>
      </c>
      <c r="I1413">
        <v>1.9</v>
      </c>
      <c r="J1413">
        <v>2.95</v>
      </c>
      <c r="K1413">
        <v>18068.75</v>
      </c>
    </row>
    <row r="1414" spans="1:11" x14ac:dyDescent="0.2">
      <c r="B1414">
        <v>8600</v>
      </c>
      <c r="C1414" t="s">
        <v>5063</v>
      </c>
      <c r="D1414">
        <v>12</v>
      </c>
      <c r="E1414">
        <v>45</v>
      </c>
      <c r="F1414">
        <v>-2</v>
      </c>
      <c r="G1414">
        <v>-90</v>
      </c>
      <c r="H1414">
        <v>36</v>
      </c>
      <c r="I1414">
        <v>-0.1</v>
      </c>
      <c r="J1414">
        <v>2.95</v>
      </c>
      <c r="K1414">
        <v>-265.5</v>
      </c>
    </row>
    <row r="1415" spans="1:11" x14ac:dyDescent="0.2">
      <c r="A1415">
        <v>72197</v>
      </c>
      <c r="B1415">
        <v>8629</v>
      </c>
      <c r="C1415" t="s">
        <v>5064</v>
      </c>
      <c r="D1415">
        <v>8</v>
      </c>
      <c r="E1415">
        <v>6</v>
      </c>
      <c r="F1415">
        <v>556</v>
      </c>
      <c r="G1415">
        <v>3334</v>
      </c>
      <c r="H1415">
        <v>162</v>
      </c>
      <c r="I1415">
        <v>3.4</v>
      </c>
      <c r="J1415">
        <v>2.31</v>
      </c>
      <c r="K1415">
        <v>7701.54</v>
      </c>
    </row>
    <row r="1416" spans="1:11" x14ac:dyDescent="0.2">
      <c r="B1416">
        <v>8633</v>
      </c>
      <c r="C1416" t="s">
        <v>5065</v>
      </c>
      <c r="D1416">
        <v>11</v>
      </c>
      <c r="E1416">
        <v>7</v>
      </c>
      <c r="F1416">
        <v>0</v>
      </c>
      <c r="G1416">
        <v>0</v>
      </c>
      <c r="H1416">
        <v>48</v>
      </c>
      <c r="I1416">
        <v>0</v>
      </c>
      <c r="J1416">
        <v>2.29</v>
      </c>
      <c r="K1416">
        <v>0</v>
      </c>
    </row>
    <row r="1417" spans="1:11" x14ac:dyDescent="0.2">
      <c r="A1417">
        <v>0</v>
      </c>
      <c r="B1417">
        <v>8635</v>
      </c>
      <c r="C1417" t="s">
        <v>5066</v>
      </c>
      <c r="D1417">
        <v>11</v>
      </c>
      <c r="E1417">
        <v>6</v>
      </c>
      <c r="F1417">
        <v>0</v>
      </c>
      <c r="G1417">
        <v>0</v>
      </c>
      <c r="H1417">
        <v>30</v>
      </c>
      <c r="I1417">
        <v>0</v>
      </c>
      <c r="J1417">
        <v>2.35</v>
      </c>
      <c r="K1417">
        <v>0</v>
      </c>
    </row>
    <row r="1418" spans="1:11" x14ac:dyDescent="0.2">
      <c r="B1418">
        <v>8637</v>
      </c>
      <c r="C1418" t="s">
        <v>5067</v>
      </c>
      <c r="D1418">
        <v>12</v>
      </c>
      <c r="E1418">
        <v>12</v>
      </c>
      <c r="F1418">
        <v>0</v>
      </c>
      <c r="G1418">
        <v>0</v>
      </c>
      <c r="H1418">
        <v>200</v>
      </c>
      <c r="I1418">
        <v>0</v>
      </c>
      <c r="J1418">
        <v>2.9</v>
      </c>
      <c r="K1418">
        <v>0</v>
      </c>
    </row>
    <row r="1419" spans="1:11" x14ac:dyDescent="0.2">
      <c r="A1419">
        <v>57603</v>
      </c>
      <c r="B1419">
        <v>8637</v>
      </c>
      <c r="C1419" t="s">
        <v>5067</v>
      </c>
      <c r="D1419">
        <v>11</v>
      </c>
      <c r="E1419">
        <v>180</v>
      </c>
      <c r="F1419">
        <v>1</v>
      </c>
      <c r="G1419">
        <v>95</v>
      </c>
      <c r="H1419">
        <v>4</v>
      </c>
      <c r="I1419">
        <v>0.1</v>
      </c>
      <c r="J1419">
        <v>2.9</v>
      </c>
      <c r="K1419">
        <v>275.5</v>
      </c>
    </row>
    <row r="1420" spans="1:11" x14ac:dyDescent="0.2">
      <c r="A1420">
        <v>57011</v>
      </c>
      <c r="B1420">
        <v>8640</v>
      </c>
      <c r="C1420" t="s">
        <v>5068</v>
      </c>
      <c r="D1420">
        <v>11</v>
      </c>
      <c r="E1420">
        <v>168</v>
      </c>
      <c r="F1420">
        <v>0</v>
      </c>
      <c r="G1420">
        <v>0</v>
      </c>
      <c r="H1420">
        <v>2</v>
      </c>
      <c r="I1420">
        <v>0</v>
      </c>
      <c r="J1420">
        <v>1.6</v>
      </c>
      <c r="K1420">
        <v>0</v>
      </c>
    </row>
    <row r="1421" spans="1:11" x14ac:dyDescent="0.2">
      <c r="A1421">
        <v>3642</v>
      </c>
      <c r="B1421">
        <v>8646</v>
      </c>
      <c r="C1421" t="s">
        <v>5069</v>
      </c>
      <c r="D1421">
        <v>6</v>
      </c>
      <c r="E1421">
        <v>20</v>
      </c>
      <c r="F1421">
        <v>0</v>
      </c>
      <c r="G1421">
        <v>0</v>
      </c>
      <c r="H1421">
        <v>392</v>
      </c>
      <c r="I1421">
        <v>0</v>
      </c>
      <c r="J1421">
        <v>0.8</v>
      </c>
      <c r="K1421">
        <v>0</v>
      </c>
    </row>
    <row r="1422" spans="1:11" x14ac:dyDescent="0.2">
      <c r="A1422">
        <v>41506</v>
      </c>
      <c r="B1422">
        <v>8653</v>
      </c>
      <c r="C1422" t="s">
        <v>5070</v>
      </c>
      <c r="D1422">
        <v>10</v>
      </c>
      <c r="E1422">
        <v>6</v>
      </c>
      <c r="F1422">
        <v>-2</v>
      </c>
      <c r="G1422">
        <v>-12</v>
      </c>
      <c r="H1422">
        <v>144</v>
      </c>
      <c r="I1422">
        <v>0</v>
      </c>
      <c r="J1422">
        <v>2.39</v>
      </c>
      <c r="K1422">
        <v>-28.68</v>
      </c>
    </row>
    <row r="1423" spans="1:11" x14ac:dyDescent="0.2">
      <c r="A1423">
        <v>32800</v>
      </c>
      <c r="B1423">
        <v>8658</v>
      </c>
      <c r="C1423" t="s">
        <v>5071</v>
      </c>
      <c r="D1423">
        <v>10</v>
      </c>
      <c r="E1423">
        <v>1</v>
      </c>
      <c r="F1423">
        <v>0</v>
      </c>
      <c r="G1423">
        <v>0</v>
      </c>
      <c r="H1423">
        <v>20</v>
      </c>
      <c r="I1423">
        <v>0</v>
      </c>
      <c r="J1423">
        <v>499</v>
      </c>
      <c r="K1423">
        <v>0</v>
      </c>
    </row>
    <row r="1424" spans="1:11" x14ac:dyDescent="0.2">
      <c r="A1424">
        <v>57211</v>
      </c>
      <c r="B1424">
        <v>8664</v>
      </c>
      <c r="C1424" t="s">
        <v>5072</v>
      </c>
      <c r="D1424">
        <v>11</v>
      </c>
      <c r="E1424">
        <v>1</v>
      </c>
      <c r="F1424">
        <v>0</v>
      </c>
      <c r="G1424">
        <v>0</v>
      </c>
      <c r="H1424">
        <v>144</v>
      </c>
      <c r="I1424">
        <v>0</v>
      </c>
      <c r="J1424">
        <v>1</v>
      </c>
      <c r="K1424">
        <v>0</v>
      </c>
    </row>
    <row r="1425" spans="1:11" x14ac:dyDescent="0.2">
      <c r="A1425">
        <v>57212</v>
      </c>
      <c r="B1425">
        <v>8671</v>
      </c>
      <c r="C1425" t="s">
        <v>5073</v>
      </c>
      <c r="D1425">
        <v>11</v>
      </c>
      <c r="E1425">
        <v>1</v>
      </c>
      <c r="F1425">
        <v>0</v>
      </c>
      <c r="G1425">
        <v>0</v>
      </c>
      <c r="H1425">
        <v>144</v>
      </c>
      <c r="I1425">
        <v>0</v>
      </c>
      <c r="J1425">
        <v>1</v>
      </c>
      <c r="K1425">
        <v>0</v>
      </c>
    </row>
    <row r="1426" spans="1:11" x14ac:dyDescent="0.2">
      <c r="A1426">
        <v>57213</v>
      </c>
      <c r="B1426">
        <v>8676</v>
      </c>
      <c r="C1426" t="s">
        <v>5074</v>
      </c>
      <c r="D1426">
        <v>11</v>
      </c>
      <c r="E1426">
        <v>1</v>
      </c>
      <c r="F1426">
        <v>0</v>
      </c>
      <c r="G1426">
        <v>0</v>
      </c>
      <c r="H1426">
        <v>240</v>
      </c>
      <c r="I1426">
        <v>0</v>
      </c>
      <c r="J1426">
        <v>1</v>
      </c>
      <c r="K1426">
        <v>0</v>
      </c>
    </row>
    <row r="1427" spans="1:11" x14ac:dyDescent="0.2">
      <c r="A1427">
        <v>43505</v>
      </c>
      <c r="B1427">
        <v>8677</v>
      </c>
      <c r="C1427" t="s">
        <v>5075</v>
      </c>
      <c r="D1427">
        <v>10</v>
      </c>
      <c r="E1427">
        <v>6</v>
      </c>
      <c r="F1427">
        <v>3</v>
      </c>
      <c r="G1427">
        <v>18</v>
      </c>
      <c r="H1427">
        <v>144</v>
      </c>
      <c r="I1427">
        <v>0</v>
      </c>
      <c r="J1427">
        <v>2.19</v>
      </c>
      <c r="K1427">
        <v>39.42</v>
      </c>
    </row>
    <row r="1428" spans="1:11" x14ac:dyDescent="0.2">
      <c r="A1428">
        <v>43905</v>
      </c>
      <c r="B1428">
        <v>8682</v>
      </c>
      <c r="C1428" t="s">
        <v>5076</v>
      </c>
      <c r="D1428">
        <v>10</v>
      </c>
      <c r="E1428">
        <v>40</v>
      </c>
      <c r="F1428">
        <v>0</v>
      </c>
      <c r="G1428">
        <v>0</v>
      </c>
      <c r="H1428">
        <v>50</v>
      </c>
      <c r="I1428">
        <v>0</v>
      </c>
      <c r="J1428">
        <v>0.5</v>
      </c>
      <c r="K1428">
        <v>0</v>
      </c>
    </row>
    <row r="1429" spans="1:11" x14ac:dyDescent="0.2">
      <c r="A1429">
        <v>43906</v>
      </c>
      <c r="B1429">
        <v>8683</v>
      </c>
      <c r="C1429" t="s">
        <v>5077</v>
      </c>
      <c r="D1429">
        <v>10</v>
      </c>
      <c r="E1429">
        <v>40</v>
      </c>
      <c r="F1429">
        <v>0</v>
      </c>
      <c r="G1429">
        <v>0</v>
      </c>
      <c r="H1429">
        <v>60</v>
      </c>
      <c r="I1429">
        <v>0</v>
      </c>
      <c r="J1429">
        <v>0.5</v>
      </c>
      <c r="K1429">
        <v>0</v>
      </c>
    </row>
    <row r="1430" spans="1:11" x14ac:dyDescent="0.2">
      <c r="A1430">
        <v>43907</v>
      </c>
      <c r="B1430">
        <v>8685</v>
      </c>
      <c r="C1430" t="s">
        <v>5078</v>
      </c>
      <c r="D1430">
        <v>10</v>
      </c>
      <c r="E1430">
        <v>40</v>
      </c>
      <c r="F1430">
        <v>0</v>
      </c>
      <c r="G1430">
        <v>0</v>
      </c>
      <c r="H1430">
        <v>100</v>
      </c>
      <c r="I1430">
        <v>0</v>
      </c>
      <c r="J1430">
        <v>0.28999999999999998</v>
      </c>
      <c r="K1430">
        <v>0</v>
      </c>
    </row>
    <row r="1431" spans="1:11" x14ac:dyDescent="0.2">
      <c r="A1431">
        <v>43908</v>
      </c>
      <c r="B1431">
        <v>8696</v>
      </c>
      <c r="C1431" t="s">
        <v>5079</v>
      </c>
      <c r="D1431">
        <v>10</v>
      </c>
      <c r="E1431">
        <v>20</v>
      </c>
      <c r="F1431">
        <v>0</v>
      </c>
      <c r="G1431">
        <v>0</v>
      </c>
      <c r="H1431">
        <v>80</v>
      </c>
      <c r="I1431">
        <v>0</v>
      </c>
      <c r="J1431">
        <v>0.5</v>
      </c>
      <c r="K1431">
        <v>0</v>
      </c>
    </row>
    <row r="1432" spans="1:11" x14ac:dyDescent="0.2">
      <c r="A1432">
        <v>43909</v>
      </c>
      <c r="B1432">
        <v>8699</v>
      </c>
      <c r="C1432" t="s">
        <v>5080</v>
      </c>
      <c r="D1432">
        <v>10</v>
      </c>
      <c r="E1432">
        <v>20</v>
      </c>
      <c r="F1432">
        <v>0</v>
      </c>
      <c r="G1432">
        <v>0</v>
      </c>
      <c r="H1432">
        <v>80</v>
      </c>
      <c r="I1432">
        <v>0</v>
      </c>
      <c r="J1432">
        <v>0.5</v>
      </c>
      <c r="K1432">
        <v>0</v>
      </c>
    </row>
    <row r="1433" spans="1:11" x14ac:dyDescent="0.2">
      <c r="A1433">
        <v>43910</v>
      </c>
      <c r="B1433">
        <v>8700</v>
      </c>
      <c r="C1433" t="s">
        <v>5081</v>
      </c>
      <c r="D1433">
        <v>10</v>
      </c>
      <c r="E1433">
        <v>20</v>
      </c>
      <c r="F1433">
        <v>0</v>
      </c>
      <c r="G1433">
        <v>0</v>
      </c>
      <c r="H1433">
        <v>80</v>
      </c>
      <c r="I1433">
        <v>0</v>
      </c>
      <c r="J1433">
        <v>0.5</v>
      </c>
      <c r="K1433">
        <v>0</v>
      </c>
    </row>
    <row r="1434" spans="1:11" x14ac:dyDescent="0.2">
      <c r="A1434">
        <v>43911</v>
      </c>
      <c r="B1434">
        <v>8702</v>
      </c>
      <c r="C1434" t="s">
        <v>5082</v>
      </c>
      <c r="D1434">
        <v>10</v>
      </c>
      <c r="E1434">
        <v>15</v>
      </c>
      <c r="F1434">
        <v>0</v>
      </c>
      <c r="G1434">
        <v>0</v>
      </c>
      <c r="H1434">
        <v>121</v>
      </c>
      <c r="I1434">
        <v>0</v>
      </c>
      <c r="J1434">
        <v>0.5</v>
      </c>
      <c r="K1434">
        <v>0</v>
      </c>
    </row>
    <row r="1435" spans="1:11" x14ac:dyDescent="0.2">
      <c r="A1435">
        <v>43912</v>
      </c>
      <c r="B1435">
        <v>8706</v>
      </c>
      <c r="C1435" t="s">
        <v>5083</v>
      </c>
      <c r="D1435">
        <v>10</v>
      </c>
      <c r="E1435">
        <v>24</v>
      </c>
      <c r="F1435">
        <v>0</v>
      </c>
      <c r="G1435">
        <v>0</v>
      </c>
      <c r="H1435">
        <v>72</v>
      </c>
      <c r="I1435">
        <v>0</v>
      </c>
      <c r="J1435">
        <v>1</v>
      </c>
      <c r="K1435">
        <v>0</v>
      </c>
    </row>
    <row r="1436" spans="1:11" x14ac:dyDescent="0.2">
      <c r="A1436">
        <v>43913</v>
      </c>
      <c r="B1436">
        <v>8707</v>
      </c>
      <c r="C1436" t="s">
        <v>5084</v>
      </c>
      <c r="D1436">
        <v>10</v>
      </c>
      <c r="E1436">
        <v>15</v>
      </c>
      <c r="F1436">
        <v>0</v>
      </c>
      <c r="G1436">
        <v>0</v>
      </c>
      <c r="H1436">
        <v>90</v>
      </c>
      <c r="I1436">
        <v>0</v>
      </c>
      <c r="J1436">
        <v>0.5</v>
      </c>
      <c r="K1436">
        <v>0</v>
      </c>
    </row>
    <row r="1437" spans="1:11" x14ac:dyDescent="0.2">
      <c r="A1437">
        <v>43914</v>
      </c>
      <c r="B1437">
        <v>8708</v>
      </c>
      <c r="C1437" t="s">
        <v>5085</v>
      </c>
      <c r="D1437">
        <v>10</v>
      </c>
      <c r="E1437">
        <v>20</v>
      </c>
      <c r="F1437">
        <v>0</v>
      </c>
      <c r="G1437">
        <v>0</v>
      </c>
      <c r="H1437">
        <v>30</v>
      </c>
      <c r="I1437">
        <v>0</v>
      </c>
      <c r="J1437">
        <v>1</v>
      </c>
      <c r="K1437">
        <v>0</v>
      </c>
    </row>
    <row r="1438" spans="1:11" x14ac:dyDescent="0.2">
      <c r="A1438">
        <v>43915</v>
      </c>
      <c r="B1438">
        <v>8713</v>
      </c>
      <c r="C1438" t="s">
        <v>5086</v>
      </c>
      <c r="D1438">
        <v>10</v>
      </c>
      <c r="E1438">
        <v>20</v>
      </c>
      <c r="F1438">
        <v>0</v>
      </c>
      <c r="G1438">
        <v>0</v>
      </c>
      <c r="H1438">
        <v>36</v>
      </c>
      <c r="I1438">
        <v>0</v>
      </c>
      <c r="J1438">
        <v>1</v>
      </c>
      <c r="K1438">
        <v>0</v>
      </c>
    </row>
    <row r="1439" spans="1:11" x14ac:dyDescent="0.2">
      <c r="A1439">
        <v>43916</v>
      </c>
      <c r="B1439">
        <v>8716</v>
      </c>
      <c r="C1439" t="s">
        <v>5087</v>
      </c>
      <c r="D1439">
        <v>10</v>
      </c>
      <c r="E1439">
        <v>10</v>
      </c>
      <c r="F1439">
        <v>0</v>
      </c>
      <c r="G1439">
        <v>-1</v>
      </c>
      <c r="H1439">
        <v>72</v>
      </c>
      <c r="I1439">
        <v>0</v>
      </c>
      <c r="J1439">
        <v>1</v>
      </c>
      <c r="K1439">
        <v>-1</v>
      </c>
    </row>
    <row r="1440" spans="1:11" x14ac:dyDescent="0.2">
      <c r="A1440">
        <v>37800</v>
      </c>
      <c r="B1440">
        <v>8719</v>
      </c>
      <c r="C1440" t="s">
        <v>5088</v>
      </c>
      <c r="D1440">
        <v>10</v>
      </c>
      <c r="E1440">
        <v>30</v>
      </c>
      <c r="F1440">
        <v>0</v>
      </c>
      <c r="G1440">
        <v>0</v>
      </c>
      <c r="H1440">
        <v>16</v>
      </c>
      <c r="I1440">
        <v>0</v>
      </c>
      <c r="J1440">
        <v>4.99</v>
      </c>
      <c r="K1440">
        <v>0</v>
      </c>
    </row>
    <row r="1441" spans="1:11" x14ac:dyDescent="0.2">
      <c r="A1441">
        <v>37801</v>
      </c>
      <c r="B1441">
        <v>8721</v>
      </c>
      <c r="C1441" t="s">
        <v>5089</v>
      </c>
      <c r="D1441">
        <v>10</v>
      </c>
      <c r="E1441">
        <v>15</v>
      </c>
      <c r="F1441">
        <v>0</v>
      </c>
      <c r="G1441">
        <v>0</v>
      </c>
      <c r="H1441">
        <v>118</v>
      </c>
      <c r="I1441">
        <v>0</v>
      </c>
      <c r="J1441">
        <v>1.29</v>
      </c>
      <c r="K1441">
        <v>0</v>
      </c>
    </row>
    <row r="1442" spans="1:11" x14ac:dyDescent="0.2">
      <c r="A1442">
        <v>83131</v>
      </c>
      <c r="B1442">
        <v>8723</v>
      </c>
      <c r="C1442" t="s">
        <v>5090</v>
      </c>
      <c r="D1442">
        <v>8</v>
      </c>
      <c r="E1442">
        <v>6</v>
      </c>
      <c r="F1442">
        <v>195</v>
      </c>
      <c r="G1442">
        <v>1170</v>
      </c>
      <c r="H1442">
        <v>30</v>
      </c>
      <c r="I1442">
        <v>6.5</v>
      </c>
      <c r="J1442">
        <v>2.74</v>
      </c>
      <c r="K1442">
        <v>3205.8</v>
      </c>
    </row>
    <row r="1443" spans="1:11" x14ac:dyDescent="0.2">
      <c r="B1443">
        <v>8724</v>
      </c>
      <c r="C1443" t="s">
        <v>5091</v>
      </c>
      <c r="D1443">
        <v>11</v>
      </c>
      <c r="E1443">
        <v>12</v>
      </c>
      <c r="F1443">
        <v>1</v>
      </c>
      <c r="G1443">
        <v>12</v>
      </c>
      <c r="H1443">
        <v>48</v>
      </c>
      <c r="I1443">
        <v>0</v>
      </c>
      <c r="J1443">
        <v>2.95</v>
      </c>
      <c r="K1443">
        <v>35.4</v>
      </c>
    </row>
    <row r="1444" spans="1:11" x14ac:dyDescent="0.2">
      <c r="A1444">
        <v>74166</v>
      </c>
      <c r="B1444">
        <v>8730</v>
      </c>
      <c r="C1444" t="s">
        <v>5092</v>
      </c>
      <c r="D1444">
        <v>8</v>
      </c>
      <c r="E1444">
        <v>16</v>
      </c>
      <c r="F1444">
        <v>246</v>
      </c>
      <c r="G1444">
        <v>3936</v>
      </c>
      <c r="H1444">
        <v>100</v>
      </c>
      <c r="I1444">
        <v>2.5</v>
      </c>
      <c r="J1444">
        <v>0.95</v>
      </c>
      <c r="K1444">
        <v>3739.2</v>
      </c>
    </row>
    <row r="1445" spans="1:11" x14ac:dyDescent="0.2">
      <c r="A1445">
        <v>70181</v>
      </c>
      <c r="B1445">
        <v>8736</v>
      </c>
      <c r="C1445" t="s">
        <v>5093</v>
      </c>
      <c r="D1445">
        <v>8</v>
      </c>
      <c r="E1445">
        <v>24</v>
      </c>
      <c r="F1445">
        <v>105</v>
      </c>
      <c r="G1445">
        <v>2520</v>
      </c>
      <c r="H1445">
        <v>120</v>
      </c>
      <c r="I1445">
        <v>0.9</v>
      </c>
      <c r="J1445">
        <v>3.99</v>
      </c>
      <c r="K1445">
        <v>10054.799999999999</v>
      </c>
    </row>
    <row r="1446" spans="1:11" x14ac:dyDescent="0.2">
      <c r="A1446">
        <v>70171</v>
      </c>
      <c r="B1446">
        <v>8741</v>
      </c>
      <c r="C1446" t="s">
        <v>5094</v>
      </c>
      <c r="D1446">
        <v>8</v>
      </c>
      <c r="E1446">
        <v>15</v>
      </c>
      <c r="F1446">
        <v>51</v>
      </c>
      <c r="G1446">
        <v>765</v>
      </c>
      <c r="H1446">
        <v>60</v>
      </c>
      <c r="I1446">
        <v>0.9</v>
      </c>
      <c r="J1446">
        <v>3.65</v>
      </c>
      <c r="K1446">
        <v>2792.25</v>
      </c>
    </row>
    <row r="1447" spans="1:11" x14ac:dyDescent="0.2">
      <c r="A1447">
        <v>51622</v>
      </c>
      <c r="B1447">
        <v>8748</v>
      </c>
      <c r="C1447" t="s">
        <v>5095</v>
      </c>
      <c r="D1447">
        <v>10</v>
      </c>
      <c r="E1447">
        <v>60</v>
      </c>
      <c r="F1447">
        <v>0</v>
      </c>
      <c r="G1447">
        <v>0</v>
      </c>
      <c r="H1447">
        <v>4</v>
      </c>
      <c r="I1447">
        <v>0</v>
      </c>
      <c r="J1447">
        <v>5.19</v>
      </c>
      <c r="K1447">
        <v>0</v>
      </c>
    </row>
    <row r="1448" spans="1:11" x14ac:dyDescent="0.2">
      <c r="A1448">
        <v>69032</v>
      </c>
      <c r="B1448">
        <v>8749</v>
      </c>
      <c r="C1448" t="s">
        <v>5096</v>
      </c>
      <c r="D1448">
        <v>8</v>
      </c>
      <c r="E1448">
        <v>20</v>
      </c>
      <c r="F1448">
        <v>265</v>
      </c>
      <c r="G1448">
        <v>5298</v>
      </c>
      <c r="H1448">
        <v>40</v>
      </c>
      <c r="I1448">
        <v>6.6</v>
      </c>
      <c r="J1448">
        <v>2.29</v>
      </c>
      <c r="K1448">
        <v>12132.42</v>
      </c>
    </row>
    <row r="1449" spans="1:11" x14ac:dyDescent="0.2">
      <c r="A1449">
        <v>37802</v>
      </c>
      <c r="B1449">
        <v>8754</v>
      </c>
      <c r="C1449" t="s">
        <v>5097</v>
      </c>
      <c r="D1449">
        <v>10</v>
      </c>
      <c r="E1449">
        <v>78</v>
      </c>
      <c r="F1449">
        <v>0</v>
      </c>
      <c r="G1449">
        <v>0</v>
      </c>
      <c r="H1449">
        <v>40</v>
      </c>
      <c r="I1449">
        <v>0</v>
      </c>
      <c r="J1449">
        <v>2.99</v>
      </c>
      <c r="K1449">
        <v>0</v>
      </c>
    </row>
    <row r="1450" spans="1:11" x14ac:dyDescent="0.2">
      <c r="A1450">
        <v>57252</v>
      </c>
      <c r="B1450">
        <v>8760</v>
      </c>
      <c r="C1450" t="s">
        <v>5098</v>
      </c>
      <c r="D1450">
        <v>10</v>
      </c>
      <c r="E1450">
        <v>12</v>
      </c>
      <c r="F1450">
        <v>0</v>
      </c>
      <c r="G1450">
        <v>0</v>
      </c>
      <c r="H1450">
        <v>132</v>
      </c>
      <c r="I1450">
        <v>0</v>
      </c>
      <c r="J1450">
        <v>2.33</v>
      </c>
      <c r="K1450">
        <v>0</v>
      </c>
    </row>
    <row r="1451" spans="1:11" x14ac:dyDescent="0.2">
      <c r="A1451">
        <v>71201</v>
      </c>
      <c r="B1451">
        <v>8762</v>
      </c>
      <c r="C1451" t="s">
        <v>5099</v>
      </c>
      <c r="D1451">
        <v>8</v>
      </c>
      <c r="E1451">
        <v>6</v>
      </c>
      <c r="F1451">
        <v>823</v>
      </c>
      <c r="G1451">
        <v>4937</v>
      </c>
      <c r="H1451">
        <v>104</v>
      </c>
      <c r="I1451">
        <v>7.9</v>
      </c>
      <c r="J1451">
        <v>2.19</v>
      </c>
      <c r="K1451">
        <v>10812.03</v>
      </c>
    </row>
    <row r="1452" spans="1:11" x14ac:dyDescent="0.2">
      <c r="A1452">
        <v>37803</v>
      </c>
      <c r="B1452">
        <v>8782</v>
      </c>
      <c r="C1452" t="s">
        <v>5100</v>
      </c>
      <c r="D1452">
        <v>10</v>
      </c>
      <c r="E1452">
        <v>16</v>
      </c>
      <c r="F1452">
        <v>0</v>
      </c>
      <c r="G1452">
        <v>0</v>
      </c>
      <c r="H1452">
        <v>118</v>
      </c>
      <c r="I1452">
        <v>0</v>
      </c>
      <c r="J1452">
        <v>1.99</v>
      </c>
      <c r="K1452">
        <v>0</v>
      </c>
    </row>
    <row r="1453" spans="1:11" x14ac:dyDescent="0.2">
      <c r="A1453">
        <v>37804</v>
      </c>
      <c r="B1453">
        <v>8784</v>
      </c>
      <c r="C1453" t="s">
        <v>5101</v>
      </c>
      <c r="D1453">
        <v>10</v>
      </c>
      <c r="E1453">
        <v>16</v>
      </c>
      <c r="F1453">
        <v>0</v>
      </c>
      <c r="G1453">
        <v>0</v>
      </c>
      <c r="H1453">
        <v>111</v>
      </c>
      <c r="I1453">
        <v>0</v>
      </c>
      <c r="J1453">
        <v>1.99</v>
      </c>
      <c r="K1453">
        <v>0</v>
      </c>
    </row>
    <row r="1454" spans="1:11" x14ac:dyDescent="0.2">
      <c r="A1454">
        <v>40800</v>
      </c>
      <c r="B1454">
        <v>8786</v>
      </c>
      <c r="C1454" t="s">
        <v>5102</v>
      </c>
      <c r="D1454">
        <v>10</v>
      </c>
      <c r="E1454">
        <v>16</v>
      </c>
      <c r="F1454">
        <v>0</v>
      </c>
      <c r="G1454">
        <v>0</v>
      </c>
      <c r="H1454">
        <v>78</v>
      </c>
      <c r="I1454">
        <v>0</v>
      </c>
      <c r="J1454">
        <v>3.99</v>
      </c>
      <c r="K1454">
        <v>0</v>
      </c>
    </row>
    <row r="1455" spans="1:11" x14ac:dyDescent="0.2">
      <c r="A1455">
        <v>41800</v>
      </c>
      <c r="B1455">
        <v>8788</v>
      </c>
      <c r="C1455" t="s">
        <v>5103</v>
      </c>
      <c r="D1455">
        <v>10</v>
      </c>
      <c r="E1455">
        <v>8</v>
      </c>
      <c r="F1455">
        <v>0</v>
      </c>
      <c r="G1455">
        <v>0</v>
      </c>
      <c r="H1455">
        <v>120</v>
      </c>
      <c r="I1455">
        <v>0</v>
      </c>
      <c r="J1455">
        <v>3.99</v>
      </c>
      <c r="K1455">
        <v>0</v>
      </c>
    </row>
    <row r="1456" spans="1:11" x14ac:dyDescent="0.2">
      <c r="A1456">
        <v>46800</v>
      </c>
      <c r="B1456">
        <v>8795</v>
      </c>
      <c r="C1456" t="s">
        <v>5104</v>
      </c>
      <c r="D1456">
        <v>10</v>
      </c>
      <c r="E1456">
        <v>12</v>
      </c>
      <c r="F1456">
        <v>0</v>
      </c>
      <c r="G1456">
        <v>0</v>
      </c>
      <c r="H1456">
        <v>84</v>
      </c>
      <c r="I1456">
        <v>0</v>
      </c>
      <c r="J1456">
        <v>4.99</v>
      </c>
      <c r="K1456">
        <v>0</v>
      </c>
    </row>
    <row r="1457" spans="1:11" x14ac:dyDescent="0.2">
      <c r="A1457">
        <v>51800</v>
      </c>
      <c r="B1457">
        <v>8796</v>
      </c>
      <c r="C1457" t="s">
        <v>5105</v>
      </c>
      <c r="D1457">
        <v>10</v>
      </c>
      <c r="E1457">
        <v>12</v>
      </c>
      <c r="F1457">
        <v>1</v>
      </c>
      <c r="G1457">
        <v>12</v>
      </c>
      <c r="H1457">
        <v>115</v>
      </c>
      <c r="I1457">
        <v>0</v>
      </c>
      <c r="J1457">
        <v>3.99</v>
      </c>
      <c r="K1457">
        <v>47.88</v>
      </c>
    </row>
    <row r="1458" spans="1:11" x14ac:dyDescent="0.2">
      <c r="A1458">
        <v>50800</v>
      </c>
      <c r="B1458">
        <v>8798</v>
      </c>
      <c r="C1458" t="s">
        <v>5106</v>
      </c>
      <c r="D1458">
        <v>10</v>
      </c>
      <c r="E1458">
        <v>240</v>
      </c>
      <c r="F1458">
        <v>0</v>
      </c>
      <c r="G1458">
        <v>0</v>
      </c>
      <c r="H1458">
        <v>100</v>
      </c>
      <c r="I1458">
        <v>0</v>
      </c>
      <c r="J1458">
        <v>2.99</v>
      </c>
      <c r="K1458">
        <v>0</v>
      </c>
    </row>
    <row r="1459" spans="1:11" x14ac:dyDescent="0.2">
      <c r="A1459">
        <v>51060</v>
      </c>
      <c r="B1459">
        <v>8799</v>
      </c>
      <c r="C1459" t="s">
        <v>5107</v>
      </c>
      <c r="D1459">
        <v>10</v>
      </c>
      <c r="E1459">
        <v>32</v>
      </c>
      <c r="F1459">
        <v>1</v>
      </c>
      <c r="G1459">
        <v>32</v>
      </c>
      <c r="H1459">
        <v>98</v>
      </c>
      <c r="I1459">
        <v>0</v>
      </c>
      <c r="J1459">
        <v>2.4900000000000002</v>
      </c>
      <c r="K1459">
        <v>79.680000000000007</v>
      </c>
    </row>
    <row r="1460" spans="1:11" x14ac:dyDescent="0.2">
      <c r="A1460">
        <v>51061</v>
      </c>
      <c r="B1460">
        <v>8800</v>
      </c>
      <c r="C1460" t="s">
        <v>5108</v>
      </c>
      <c r="D1460">
        <v>10</v>
      </c>
      <c r="E1460">
        <v>7</v>
      </c>
      <c r="F1460">
        <v>0</v>
      </c>
      <c r="G1460">
        <v>0</v>
      </c>
      <c r="H1460">
        <v>88</v>
      </c>
      <c r="I1460">
        <v>0</v>
      </c>
      <c r="J1460">
        <v>4.99</v>
      </c>
      <c r="K1460">
        <v>0</v>
      </c>
    </row>
    <row r="1461" spans="1:11" x14ac:dyDescent="0.2">
      <c r="A1461">
        <v>57343</v>
      </c>
      <c r="B1461">
        <v>8804</v>
      </c>
      <c r="C1461" t="s">
        <v>5109</v>
      </c>
      <c r="D1461">
        <v>10</v>
      </c>
      <c r="E1461">
        <v>120</v>
      </c>
      <c r="F1461">
        <v>0</v>
      </c>
      <c r="G1461">
        <v>0</v>
      </c>
      <c r="H1461">
        <v>4</v>
      </c>
      <c r="I1461">
        <v>0</v>
      </c>
      <c r="J1461">
        <v>2.1</v>
      </c>
      <c r="K1461">
        <v>0</v>
      </c>
    </row>
    <row r="1462" spans="1:11" x14ac:dyDescent="0.2">
      <c r="A1462">
        <v>35689</v>
      </c>
      <c r="B1462">
        <v>8809</v>
      </c>
      <c r="C1462" t="s">
        <v>5110</v>
      </c>
      <c r="D1462">
        <v>10</v>
      </c>
      <c r="E1462">
        <v>97</v>
      </c>
      <c r="F1462">
        <v>0</v>
      </c>
      <c r="G1462">
        <v>0</v>
      </c>
      <c r="H1462">
        <v>4</v>
      </c>
      <c r="I1462">
        <v>0</v>
      </c>
      <c r="J1462">
        <v>2.25</v>
      </c>
      <c r="K1462">
        <v>0</v>
      </c>
    </row>
    <row r="1463" spans="1:11" x14ac:dyDescent="0.2">
      <c r="B1463">
        <v>8810</v>
      </c>
      <c r="C1463" t="s">
        <v>5111</v>
      </c>
      <c r="D1463">
        <v>10</v>
      </c>
      <c r="E1463">
        <v>8</v>
      </c>
      <c r="F1463">
        <v>-16</v>
      </c>
      <c r="G1463">
        <v>-128</v>
      </c>
      <c r="H1463">
        <v>30</v>
      </c>
      <c r="I1463">
        <v>-0.5</v>
      </c>
      <c r="J1463">
        <v>2.72</v>
      </c>
      <c r="K1463">
        <v>-348.16</v>
      </c>
    </row>
    <row r="1464" spans="1:11" x14ac:dyDescent="0.2">
      <c r="A1464">
        <v>95218</v>
      </c>
      <c r="B1464">
        <v>8813</v>
      </c>
      <c r="C1464" t="s">
        <v>5112</v>
      </c>
      <c r="D1464">
        <v>8</v>
      </c>
      <c r="E1464">
        <v>6</v>
      </c>
      <c r="F1464">
        <v>3400</v>
      </c>
      <c r="G1464">
        <v>20400</v>
      </c>
      <c r="H1464">
        <v>100</v>
      </c>
      <c r="I1464">
        <v>34</v>
      </c>
      <c r="J1464">
        <v>0.54</v>
      </c>
      <c r="K1464">
        <v>11016</v>
      </c>
    </row>
    <row r="1465" spans="1:11" x14ac:dyDescent="0.2">
      <c r="B1465">
        <v>8814</v>
      </c>
      <c r="C1465" t="s">
        <v>5113</v>
      </c>
      <c r="D1465">
        <v>11</v>
      </c>
      <c r="E1465">
        <v>6</v>
      </c>
      <c r="F1465">
        <v>-26</v>
      </c>
      <c r="G1465">
        <v>-156</v>
      </c>
      <c r="H1465">
        <v>64</v>
      </c>
      <c r="I1465">
        <v>-0.4</v>
      </c>
      <c r="J1465">
        <v>1.49</v>
      </c>
      <c r="K1465">
        <v>-232.44</v>
      </c>
    </row>
    <row r="1466" spans="1:11" x14ac:dyDescent="0.2">
      <c r="A1466">
        <v>87030</v>
      </c>
      <c r="B1466">
        <v>8815</v>
      </c>
      <c r="C1466" t="s">
        <v>5114</v>
      </c>
      <c r="D1466">
        <v>8</v>
      </c>
      <c r="E1466">
        <v>7</v>
      </c>
      <c r="F1466">
        <v>216</v>
      </c>
      <c r="G1466">
        <v>1512</v>
      </c>
      <c r="H1466">
        <v>108</v>
      </c>
      <c r="I1466">
        <v>2</v>
      </c>
      <c r="J1466">
        <v>2.15</v>
      </c>
      <c r="K1466">
        <v>3250.8</v>
      </c>
    </row>
    <row r="1467" spans="1:11" x14ac:dyDescent="0.2">
      <c r="A1467">
        <v>62156</v>
      </c>
      <c r="B1467">
        <v>8816</v>
      </c>
      <c r="C1467" t="s">
        <v>5115</v>
      </c>
      <c r="D1467">
        <v>8</v>
      </c>
      <c r="E1467">
        <v>1</v>
      </c>
      <c r="F1467">
        <v>3114</v>
      </c>
      <c r="G1467">
        <v>3114</v>
      </c>
      <c r="H1467">
        <v>182</v>
      </c>
      <c r="I1467">
        <v>17.100000000000001</v>
      </c>
      <c r="J1467">
        <v>6.69</v>
      </c>
      <c r="K1467">
        <v>20832.66</v>
      </c>
    </row>
    <row r="1468" spans="1:11" x14ac:dyDescent="0.2">
      <c r="A1468">
        <v>67171</v>
      </c>
      <c r="B1468">
        <v>8819</v>
      </c>
      <c r="C1468" t="s">
        <v>5116</v>
      </c>
      <c r="D1468">
        <v>8</v>
      </c>
      <c r="E1468">
        <v>4</v>
      </c>
      <c r="F1468">
        <v>1811</v>
      </c>
      <c r="G1468">
        <v>7244</v>
      </c>
      <c r="H1468">
        <v>56</v>
      </c>
      <c r="I1468">
        <v>32.299999999999997</v>
      </c>
      <c r="J1468">
        <v>8.65</v>
      </c>
      <c r="K1468">
        <v>62660.6</v>
      </c>
    </row>
    <row r="1469" spans="1:11" x14ac:dyDescent="0.2">
      <c r="B1469">
        <v>8820</v>
      </c>
      <c r="C1469" t="s">
        <v>5117</v>
      </c>
      <c r="D1469">
        <v>11</v>
      </c>
      <c r="E1469">
        <v>1</v>
      </c>
      <c r="F1469">
        <v>2</v>
      </c>
      <c r="G1469">
        <v>2</v>
      </c>
      <c r="H1469">
        <v>144</v>
      </c>
      <c r="I1469">
        <v>0</v>
      </c>
      <c r="J1469">
        <v>6.9</v>
      </c>
      <c r="K1469">
        <v>13.8</v>
      </c>
    </row>
    <row r="1470" spans="1:11" x14ac:dyDescent="0.2">
      <c r="A1470">
        <v>49625</v>
      </c>
      <c r="B1470">
        <v>8821</v>
      </c>
      <c r="C1470" t="s">
        <v>5118</v>
      </c>
      <c r="D1470">
        <v>10</v>
      </c>
      <c r="E1470">
        <v>12</v>
      </c>
      <c r="F1470">
        <v>0</v>
      </c>
      <c r="G1470">
        <v>0</v>
      </c>
      <c r="H1470">
        <v>52</v>
      </c>
      <c r="I1470">
        <v>0</v>
      </c>
      <c r="J1470">
        <v>0.96</v>
      </c>
      <c r="K1470">
        <v>0</v>
      </c>
    </row>
    <row r="1471" spans="1:11" x14ac:dyDescent="0.2">
      <c r="B1471">
        <v>8823</v>
      </c>
      <c r="C1471" t="s">
        <v>5119</v>
      </c>
      <c r="D1471">
        <v>10</v>
      </c>
      <c r="E1471">
        <v>5</v>
      </c>
      <c r="F1471">
        <v>-23</v>
      </c>
      <c r="G1471">
        <v>-115</v>
      </c>
      <c r="H1471">
        <v>60</v>
      </c>
      <c r="I1471">
        <v>-0.4</v>
      </c>
      <c r="J1471">
        <v>1.89</v>
      </c>
      <c r="K1471">
        <v>-217.35</v>
      </c>
    </row>
    <row r="1472" spans="1:11" x14ac:dyDescent="0.2">
      <c r="A1472">
        <v>46780</v>
      </c>
      <c r="B1472">
        <v>8826</v>
      </c>
      <c r="C1472" t="s">
        <v>5120</v>
      </c>
      <c r="D1472">
        <v>10</v>
      </c>
      <c r="E1472">
        <v>88</v>
      </c>
      <c r="F1472">
        <v>0</v>
      </c>
      <c r="G1472">
        <v>0</v>
      </c>
      <c r="H1472">
        <v>4</v>
      </c>
      <c r="I1472">
        <v>0</v>
      </c>
      <c r="J1472">
        <v>5.99</v>
      </c>
      <c r="K1472">
        <v>0</v>
      </c>
    </row>
    <row r="1473" spans="1:11" x14ac:dyDescent="0.2">
      <c r="A1473">
        <v>83248</v>
      </c>
      <c r="B1473">
        <v>8829</v>
      </c>
      <c r="C1473" t="s">
        <v>5121</v>
      </c>
      <c r="D1473">
        <v>8</v>
      </c>
      <c r="E1473">
        <v>5</v>
      </c>
      <c r="F1473">
        <v>1027</v>
      </c>
      <c r="G1473">
        <v>5135</v>
      </c>
      <c r="H1473">
        <v>60</v>
      </c>
      <c r="I1473">
        <v>17.100000000000001</v>
      </c>
      <c r="J1473">
        <v>1.89</v>
      </c>
      <c r="K1473">
        <v>9705.15</v>
      </c>
    </row>
    <row r="1474" spans="1:11" x14ac:dyDescent="0.2">
      <c r="A1474">
        <v>70094</v>
      </c>
      <c r="B1474">
        <v>8836</v>
      </c>
      <c r="C1474" t="s">
        <v>5122</v>
      </c>
      <c r="D1474">
        <v>8</v>
      </c>
      <c r="E1474">
        <v>16</v>
      </c>
      <c r="F1474">
        <v>122</v>
      </c>
      <c r="G1474">
        <v>1952</v>
      </c>
      <c r="H1474">
        <v>72</v>
      </c>
      <c r="I1474">
        <v>1.7</v>
      </c>
      <c r="J1474">
        <v>4.2</v>
      </c>
      <c r="K1474">
        <v>8198.4</v>
      </c>
    </row>
    <row r="1475" spans="1:11" x14ac:dyDescent="0.2">
      <c r="A1475">
        <v>49110</v>
      </c>
      <c r="B1475">
        <v>8837</v>
      </c>
      <c r="C1475" t="s">
        <v>5123</v>
      </c>
      <c r="D1475">
        <v>10</v>
      </c>
      <c r="E1475">
        <v>1</v>
      </c>
      <c r="F1475">
        <v>0</v>
      </c>
      <c r="G1475">
        <v>0</v>
      </c>
      <c r="H1475">
        <v>100</v>
      </c>
      <c r="I1475">
        <v>0</v>
      </c>
      <c r="J1475">
        <v>34.99</v>
      </c>
      <c r="K1475">
        <v>0</v>
      </c>
    </row>
    <row r="1476" spans="1:11" x14ac:dyDescent="0.2">
      <c r="A1476">
        <v>81217</v>
      </c>
      <c r="B1476">
        <v>8840</v>
      </c>
      <c r="C1476" t="s">
        <v>4487</v>
      </c>
      <c r="D1476">
        <v>8</v>
      </c>
      <c r="E1476">
        <v>14</v>
      </c>
      <c r="F1476">
        <v>267</v>
      </c>
      <c r="G1476">
        <v>3738</v>
      </c>
      <c r="H1476">
        <v>64</v>
      </c>
      <c r="I1476">
        <v>4.2</v>
      </c>
      <c r="J1476">
        <v>2.14</v>
      </c>
      <c r="K1476">
        <v>7999.32</v>
      </c>
    </row>
    <row r="1477" spans="1:11" x14ac:dyDescent="0.2">
      <c r="A1477">
        <v>72270</v>
      </c>
      <c r="B1477">
        <v>8841</v>
      </c>
      <c r="C1477" t="s">
        <v>5124</v>
      </c>
      <c r="D1477">
        <v>8</v>
      </c>
      <c r="E1477">
        <v>24</v>
      </c>
      <c r="F1477">
        <v>310</v>
      </c>
      <c r="G1477">
        <v>7440</v>
      </c>
      <c r="H1477">
        <v>64</v>
      </c>
      <c r="I1477">
        <v>4.8</v>
      </c>
      <c r="J1477">
        <v>2.35</v>
      </c>
      <c r="K1477">
        <v>17484</v>
      </c>
    </row>
    <row r="1478" spans="1:11" x14ac:dyDescent="0.2">
      <c r="A1478">
        <v>39681</v>
      </c>
      <c r="B1478">
        <v>8843</v>
      </c>
      <c r="C1478" t="s">
        <v>5125</v>
      </c>
      <c r="D1478">
        <v>10</v>
      </c>
      <c r="E1478">
        <v>42</v>
      </c>
      <c r="F1478">
        <v>-8</v>
      </c>
      <c r="G1478">
        <v>-335</v>
      </c>
      <c r="H1478">
        <v>4</v>
      </c>
      <c r="I1478">
        <v>-2</v>
      </c>
      <c r="J1478">
        <v>4</v>
      </c>
      <c r="K1478">
        <v>-1340</v>
      </c>
    </row>
    <row r="1479" spans="1:11" x14ac:dyDescent="0.2">
      <c r="B1479">
        <v>8849</v>
      </c>
      <c r="C1479" t="s">
        <v>5126</v>
      </c>
      <c r="D1479">
        <v>11</v>
      </c>
      <c r="E1479">
        <v>7</v>
      </c>
      <c r="F1479">
        <v>0</v>
      </c>
      <c r="G1479">
        <v>0</v>
      </c>
      <c r="H1479">
        <v>48</v>
      </c>
      <c r="I1479">
        <v>0</v>
      </c>
      <c r="J1479">
        <v>2.39</v>
      </c>
      <c r="K1479">
        <v>0</v>
      </c>
    </row>
    <row r="1480" spans="1:11" x14ac:dyDescent="0.2">
      <c r="A1480">
        <v>71008</v>
      </c>
      <c r="B1480">
        <v>8859</v>
      </c>
      <c r="C1480" t="s">
        <v>5127</v>
      </c>
      <c r="D1480">
        <v>8</v>
      </c>
      <c r="E1480">
        <v>16</v>
      </c>
      <c r="F1480">
        <v>425</v>
      </c>
      <c r="G1480">
        <v>6800</v>
      </c>
      <c r="H1480">
        <v>50</v>
      </c>
      <c r="I1480">
        <v>8.5</v>
      </c>
      <c r="J1480">
        <v>3.19</v>
      </c>
      <c r="K1480">
        <v>21692</v>
      </c>
    </row>
    <row r="1481" spans="1:11" x14ac:dyDescent="0.2">
      <c r="A1481">
        <v>27663</v>
      </c>
      <c r="B1481">
        <v>8860</v>
      </c>
      <c r="C1481" t="s">
        <v>5128</v>
      </c>
      <c r="D1481">
        <v>10</v>
      </c>
      <c r="E1481">
        <v>18</v>
      </c>
      <c r="F1481">
        <v>0</v>
      </c>
      <c r="G1481">
        <v>0</v>
      </c>
      <c r="H1481">
        <v>48</v>
      </c>
      <c r="I1481">
        <v>0</v>
      </c>
      <c r="J1481">
        <v>3.69</v>
      </c>
      <c r="K1481">
        <v>0</v>
      </c>
    </row>
    <row r="1482" spans="1:11" x14ac:dyDescent="0.2">
      <c r="A1482">
        <v>67144</v>
      </c>
      <c r="B1482">
        <v>8868</v>
      </c>
      <c r="C1482" t="s">
        <v>5129</v>
      </c>
      <c r="D1482">
        <v>8</v>
      </c>
      <c r="E1482">
        <v>8</v>
      </c>
      <c r="F1482">
        <v>430</v>
      </c>
      <c r="G1482">
        <v>3440</v>
      </c>
      <c r="H1482">
        <v>64</v>
      </c>
      <c r="I1482">
        <v>6.7</v>
      </c>
      <c r="J1482">
        <v>2.34</v>
      </c>
      <c r="K1482">
        <v>8049.6</v>
      </c>
    </row>
    <row r="1483" spans="1:11" x14ac:dyDescent="0.2">
      <c r="A1483">
        <v>33505</v>
      </c>
      <c r="B1483">
        <v>8869</v>
      </c>
      <c r="C1483" t="s">
        <v>5130</v>
      </c>
      <c r="D1483">
        <v>10</v>
      </c>
      <c r="E1483">
        <v>16</v>
      </c>
      <c r="F1483">
        <v>0</v>
      </c>
      <c r="G1483">
        <v>0</v>
      </c>
      <c r="H1483">
        <v>72</v>
      </c>
      <c r="I1483">
        <v>0</v>
      </c>
      <c r="J1483">
        <v>1.5</v>
      </c>
      <c r="K1483">
        <v>0</v>
      </c>
    </row>
    <row r="1484" spans="1:11" x14ac:dyDescent="0.2">
      <c r="B1484">
        <v>8871</v>
      </c>
      <c r="C1484" t="s">
        <v>5131</v>
      </c>
      <c r="D1484">
        <v>11</v>
      </c>
      <c r="E1484">
        <v>1</v>
      </c>
      <c r="F1484">
        <v>0</v>
      </c>
      <c r="G1484">
        <v>0</v>
      </c>
      <c r="H1484">
        <v>8</v>
      </c>
      <c r="I1484">
        <v>0</v>
      </c>
      <c r="J1484">
        <v>3</v>
      </c>
      <c r="K1484">
        <v>0</v>
      </c>
    </row>
    <row r="1485" spans="1:11" x14ac:dyDescent="0.2">
      <c r="A1485">
        <v>80105</v>
      </c>
      <c r="B1485">
        <v>8872</v>
      </c>
      <c r="C1485" t="s">
        <v>5132</v>
      </c>
      <c r="D1485">
        <v>8</v>
      </c>
      <c r="E1485">
        <v>6</v>
      </c>
      <c r="F1485">
        <v>527</v>
      </c>
      <c r="G1485">
        <v>3162</v>
      </c>
      <c r="H1485">
        <v>120</v>
      </c>
      <c r="I1485">
        <v>4.4000000000000004</v>
      </c>
      <c r="J1485">
        <v>1.1499999999999999</v>
      </c>
      <c r="K1485">
        <v>3636.3</v>
      </c>
    </row>
    <row r="1486" spans="1:11" x14ac:dyDescent="0.2">
      <c r="A1486">
        <v>74188</v>
      </c>
      <c r="B1486">
        <v>8873</v>
      </c>
      <c r="C1486" t="s">
        <v>5133</v>
      </c>
      <c r="D1486">
        <v>8</v>
      </c>
      <c r="E1486">
        <v>15</v>
      </c>
      <c r="F1486">
        <v>164</v>
      </c>
      <c r="G1486">
        <v>2460</v>
      </c>
      <c r="H1486">
        <v>48</v>
      </c>
      <c r="I1486">
        <v>3.4</v>
      </c>
      <c r="J1486">
        <v>2.59</v>
      </c>
      <c r="K1486">
        <v>6371.4</v>
      </c>
    </row>
    <row r="1487" spans="1:11" x14ac:dyDescent="0.2">
      <c r="A1487">
        <v>74221</v>
      </c>
      <c r="B1487">
        <v>8875</v>
      </c>
      <c r="C1487" t="s">
        <v>5134</v>
      </c>
      <c r="D1487">
        <v>8</v>
      </c>
      <c r="E1487">
        <v>16</v>
      </c>
      <c r="F1487">
        <v>140</v>
      </c>
      <c r="G1487">
        <v>2240</v>
      </c>
      <c r="H1487">
        <v>48</v>
      </c>
      <c r="I1487">
        <v>2.9</v>
      </c>
      <c r="J1487">
        <v>2.19</v>
      </c>
      <c r="K1487">
        <v>4905.6000000000004</v>
      </c>
    </row>
    <row r="1488" spans="1:11" x14ac:dyDescent="0.2">
      <c r="A1488">
        <v>74124</v>
      </c>
      <c r="B1488">
        <v>8881</v>
      </c>
      <c r="C1488" t="s">
        <v>5135</v>
      </c>
      <c r="D1488">
        <v>8</v>
      </c>
      <c r="E1488">
        <v>14</v>
      </c>
      <c r="F1488">
        <v>505</v>
      </c>
      <c r="G1488">
        <v>7070</v>
      </c>
      <c r="H1488">
        <v>75</v>
      </c>
      <c r="I1488">
        <v>6.7</v>
      </c>
      <c r="J1488">
        <v>1.01</v>
      </c>
      <c r="K1488">
        <v>7140.7</v>
      </c>
    </row>
    <row r="1489" spans="1:11" x14ac:dyDescent="0.2">
      <c r="B1489">
        <v>8883</v>
      </c>
      <c r="C1489" t="s">
        <v>5136</v>
      </c>
      <c r="D1489">
        <v>11</v>
      </c>
      <c r="E1489">
        <v>24</v>
      </c>
      <c r="F1489">
        <v>0</v>
      </c>
      <c r="G1489">
        <v>0</v>
      </c>
      <c r="H1489">
        <v>90</v>
      </c>
      <c r="I1489">
        <v>0</v>
      </c>
      <c r="J1489">
        <v>2.75</v>
      </c>
      <c r="K1489">
        <v>0</v>
      </c>
    </row>
    <row r="1490" spans="1:11" x14ac:dyDescent="0.2">
      <c r="A1490">
        <v>72021</v>
      </c>
      <c r="B1490">
        <v>8886</v>
      </c>
      <c r="C1490" t="s">
        <v>5137</v>
      </c>
      <c r="D1490">
        <v>8</v>
      </c>
      <c r="E1490">
        <v>16</v>
      </c>
      <c r="F1490">
        <v>99</v>
      </c>
      <c r="G1490">
        <v>1584</v>
      </c>
      <c r="H1490">
        <v>40</v>
      </c>
      <c r="I1490">
        <v>2.5</v>
      </c>
      <c r="J1490">
        <v>1.85</v>
      </c>
      <c r="K1490">
        <v>2930.4</v>
      </c>
    </row>
    <row r="1491" spans="1:11" x14ac:dyDescent="0.2">
      <c r="A1491">
        <v>57180</v>
      </c>
      <c r="B1491">
        <v>8889</v>
      </c>
      <c r="C1491" t="s">
        <v>5138</v>
      </c>
      <c r="D1491">
        <v>11</v>
      </c>
      <c r="E1491">
        <v>96</v>
      </c>
      <c r="F1491">
        <v>0</v>
      </c>
      <c r="G1491">
        <v>0</v>
      </c>
      <c r="H1491">
        <v>4</v>
      </c>
      <c r="I1491">
        <v>0</v>
      </c>
      <c r="J1491">
        <v>4.7</v>
      </c>
      <c r="K1491">
        <v>0</v>
      </c>
    </row>
    <row r="1492" spans="1:11" x14ac:dyDescent="0.2">
      <c r="A1492">
        <v>66060</v>
      </c>
      <c r="B1492">
        <v>8891</v>
      </c>
      <c r="C1492" t="s">
        <v>5139</v>
      </c>
      <c r="D1492">
        <v>8</v>
      </c>
      <c r="E1492">
        <v>9</v>
      </c>
      <c r="F1492">
        <v>402</v>
      </c>
      <c r="G1492">
        <v>3618</v>
      </c>
      <c r="H1492">
        <v>252</v>
      </c>
      <c r="I1492">
        <v>1.6</v>
      </c>
      <c r="J1492">
        <v>1.44</v>
      </c>
      <c r="K1492">
        <v>5209.92</v>
      </c>
    </row>
    <row r="1493" spans="1:11" x14ac:dyDescent="0.2">
      <c r="A1493">
        <v>66039</v>
      </c>
      <c r="B1493">
        <v>8893</v>
      </c>
      <c r="C1493" t="s">
        <v>5140</v>
      </c>
      <c r="D1493">
        <v>8</v>
      </c>
      <c r="E1493">
        <v>9</v>
      </c>
      <c r="F1493">
        <v>219</v>
      </c>
      <c r="G1493">
        <v>1971</v>
      </c>
      <c r="H1493">
        <v>126</v>
      </c>
      <c r="I1493">
        <v>1.7</v>
      </c>
      <c r="J1493">
        <v>1.1000000000000001</v>
      </c>
      <c r="K1493">
        <v>2168.1</v>
      </c>
    </row>
    <row r="1494" spans="1:11" x14ac:dyDescent="0.2">
      <c r="B1494">
        <v>8906</v>
      </c>
      <c r="C1494" t="s">
        <v>5141</v>
      </c>
      <c r="D1494">
        <v>10</v>
      </c>
      <c r="E1494">
        <v>1</v>
      </c>
      <c r="F1494">
        <v>0</v>
      </c>
      <c r="G1494">
        <v>0</v>
      </c>
      <c r="H1494">
        <v>100</v>
      </c>
      <c r="I1494">
        <v>0</v>
      </c>
      <c r="J1494">
        <v>0.01</v>
      </c>
      <c r="K1494">
        <v>0</v>
      </c>
    </row>
    <row r="1495" spans="1:11" x14ac:dyDescent="0.2">
      <c r="A1495">
        <v>67190</v>
      </c>
      <c r="B1495">
        <v>8914</v>
      </c>
      <c r="C1495" t="s">
        <v>5142</v>
      </c>
      <c r="D1495">
        <v>8</v>
      </c>
      <c r="E1495">
        <v>16</v>
      </c>
      <c r="F1495">
        <v>214</v>
      </c>
      <c r="G1495">
        <v>3424</v>
      </c>
      <c r="H1495">
        <v>72</v>
      </c>
      <c r="I1495">
        <v>3</v>
      </c>
      <c r="J1495">
        <v>4.8499999999999996</v>
      </c>
      <c r="K1495">
        <v>16606.400000000001</v>
      </c>
    </row>
    <row r="1496" spans="1:11" x14ac:dyDescent="0.2">
      <c r="A1496">
        <v>40613</v>
      </c>
      <c r="B1496">
        <v>8918</v>
      </c>
      <c r="C1496" t="s">
        <v>5143</v>
      </c>
      <c r="D1496">
        <v>10</v>
      </c>
      <c r="E1496">
        <v>1</v>
      </c>
      <c r="F1496">
        <v>0</v>
      </c>
      <c r="G1496">
        <v>0</v>
      </c>
      <c r="H1496">
        <v>64</v>
      </c>
      <c r="I1496">
        <v>0</v>
      </c>
      <c r="J1496">
        <v>4.99</v>
      </c>
      <c r="K1496">
        <v>0</v>
      </c>
    </row>
    <row r="1497" spans="1:11" x14ac:dyDescent="0.2">
      <c r="A1497">
        <v>73197</v>
      </c>
      <c r="B1497">
        <v>8920</v>
      </c>
      <c r="C1497" t="s">
        <v>5144</v>
      </c>
      <c r="D1497">
        <v>8</v>
      </c>
      <c r="E1497">
        <v>6</v>
      </c>
      <c r="F1497">
        <v>1078</v>
      </c>
      <c r="G1497">
        <v>6468</v>
      </c>
      <c r="H1497">
        <v>187</v>
      </c>
      <c r="I1497">
        <v>5.8</v>
      </c>
      <c r="J1497">
        <v>4.8499999999999996</v>
      </c>
      <c r="K1497">
        <v>31369.8</v>
      </c>
    </row>
    <row r="1498" spans="1:11" x14ac:dyDescent="0.2">
      <c r="A1498">
        <v>67212</v>
      </c>
      <c r="B1498">
        <v>8922</v>
      </c>
      <c r="C1498" t="s">
        <v>5145</v>
      </c>
      <c r="D1498">
        <v>8</v>
      </c>
      <c r="E1498">
        <v>6</v>
      </c>
      <c r="F1498">
        <v>1292</v>
      </c>
      <c r="G1498">
        <v>7752</v>
      </c>
      <c r="H1498">
        <v>96</v>
      </c>
      <c r="I1498">
        <v>13.5</v>
      </c>
      <c r="J1498">
        <v>1.79</v>
      </c>
      <c r="K1498">
        <v>13876.08</v>
      </c>
    </row>
    <row r="1499" spans="1:11" x14ac:dyDescent="0.2">
      <c r="A1499">
        <v>57662</v>
      </c>
      <c r="B1499">
        <v>8923</v>
      </c>
      <c r="C1499" t="s">
        <v>5146</v>
      </c>
      <c r="D1499">
        <v>10</v>
      </c>
      <c r="E1499">
        <v>1</v>
      </c>
      <c r="F1499">
        <v>28</v>
      </c>
      <c r="G1499">
        <v>28</v>
      </c>
      <c r="H1499">
        <v>60</v>
      </c>
      <c r="I1499">
        <v>0.5</v>
      </c>
      <c r="J1499">
        <v>5.49</v>
      </c>
      <c r="K1499">
        <v>153.72</v>
      </c>
    </row>
    <row r="1500" spans="1:11" x14ac:dyDescent="0.2">
      <c r="A1500">
        <v>99059</v>
      </c>
      <c r="B1500">
        <v>8926</v>
      </c>
      <c r="C1500" t="s">
        <v>5147</v>
      </c>
      <c r="D1500">
        <v>10</v>
      </c>
      <c r="E1500">
        <v>6</v>
      </c>
      <c r="F1500">
        <v>0</v>
      </c>
      <c r="G1500">
        <v>0</v>
      </c>
      <c r="H1500">
        <v>108</v>
      </c>
      <c r="I1500">
        <v>0</v>
      </c>
      <c r="J1500">
        <v>3.34</v>
      </c>
      <c r="K1500">
        <v>0</v>
      </c>
    </row>
    <row r="1501" spans="1:11" x14ac:dyDescent="0.2">
      <c r="B1501">
        <v>8932</v>
      </c>
      <c r="C1501" t="s">
        <v>5148</v>
      </c>
      <c r="D1501">
        <v>11</v>
      </c>
      <c r="E1501">
        <v>24</v>
      </c>
      <c r="F1501">
        <v>0</v>
      </c>
      <c r="G1501">
        <v>0</v>
      </c>
      <c r="H1501">
        <v>132</v>
      </c>
      <c r="I1501">
        <v>0</v>
      </c>
      <c r="J1501">
        <v>2.15</v>
      </c>
      <c r="K1501">
        <v>0</v>
      </c>
    </row>
    <row r="1502" spans="1:11" x14ac:dyDescent="0.2">
      <c r="B1502">
        <v>8936</v>
      </c>
      <c r="C1502" t="s">
        <v>5149</v>
      </c>
      <c r="D1502">
        <v>6</v>
      </c>
      <c r="E1502">
        <v>12</v>
      </c>
      <c r="F1502">
        <v>62</v>
      </c>
      <c r="G1502">
        <v>744</v>
      </c>
      <c r="H1502">
        <v>72</v>
      </c>
      <c r="I1502">
        <v>0.9</v>
      </c>
      <c r="J1502">
        <v>1.89</v>
      </c>
      <c r="K1502">
        <v>1406.16</v>
      </c>
    </row>
    <row r="1503" spans="1:11" x14ac:dyDescent="0.2">
      <c r="A1503">
        <v>99054</v>
      </c>
      <c r="B1503">
        <v>8945</v>
      </c>
      <c r="C1503" t="s">
        <v>5150</v>
      </c>
      <c r="D1503">
        <v>10</v>
      </c>
      <c r="E1503">
        <v>6</v>
      </c>
      <c r="F1503">
        <v>0</v>
      </c>
      <c r="G1503">
        <v>0</v>
      </c>
      <c r="H1503">
        <v>108</v>
      </c>
      <c r="I1503">
        <v>0</v>
      </c>
      <c r="J1503">
        <v>3.34</v>
      </c>
      <c r="K1503">
        <v>0</v>
      </c>
    </row>
    <row r="1504" spans="1:11" x14ac:dyDescent="0.2">
      <c r="A1504">
        <v>66248</v>
      </c>
      <c r="B1504">
        <v>8947</v>
      </c>
      <c r="C1504" t="s">
        <v>5151</v>
      </c>
      <c r="D1504">
        <v>8</v>
      </c>
      <c r="E1504">
        <v>18</v>
      </c>
      <c r="F1504">
        <v>142</v>
      </c>
      <c r="G1504">
        <v>2556</v>
      </c>
      <c r="H1504">
        <v>24</v>
      </c>
      <c r="I1504">
        <v>5.9</v>
      </c>
      <c r="J1504">
        <v>1.35</v>
      </c>
      <c r="K1504">
        <v>3450.6</v>
      </c>
    </row>
    <row r="1505" spans="1:12" x14ac:dyDescent="0.2">
      <c r="A1505">
        <v>83241</v>
      </c>
      <c r="B1505">
        <v>8948</v>
      </c>
      <c r="C1505" t="s">
        <v>5152</v>
      </c>
      <c r="D1505">
        <v>8</v>
      </c>
      <c r="E1505">
        <v>6</v>
      </c>
      <c r="F1505">
        <v>416</v>
      </c>
      <c r="G1505">
        <v>2496</v>
      </c>
      <c r="H1505">
        <v>48</v>
      </c>
      <c r="I1505">
        <v>8.6999999999999993</v>
      </c>
      <c r="J1505">
        <v>1.42</v>
      </c>
      <c r="K1505">
        <v>3544.32</v>
      </c>
    </row>
    <row r="1506" spans="1:12" x14ac:dyDescent="0.2">
      <c r="A1506">
        <v>83228</v>
      </c>
      <c r="B1506">
        <v>8949</v>
      </c>
      <c r="C1506" t="s">
        <v>5153</v>
      </c>
      <c r="D1506">
        <v>8</v>
      </c>
      <c r="E1506">
        <v>8</v>
      </c>
      <c r="F1506">
        <v>263</v>
      </c>
      <c r="G1506">
        <v>2104</v>
      </c>
      <c r="H1506">
        <v>56</v>
      </c>
      <c r="I1506">
        <v>4.7</v>
      </c>
      <c r="J1506">
        <v>1.67</v>
      </c>
      <c r="K1506">
        <v>3513.68</v>
      </c>
    </row>
    <row r="1507" spans="1:12" x14ac:dyDescent="0.2">
      <c r="A1507">
        <v>57418</v>
      </c>
      <c r="B1507">
        <v>8951</v>
      </c>
      <c r="C1507" t="s">
        <v>5154</v>
      </c>
      <c r="D1507">
        <v>10</v>
      </c>
      <c r="E1507">
        <v>1</v>
      </c>
      <c r="F1507">
        <v>0</v>
      </c>
      <c r="G1507">
        <v>0</v>
      </c>
      <c r="H1507">
        <v>4</v>
      </c>
      <c r="I1507">
        <v>0</v>
      </c>
      <c r="J1507">
        <v>1</v>
      </c>
      <c r="K1507">
        <v>0</v>
      </c>
    </row>
    <row r="1508" spans="1:12" x14ac:dyDescent="0.2">
      <c r="A1508">
        <v>57419</v>
      </c>
      <c r="B1508">
        <v>8955</v>
      </c>
      <c r="C1508" t="s">
        <v>5155</v>
      </c>
      <c r="D1508">
        <v>6</v>
      </c>
      <c r="E1508">
        <v>1</v>
      </c>
      <c r="F1508">
        <v>0</v>
      </c>
      <c r="G1508">
        <v>0</v>
      </c>
      <c r="H1508">
        <v>4</v>
      </c>
      <c r="I1508">
        <v>0</v>
      </c>
      <c r="J1508">
        <v>1</v>
      </c>
      <c r="K1508">
        <v>0</v>
      </c>
    </row>
    <row r="1509" spans="1:12" x14ac:dyDescent="0.2">
      <c r="A1509">
        <v>57420</v>
      </c>
      <c r="B1509">
        <v>8960</v>
      </c>
      <c r="C1509" t="s">
        <v>5156</v>
      </c>
      <c r="D1509">
        <v>10</v>
      </c>
      <c r="E1509">
        <v>1</v>
      </c>
      <c r="F1509">
        <v>0</v>
      </c>
      <c r="G1509">
        <v>0</v>
      </c>
      <c r="H1509">
        <v>4</v>
      </c>
      <c r="I1509">
        <v>0</v>
      </c>
      <c r="J1509">
        <v>1</v>
      </c>
      <c r="K1509">
        <v>0</v>
      </c>
    </row>
    <row r="1510" spans="1:12" x14ac:dyDescent="0.2">
      <c r="B1510">
        <v>8968</v>
      </c>
      <c r="C1510" t="s">
        <v>5157</v>
      </c>
      <c r="D1510">
        <v>11</v>
      </c>
      <c r="E1510">
        <v>6</v>
      </c>
      <c r="F1510">
        <v>0</v>
      </c>
      <c r="G1510">
        <v>0</v>
      </c>
      <c r="H1510">
        <v>90</v>
      </c>
      <c r="I1510">
        <v>0</v>
      </c>
      <c r="J1510">
        <v>4.29</v>
      </c>
      <c r="K1510">
        <v>0</v>
      </c>
    </row>
    <row r="1511" spans="1:12" x14ac:dyDescent="0.2">
      <c r="B1511">
        <v>8970</v>
      </c>
      <c r="C1511" t="s">
        <v>5158</v>
      </c>
      <c r="D1511">
        <v>6</v>
      </c>
      <c r="E1511">
        <v>6</v>
      </c>
      <c r="F1511">
        <v>0</v>
      </c>
      <c r="G1511">
        <v>0</v>
      </c>
      <c r="H1511">
        <v>324</v>
      </c>
      <c r="I1511">
        <v>0</v>
      </c>
      <c r="J1511">
        <v>9.9</v>
      </c>
      <c r="K1511">
        <v>0</v>
      </c>
    </row>
    <row r="1512" spans="1:12" x14ac:dyDescent="0.2">
      <c r="A1512">
        <v>30600</v>
      </c>
      <c r="B1512">
        <v>8971</v>
      </c>
      <c r="C1512" t="s">
        <v>5159</v>
      </c>
      <c r="D1512">
        <v>11</v>
      </c>
      <c r="E1512">
        <v>1</v>
      </c>
      <c r="F1512">
        <v>1073</v>
      </c>
      <c r="G1512">
        <v>1073</v>
      </c>
      <c r="H1512">
        <v>4</v>
      </c>
      <c r="I1512">
        <v>268.3</v>
      </c>
      <c r="J1512">
        <v>9.2899999999999991</v>
      </c>
      <c r="K1512">
        <v>9968.17</v>
      </c>
      <c r="L1512" t="s">
        <v>3699</v>
      </c>
    </row>
    <row r="1513" spans="1:12" x14ac:dyDescent="0.2">
      <c r="A1513">
        <v>30601</v>
      </c>
      <c r="B1513">
        <v>8975</v>
      </c>
      <c r="C1513" t="s">
        <v>5160</v>
      </c>
      <c r="D1513">
        <v>11</v>
      </c>
      <c r="E1513">
        <v>1</v>
      </c>
      <c r="F1513">
        <v>485</v>
      </c>
      <c r="G1513">
        <v>485</v>
      </c>
      <c r="H1513">
        <v>4</v>
      </c>
      <c r="I1513">
        <v>121.3</v>
      </c>
      <c r="J1513">
        <v>9.2899999999999991</v>
      </c>
      <c r="K1513">
        <v>4505.6499999999996</v>
      </c>
      <c r="L1513" t="s">
        <v>3699</v>
      </c>
    </row>
    <row r="1514" spans="1:12" x14ac:dyDescent="0.2">
      <c r="A1514">
        <v>57421</v>
      </c>
      <c r="B1514">
        <v>8981</v>
      </c>
      <c r="C1514" t="s">
        <v>5161</v>
      </c>
      <c r="D1514">
        <v>10</v>
      </c>
      <c r="E1514">
        <v>1</v>
      </c>
      <c r="F1514">
        <v>0</v>
      </c>
      <c r="G1514">
        <v>0</v>
      </c>
      <c r="H1514">
        <v>4</v>
      </c>
      <c r="I1514">
        <v>0</v>
      </c>
      <c r="J1514">
        <v>1</v>
      </c>
      <c r="K1514">
        <v>0</v>
      </c>
    </row>
    <row r="1515" spans="1:12" x14ac:dyDescent="0.2">
      <c r="B1515">
        <v>8983</v>
      </c>
      <c r="C1515" t="s">
        <v>5162</v>
      </c>
      <c r="D1515">
        <v>11</v>
      </c>
      <c r="E1515">
        <v>1</v>
      </c>
      <c r="F1515">
        <v>0</v>
      </c>
      <c r="G1515">
        <v>0</v>
      </c>
      <c r="H1515">
        <v>240</v>
      </c>
      <c r="I1515">
        <v>0</v>
      </c>
      <c r="J1515">
        <v>8.99</v>
      </c>
      <c r="K1515">
        <v>0</v>
      </c>
    </row>
    <row r="1516" spans="1:12" x14ac:dyDescent="0.2">
      <c r="A1516">
        <v>84050</v>
      </c>
      <c r="B1516">
        <v>8986</v>
      </c>
      <c r="C1516" t="s">
        <v>5163</v>
      </c>
      <c r="D1516">
        <v>8</v>
      </c>
      <c r="E1516">
        <v>6</v>
      </c>
      <c r="F1516">
        <v>783</v>
      </c>
      <c r="G1516">
        <v>4698</v>
      </c>
      <c r="H1516">
        <v>42</v>
      </c>
      <c r="I1516">
        <v>18.600000000000001</v>
      </c>
      <c r="J1516">
        <v>1.99</v>
      </c>
      <c r="K1516">
        <v>9349.02</v>
      </c>
    </row>
    <row r="1517" spans="1:12" x14ac:dyDescent="0.2">
      <c r="B1517">
        <v>8988</v>
      </c>
      <c r="C1517" t="s">
        <v>4249</v>
      </c>
      <c r="D1517">
        <v>10</v>
      </c>
      <c r="E1517">
        <v>1</v>
      </c>
      <c r="F1517">
        <v>0</v>
      </c>
      <c r="G1517">
        <v>0</v>
      </c>
      <c r="H1517">
        <v>50</v>
      </c>
      <c r="I1517">
        <v>0</v>
      </c>
      <c r="J1517">
        <v>0.35</v>
      </c>
      <c r="K1517">
        <v>0</v>
      </c>
    </row>
    <row r="1518" spans="1:12" x14ac:dyDescent="0.2">
      <c r="A1518">
        <v>76034</v>
      </c>
      <c r="B1518">
        <v>8995</v>
      </c>
      <c r="C1518" t="s">
        <v>5164</v>
      </c>
      <c r="D1518">
        <v>8</v>
      </c>
      <c r="E1518">
        <v>12</v>
      </c>
      <c r="F1518">
        <v>130</v>
      </c>
      <c r="G1518">
        <v>1560</v>
      </c>
      <c r="H1518">
        <v>84</v>
      </c>
      <c r="I1518">
        <v>1.5</v>
      </c>
      <c r="J1518">
        <v>1.55</v>
      </c>
      <c r="K1518">
        <v>2418</v>
      </c>
    </row>
    <row r="1519" spans="1:12" x14ac:dyDescent="0.2">
      <c r="B1519">
        <v>9095</v>
      </c>
      <c r="C1519" t="s">
        <v>5165</v>
      </c>
      <c r="D1519">
        <v>11</v>
      </c>
      <c r="E1519">
        <v>8</v>
      </c>
      <c r="F1519">
        <v>0</v>
      </c>
      <c r="G1519">
        <v>0</v>
      </c>
      <c r="H1519">
        <v>63</v>
      </c>
      <c r="I1519">
        <v>0</v>
      </c>
      <c r="J1519">
        <v>5</v>
      </c>
      <c r="K1519">
        <v>0</v>
      </c>
    </row>
    <row r="1520" spans="1:12" x14ac:dyDescent="0.2">
      <c r="A1520">
        <v>43641</v>
      </c>
      <c r="B1520">
        <v>9149</v>
      </c>
      <c r="C1520" t="s">
        <v>5166</v>
      </c>
      <c r="D1520">
        <v>10</v>
      </c>
      <c r="E1520">
        <v>12</v>
      </c>
      <c r="F1520">
        <v>3</v>
      </c>
      <c r="G1520">
        <v>36</v>
      </c>
      <c r="H1520">
        <v>78</v>
      </c>
      <c r="I1520">
        <v>0</v>
      </c>
      <c r="J1520">
        <v>1.19</v>
      </c>
      <c r="K1520">
        <v>42.84</v>
      </c>
    </row>
    <row r="1521" spans="1:12" x14ac:dyDescent="0.2">
      <c r="A1521">
        <v>57521</v>
      </c>
      <c r="B1521">
        <v>9159</v>
      </c>
      <c r="C1521" t="s">
        <v>5167</v>
      </c>
      <c r="D1521">
        <v>10</v>
      </c>
      <c r="E1521">
        <v>12</v>
      </c>
      <c r="F1521">
        <v>4</v>
      </c>
      <c r="G1521">
        <v>48</v>
      </c>
      <c r="H1521">
        <v>78</v>
      </c>
      <c r="I1521">
        <v>0.1</v>
      </c>
      <c r="J1521">
        <v>1.99</v>
      </c>
      <c r="K1521">
        <v>95.52</v>
      </c>
    </row>
    <row r="1522" spans="1:12" x14ac:dyDescent="0.2">
      <c r="A1522">
        <v>4609</v>
      </c>
      <c r="B1522">
        <v>9167</v>
      </c>
      <c r="C1522" t="s">
        <v>5168</v>
      </c>
      <c r="D1522">
        <v>6</v>
      </c>
      <c r="E1522">
        <v>6</v>
      </c>
      <c r="F1522">
        <v>26</v>
      </c>
      <c r="G1522">
        <v>155</v>
      </c>
      <c r="H1522">
        <v>310</v>
      </c>
      <c r="I1522">
        <v>0.1</v>
      </c>
      <c r="J1522">
        <v>1.99</v>
      </c>
      <c r="K1522">
        <v>308.45</v>
      </c>
    </row>
    <row r="1523" spans="1:12" x14ac:dyDescent="0.2">
      <c r="A1523">
        <v>30605</v>
      </c>
      <c r="B1523">
        <v>9227</v>
      </c>
      <c r="C1523" t="s">
        <v>5169</v>
      </c>
      <c r="D1523">
        <v>12</v>
      </c>
      <c r="E1523">
        <v>12</v>
      </c>
      <c r="F1523">
        <v>0</v>
      </c>
      <c r="G1523">
        <v>0</v>
      </c>
      <c r="H1523">
        <v>120</v>
      </c>
      <c r="I1523">
        <v>0</v>
      </c>
      <c r="J1523">
        <v>0.5</v>
      </c>
      <c r="K1523">
        <v>0</v>
      </c>
      <c r="L1523" t="s">
        <v>3699</v>
      </c>
    </row>
    <row r="1524" spans="1:12" x14ac:dyDescent="0.2">
      <c r="A1524">
        <v>38506</v>
      </c>
      <c r="B1524">
        <v>9344</v>
      </c>
      <c r="C1524" t="s">
        <v>5170</v>
      </c>
      <c r="D1524">
        <v>10</v>
      </c>
      <c r="E1524">
        <v>8</v>
      </c>
      <c r="F1524">
        <v>1</v>
      </c>
      <c r="G1524">
        <v>8</v>
      </c>
      <c r="H1524">
        <v>60</v>
      </c>
      <c r="I1524">
        <v>0</v>
      </c>
      <c r="J1524">
        <v>2.4900000000000002</v>
      </c>
      <c r="K1524">
        <v>19.920000000000002</v>
      </c>
    </row>
    <row r="1525" spans="1:12" x14ac:dyDescent="0.2">
      <c r="A1525">
        <v>38507</v>
      </c>
      <c r="B1525">
        <v>9345</v>
      </c>
      <c r="C1525" t="s">
        <v>5171</v>
      </c>
      <c r="D1525">
        <v>10</v>
      </c>
      <c r="E1525">
        <v>6</v>
      </c>
      <c r="F1525">
        <v>0</v>
      </c>
      <c r="G1525">
        <v>0</v>
      </c>
      <c r="H1525">
        <v>72</v>
      </c>
      <c r="I1525">
        <v>0</v>
      </c>
      <c r="J1525">
        <v>2.79</v>
      </c>
      <c r="K1525">
        <v>0</v>
      </c>
    </row>
    <row r="1526" spans="1:12" x14ac:dyDescent="0.2">
      <c r="A1526">
        <v>57522</v>
      </c>
      <c r="B1526">
        <v>9355</v>
      </c>
      <c r="C1526" t="s">
        <v>5172</v>
      </c>
      <c r="D1526">
        <v>10</v>
      </c>
      <c r="E1526">
        <v>6</v>
      </c>
      <c r="F1526">
        <v>0</v>
      </c>
      <c r="G1526">
        <v>0</v>
      </c>
      <c r="H1526">
        <v>96</v>
      </c>
      <c r="I1526">
        <v>0</v>
      </c>
      <c r="J1526">
        <v>4.99</v>
      </c>
      <c r="K1526">
        <v>0</v>
      </c>
    </row>
    <row r="1527" spans="1:12" x14ac:dyDescent="0.2">
      <c r="B1527">
        <v>9393</v>
      </c>
      <c r="C1527" t="s">
        <v>5173</v>
      </c>
      <c r="D1527">
        <v>11</v>
      </c>
      <c r="E1527">
        <v>1</v>
      </c>
      <c r="F1527">
        <v>-5</v>
      </c>
      <c r="G1527">
        <v>-5</v>
      </c>
      <c r="H1527">
        <v>160</v>
      </c>
      <c r="I1527">
        <v>0</v>
      </c>
      <c r="J1527">
        <v>6.99</v>
      </c>
      <c r="K1527">
        <v>-34.950000000000003</v>
      </c>
    </row>
    <row r="1528" spans="1:12" x14ac:dyDescent="0.2">
      <c r="A1528">
        <v>99083</v>
      </c>
      <c r="B1528">
        <v>9422</v>
      </c>
      <c r="C1528" t="s">
        <v>5174</v>
      </c>
      <c r="D1528">
        <v>10</v>
      </c>
      <c r="E1528">
        <v>6</v>
      </c>
      <c r="F1528">
        <v>0</v>
      </c>
      <c r="G1528">
        <v>0</v>
      </c>
      <c r="H1528">
        <v>108</v>
      </c>
      <c r="I1528">
        <v>0</v>
      </c>
      <c r="J1528">
        <v>3.34</v>
      </c>
      <c r="K1528">
        <v>0</v>
      </c>
    </row>
    <row r="1529" spans="1:12" x14ac:dyDescent="0.2">
      <c r="A1529">
        <v>57422</v>
      </c>
      <c r="B1529">
        <v>9575</v>
      </c>
      <c r="C1529" t="s">
        <v>5175</v>
      </c>
      <c r="D1529">
        <v>10</v>
      </c>
      <c r="E1529">
        <v>4</v>
      </c>
      <c r="F1529">
        <v>0</v>
      </c>
      <c r="G1529">
        <v>0</v>
      </c>
      <c r="H1529">
        <v>50</v>
      </c>
      <c r="I1529">
        <v>0</v>
      </c>
      <c r="J1529">
        <v>2.29</v>
      </c>
      <c r="K1529">
        <v>0</v>
      </c>
    </row>
    <row r="1530" spans="1:12" x14ac:dyDescent="0.2">
      <c r="B1530">
        <v>9783</v>
      </c>
      <c r="C1530" t="s">
        <v>5176</v>
      </c>
      <c r="D1530">
        <v>6</v>
      </c>
      <c r="E1530">
        <v>16</v>
      </c>
      <c r="F1530">
        <v>0</v>
      </c>
      <c r="G1530">
        <v>0</v>
      </c>
      <c r="H1530">
        <v>63</v>
      </c>
      <c r="I1530">
        <v>0</v>
      </c>
      <c r="J1530">
        <v>1.65</v>
      </c>
      <c r="K1530">
        <v>0</v>
      </c>
    </row>
    <row r="1531" spans="1:12" x14ac:dyDescent="0.2">
      <c r="A1531">
        <v>76045</v>
      </c>
      <c r="B1531">
        <v>9932</v>
      </c>
      <c r="C1531" t="s">
        <v>5177</v>
      </c>
      <c r="D1531">
        <v>8</v>
      </c>
      <c r="E1531">
        <v>15</v>
      </c>
      <c r="F1531">
        <v>76</v>
      </c>
      <c r="G1531">
        <v>1140</v>
      </c>
      <c r="H1531">
        <v>80</v>
      </c>
      <c r="I1531">
        <v>1</v>
      </c>
      <c r="J1531">
        <v>2.29</v>
      </c>
      <c r="K1531">
        <v>2610.6</v>
      </c>
    </row>
    <row r="1532" spans="1:12" x14ac:dyDescent="0.2">
      <c r="A1532">
        <v>82089</v>
      </c>
      <c r="B1532">
        <v>9962</v>
      </c>
      <c r="C1532" t="s">
        <v>5178</v>
      </c>
      <c r="D1532">
        <v>8</v>
      </c>
      <c r="E1532">
        <v>12</v>
      </c>
      <c r="F1532">
        <v>139</v>
      </c>
      <c r="G1532">
        <v>1668</v>
      </c>
      <c r="H1532">
        <v>60</v>
      </c>
      <c r="I1532">
        <v>2.2999999999999998</v>
      </c>
      <c r="J1532">
        <v>2.65</v>
      </c>
      <c r="K1532">
        <v>4420.2</v>
      </c>
    </row>
    <row r="1533" spans="1:12" x14ac:dyDescent="0.2">
      <c r="B1533">
        <v>9985</v>
      </c>
      <c r="C1533" t="s">
        <v>5179</v>
      </c>
      <c r="D1533">
        <v>11</v>
      </c>
      <c r="E1533">
        <v>1</v>
      </c>
      <c r="F1533">
        <v>0</v>
      </c>
      <c r="G1533">
        <v>0</v>
      </c>
      <c r="H1533">
        <v>80</v>
      </c>
      <c r="I1533">
        <v>0</v>
      </c>
      <c r="J1533">
        <v>6.99</v>
      </c>
      <c r="K1533">
        <v>0</v>
      </c>
    </row>
    <row r="1534" spans="1:12" x14ac:dyDescent="0.2">
      <c r="B1534">
        <v>9995</v>
      </c>
      <c r="C1534" t="s">
        <v>5180</v>
      </c>
      <c r="D1534">
        <v>11</v>
      </c>
      <c r="E1534">
        <v>1</v>
      </c>
      <c r="F1534">
        <v>0</v>
      </c>
      <c r="G1534">
        <v>0</v>
      </c>
      <c r="H1534">
        <v>96</v>
      </c>
      <c r="I1534">
        <v>0</v>
      </c>
      <c r="J1534">
        <v>6.99</v>
      </c>
      <c r="K1534">
        <v>0</v>
      </c>
    </row>
    <row r="1535" spans="1:12" x14ac:dyDescent="0.2">
      <c r="B1535">
        <v>10042</v>
      </c>
      <c r="C1535" t="s">
        <v>5181</v>
      </c>
      <c r="D1535">
        <v>11</v>
      </c>
      <c r="E1535">
        <v>12</v>
      </c>
      <c r="F1535">
        <v>0</v>
      </c>
      <c r="G1535">
        <v>0</v>
      </c>
      <c r="H1535">
        <v>100</v>
      </c>
      <c r="I1535">
        <v>0</v>
      </c>
      <c r="J1535">
        <v>1.49</v>
      </c>
      <c r="K1535">
        <v>0</v>
      </c>
    </row>
    <row r="1536" spans="1:12" x14ac:dyDescent="0.2">
      <c r="A1536">
        <v>4621</v>
      </c>
      <c r="B1536">
        <v>10238</v>
      </c>
      <c r="C1536" t="s">
        <v>5182</v>
      </c>
      <c r="D1536">
        <v>6</v>
      </c>
      <c r="E1536">
        <v>12</v>
      </c>
      <c r="F1536">
        <v>3</v>
      </c>
      <c r="G1536">
        <v>30</v>
      </c>
      <c r="H1536">
        <v>91</v>
      </c>
      <c r="I1536">
        <v>0</v>
      </c>
      <c r="J1536">
        <v>1.69</v>
      </c>
      <c r="K1536">
        <v>50.7</v>
      </c>
    </row>
    <row r="1537" spans="1:11" x14ac:dyDescent="0.2">
      <c r="A1537">
        <v>65201</v>
      </c>
      <c r="B1537">
        <v>10433</v>
      </c>
      <c r="C1537" t="s">
        <v>5183</v>
      </c>
      <c r="D1537">
        <v>8</v>
      </c>
      <c r="E1537">
        <v>12</v>
      </c>
      <c r="F1537">
        <v>868</v>
      </c>
      <c r="G1537">
        <v>10410</v>
      </c>
      <c r="H1537">
        <v>70</v>
      </c>
      <c r="I1537">
        <v>12.4</v>
      </c>
      <c r="J1537">
        <v>1.19</v>
      </c>
      <c r="K1537">
        <v>12387.9</v>
      </c>
    </row>
    <row r="1538" spans="1:11" x14ac:dyDescent="0.2">
      <c r="B1538">
        <v>10470</v>
      </c>
      <c r="C1538" t="s">
        <v>5184</v>
      </c>
      <c r="D1538">
        <v>12</v>
      </c>
      <c r="E1538">
        <v>12</v>
      </c>
      <c r="F1538">
        <v>-3</v>
      </c>
      <c r="G1538">
        <v>-36</v>
      </c>
      <c r="H1538">
        <v>120</v>
      </c>
      <c r="I1538">
        <v>0</v>
      </c>
      <c r="J1538">
        <v>2.4900000000000002</v>
      </c>
      <c r="K1538">
        <v>-89.64</v>
      </c>
    </row>
    <row r="1539" spans="1:11" x14ac:dyDescent="0.2">
      <c r="A1539">
        <v>83027</v>
      </c>
      <c r="B1539">
        <v>10470</v>
      </c>
      <c r="C1539" t="s">
        <v>5184</v>
      </c>
      <c r="D1539">
        <v>8</v>
      </c>
      <c r="E1539">
        <v>14</v>
      </c>
      <c r="F1539">
        <v>99</v>
      </c>
      <c r="G1539">
        <v>1386</v>
      </c>
      <c r="H1539">
        <v>105</v>
      </c>
      <c r="I1539">
        <v>0.9</v>
      </c>
      <c r="J1539">
        <v>2.4900000000000002</v>
      </c>
      <c r="K1539">
        <v>3451.14</v>
      </c>
    </row>
    <row r="1540" spans="1:11" x14ac:dyDescent="0.2">
      <c r="B1540">
        <v>10488</v>
      </c>
      <c r="C1540" t="s">
        <v>5185</v>
      </c>
      <c r="D1540">
        <v>12</v>
      </c>
      <c r="E1540">
        <v>12</v>
      </c>
      <c r="F1540">
        <v>0</v>
      </c>
      <c r="G1540">
        <v>0</v>
      </c>
      <c r="H1540">
        <v>84</v>
      </c>
      <c r="I1540">
        <v>0</v>
      </c>
      <c r="J1540">
        <v>0.99</v>
      </c>
      <c r="K1540">
        <v>0</v>
      </c>
    </row>
    <row r="1541" spans="1:11" x14ac:dyDescent="0.2">
      <c r="A1541">
        <v>37505</v>
      </c>
      <c r="B1541">
        <v>10501</v>
      </c>
      <c r="C1541" t="s">
        <v>5186</v>
      </c>
      <c r="D1541">
        <v>10</v>
      </c>
      <c r="E1541">
        <v>12</v>
      </c>
      <c r="F1541">
        <v>0</v>
      </c>
      <c r="G1541">
        <v>0</v>
      </c>
      <c r="H1541">
        <v>84</v>
      </c>
      <c r="I1541">
        <v>0</v>
      </c>
      <c r="J1541">
        <v>2.89</v>
      </c>
      <c r="K1541">
        <v>0</v>
      </c>
    </row>
    <row r="1542" spans="1:11" x14ac:dyDescent="0.2">
      <c r="A1542">
        <v>82248</v>
      </c>
      <c r="B1542">
        <v>10615</v>
      </c>
      <c r="C1542" t="s">
        <v>5187</v>
      </c>
      <c r="D1542">
        <v>9</v>
      </c>
      <c r="E1542">
        <v>8</v>
      </c>
      <c r="F1542">
        <v>257</v>
      </c>
      <c r="G1542">
        <v>2056</v>
      </c>
      <c r="H1542">
        <v>112</v>
      </c>
      <c r="I1542">
        <v>2.2999999999999998</v>
      </c>
      <c r="J1542">
        <v>2.99</v>
      </c>
      <c r="K1542">
        <v>6147.44</v>
      </c>
    </row>
    <row r="1543" spans="1:11" x14ac:dyDescent="0.2">
      <c r="A1543">
        <v>37506</v>
      </c>
      <c r="B1543">
        <v>10727</v>
      </c>
      <c r="C1543" t="s">
        <v>5188</v>
      </c>
      <c r="D1543">
        <v>10</v>
      </c>
      <c r="E1543">
        <v>16</v>
      </c>
      <c r="F1543">
        <v>0</v>
      </c>
      <c r="G1543">
        <v>0</v>
      </c>
      <c r="H1543">
        <v>80</v>
      </c>
      <c r="I1543">
        <v>0</v>
      </c>
      <c r="J1543">
        <v>2.29</v>
      </c>
      <c r="K1543">
        <v>0</v>
      </c>
    </row>
    <row r="1544" spans="1:11" x14ac:dyDescent="0.2">
      <c r="A1544">
        <v>82087</v>
      </c>
      <c r="B1544">
        <v>10820</v>
      </c>
      <c r="C1544" t="s">
        <v>5189</v>
      </c>
      <c r="D1544">
        <v>8</v>
      </c>
      <c r="E1544">
        <v>6</v>
      </c>
      <c r="F1544">
        <v>308</v>
      </c>
      <c r="G1544">
        <v>1847</v>
      </c>
      <c r="H1544">
        <v>60</v>
      </c>
      <c r="I1544">
        <v>5.0999999999999996</v>
      </c>
      <c r="J1544">
        <v>3.99</v>
      </c>
      <c r="K1544">
        <v>7369.53</v>
      </c>
    </row>
    <row r="1545" spans="1:11" x14ac:dyDescent="0.2">
      <c r="A1545">
        <v>95453</v>
      </c>
      <c r="B1545">
        <v>10953</v>
      </c>
      <c r="C1545" t="s">
        <v>5190</v>
      </c>
      <c r="D1545">
        <v>8</v>
      </c>
      <c r="E1545">
        <v>120</v>
      </c>
      <c r="F1545">
        <v>80</v>
      </c>
      <c r="G1545">
        <v>9600</v>
      </c>
      <c r="H1545">
        <v>2</v>
      </c>
      <c r="I1545">
        <v>40</v>
      </c>
      <c r="J1545">
        <v>3.99</v>
      </c>
      <c r="K1545">
        <v>38304</v>
      </c>
    </row>
    <row r="1546" spans="1:11" x14ac:dyDescent="0.2">
      <c r="A1546">
        <v>82119</v>
      </c>
      <c r="B1546">
        <v>11034</v>
      </c>
      <c r="C1546" t="s">
        <v>5191</v>
      </c>
      <c r="D1546">
        <v>8</v>
      </c>
      <c r="E1546">
        <v>8</v>
      </c>
      <c r="F1546">
        <v>153</v>
      </c>
      <c r="G1546">
        <v>1224</v>
      </c>
      <c r="H1546">
        <v>40</v>
      </c>
      <c r="I1546">
        <v>3.8</v>
      </c>
      <c r="J1546">
        <v>5.49</v>
      </c>
      <c r="K1546">
        <v>6719.76</v>
      </c>
    </row>
    <row r="1547" spans="1:11" x14ac:dyDescent="0.2">
      <c r="A1547">
        <v>99010</v>
      </c>
      <c r="B1547">
        <v>11135</v>
      </c>
      <c r="C1547" t="s">
        <v>5192</v>
      </c>
      <c r="D1547">
        <v>10</v>
      </c>
      <c r="E1547">
        <v>12</v>
      </c>
      <c r="F1547">
        <v>0</v>
      </c>
      <c r="G1547">
        <v>0</v>
      </c>
      <c r="H1547">
        <v>54</v>
      </c>
      <c r="I1547">
        <v>0</v>
      </c>
      <c r="J1547">
        <v>2.8</v>
      </c>
      <c r="K1547">
        <v>0</v>
      </c>
    </row>
    <row r="1548" spans="1:11" x14ac:dyDescent="0.2">
      <c r="A1548">
        <v>91016</v>
      </c>
      <c r="B1548">
        <v>11219</v>
      </c>
      <c r="C1548" t="s">
        <v>5193</v>
      </c>
      <c r="D1548">
        <v>8</v>
      </c>
      <c r="E1548">
        <v>1</v>
      </c>
      <c r="F1548">
        <v>477</v>
      </c>
      <c r="G1548">
        <v>477</v>
      </c>
      <c r="H1548">
        <v>104</v>
      </c>
      <c r="I1548">
        <v>4.5999999999999996</v>
      </c>
      <c r="J1548">
        <v>8.19</v>
      </c>
      <c r="K1548">
        <v>3906.63</v>
      </c>
    </row>
    <row r="1549" spans="1:11" x14ac:dyDescent="0.2">
      <c r="A1549">
        <v>99904</v>
      </c>
      <c r="B1549">
        <v>11306</v>
      </c>
      <c r="C1549" t="s">
        <v>5194</v>
      </c>
      <c r="D1549">
        <v>10</v>
      </c>
      <c r="E1549">
        <v>12</v>
      </c>
      <c r="F1549">
        <v>0</v>
      </c>
      <c r="G1549">
        <v>0</v>
      </c>
      <c r="H1549">
        <v>63</v>
      </c>
      <c r="I1549">
        <v>0</v>
      </c>
      <c r="J1549">
        <v>1.99</v>
      </c>
      <c r="K1549">
        <v>0</v>
      </c>
    </row>
    <row r="1550" spans="1:11" x14ac:dyDescent="0.2">
      <c r="B1550">
        <v>11366</v>
      </c>
      <c r="C1550" t="s">
        <v>5195</v>
      </c>
      <c r="D1550">
        <v>10</v>
      </c>
      <c r="E1550">
        <v>12</v>
      </c>
      <c r="F1550">
        <v>0</v>
      </c>
      <c r="G1550">
        <v>0</v>
      </c>
      <c r="H1550">
        <v>55</v>
      </c>
      <c r="I1550">
        <v>0</v>
      </c>
      <c r="J1550">
        <v>4.99</v>
      </c>
      <c r="K1550">
        <v>0</v>
      </c>
    </row>
    <row r="1551" spans="1:11" x14ac:dyDescent="0.2">
      <c r="A1551">
        <v>34500</v>
      </c>
      <c r="B1551">
        <v>11494</v>
      </c>
      <c r="C1551" t="s">
        <v>5196</v>
      </c>
      <c r="D1551">
        <v>10</v>
      </c>
      <c r="E1551">
        <v>12</v>
      </c>
      <c r="F1551">
        <v>0</v>
      </c>
      <c r="G1551">
        <v>0</v>
      </c>
      <c r="H1551">
        <v>168</v>
      </c>
      <c r="I1551">
        <v>0</v>
      </c>
      <c r="J1551">
        <v>1.69</v>
      </c>
      <c r="K1551">
        <v>0</v>
      </c>
    </row>
    <row r="1552" spans="1:11" x14ac:dyDescent="0.2">
      <c r="A1552">
        <v>83098</v>
      </c>
      <c r="B1552">
        <v>11498</v>
      </c>
      <c r="C1552" t="s">
        <v>5197</v>
      </c>
      <c r="D1552">
        <v>8</v>
      </c>
      <c r="E1552">
        <v>18</v>
      </c>
      <c r="F1552">
        <v>189</v>
      </c>
      <c r="G1552">
        <v>3402</v>
      </c>
      <c r="H1552">
        <v>182</v>
      </c>
      <c r="I1552">
        <v>1</v>
      </c>
      <c r="J1552">
        <v>0.89</v>
      </c>
      <c r="K1552">
        <v>3027.78</v>
      </c>
    </row>
    <row r="1553" spans="1:11" x14ac:dyDescent="0.2">
      <c r="A1553">
        <v>57423</v>
      </c>
      <c r="B1553">
        <v>11661</v>
      </c>
      <c r="C1553" t="s">
        <v>5198</v>
      </c>
      <c r="D1553">
        <v>10</v>
      </c>
      <c r="E1553">
        <v>12</v>
      </c>
      <c r="F1553">
        <v>0</v>
      </c>
      <c r="G1553">
        <v>0</v>
      </c>
      <c r="H1553">
        <v>91</v>
      </c>
      <c r="I1553">
        <v>0</v>
      </c>
      <c r="J1553">
        <v>1.69</v>
      </c>
      <c r="K1553">
        <v>0</v>
      </c>
    </row>
    <row r="1554" spans="1:11" x14ac:dyDescent="0.2">
      <c r="B1554">
        <v>11808</v>
      </c>
      <c r="C1554" t="s">
        <v>5199</v>
      </c>
      <c r="D1554">
        <v>11</v>
      </c>
      <c r="E1554">
        <v>12</v>
      </c>
      <c r="F1554">
        <v>0</v>
      </c>
      <c r="G1554">
        <v>0</v>
      </c>
      <c r="H1554">
        <v>52</v>
      </c>
      <c r="I1554">
        <v>0</v>
      </c>
      <c r="J1554">
        <v>1.59</v>
      </c>
      <c r="K1554">
        <v>0</v>
      </c>
    </row>
    <row r="1555" spans="1:11" x14ac:dyDescent="0.2">
      <c r="A1555">
        <v>2503</v>
      </c>
      <c r="B1555">
        <v>11882</v>
      </c>
      <c r="C1555" t="s">
        <v>5200</v>
      </c>
      <c r="D1555">
        <v>6</v>
      </c>
      <c r="E1555">
        <v>12</v>
      </c>
      <c r="F1555">
        <v>0</v>
      </c>
      <c r="G1555">
        <v>0</v>
      </c>
      <c r="H1555">
        <v>72</v>
      </c>
      <c r="I1555">
        <v>0</v>
      </c>
      <c r="J1555">
        <v>2.99</v>
      </c>
      <c r="K1555">
        <v>0</v>
      </c>
    </row>
    <row r="1556" spans="1:11" x14ac:dyDescent="0.2">
      <c r="A1556">
        <v>37507</v>
      </c>
      <c r="B1556">
        <v>11927</v>
      </c>
      <c r="C1556" t="s">
        <v>5201</v>
      </c>
      <c r="D1556">
        <v>10</v>
      </c>
      <c r="E1556">
        <v>6</v>
      </c>
      <c r="F1556">
        <v>0</v>
      </c>
      <c r="G1556">
        <v>0</v>
      </c>
      <c r="H1556">
        <v>99</v>
      </c>
      <c r="I1556">
        <v>0</v>
      </c>
      <c r="J1556">
        <v>2.29</v>
      </c>
      <c r="K1556">
        <v>0</v>
      </c>
    </row>
    <row r="1557" spans="1:11" x14ac:dyDescent="0.2">
      <c r="B1557">
        <v>11945</v>
      </c>
      <c r="C1557" t="s">
        <v>5202</v>
      </c>
      <c r="D1557">
        <v>11</v>
      </c>
      <c r="E1557">
        <v>12</v>
      </c>
      <c r="F1557">
        <v>0</v>
      </c>
      <c r="G1557">
        <v>0</v>
      </c>
      <c r="H1557">
        <v>144</v>
      </c>
      <c r="I1557">
        <v>0</v>
      </c>
      <c r="J1557">
        <v>1.59</v>
      </c>
      <c r="K1557">
        <v>0</v>
      </c>
    </row>
    <row r="1558" spans="1:11" x14ac:dyDescent="0.2">
      <c r="A1558">
        <v>87057</v>
      </c>
      <c r="B1558">
        <v>12043</v>
      </c>
      <c r="C1558" t="s">
        <v>5203</v>
      </c>
      <c r="D1558">
        <v>8</v>
      </c>
      <c r="E1558">
        <v>12</v>
      </c>
      <c r="F1558">
        <v>126</v>
      </c>
      <c r="G1558">
        <v>1512</v>
      </c>
      <c r="H1558">
        <v>63</v>
      </c>
      <c r="I1558">
        <v>2</v>
      </c>
      <c r="J1558">
        <v>2.25</v>
      </c>
      <c r="K1558">
        <v>3402</v>
      </c>
    </row>
    <row r="1559" spans="1:11" x14ac:dyDescent="0.2">
      <c r="A1559">
        <v>66054</v>
      </c>
      <c r="B1559">
        <v>12050</v>
      </c>
      <c r="C1559" t="s">
        <v>5204</v>
      </c>
      <c r="D1559">
        <v>8</v>
      </c>
      <c r="E1559">
        <v>18</v>
      </c>
      <c r="F1559">
        <v>172</v>
      </c>
      <c r="G1559">
        <v>3087</v>
      </c>
      <c r="H1559">
        <v>144</v>
      </c>
      <c r="I1559">
        <v>1.2</v>
      </c>
      <c r="J1559">
        <v>0.49</v>
      </c>
      <c r="K1559">
        <v>1512.63</v>
      </c>
    </row>
    <row r="1560" spans="1:11" x14ac:dyDescent="0.2">
      <c r="B1560">
        <v>12054</v>
      </c>
      <c r="C1560" t="s">
        <v>5205</v>
      </c>
      <c r="D1560">
        <v>11</v>
      </c>
      <c r="E1560">
        <v>14</v>
      </c>
      <c r="F1560">
        <v>0</v>
      </c>
      <c r="G1560">
        <v>0</v>
      </c>
      <c r="H1560">
        <v>377</v>
      </c>
      <c r="I1560">
        <v>0</v>
      </c>
      <c r="J1560">
        <v>0.49</v>
      </c>
      <c r="K1560">
        <v>0</v>
      </c>
    </row>
    <row r="1561" spans="1:11" x14ac:dyDescent="0.2">
      <c r="A1561">
        <v>0</v>
      </c>
      <c r="B1561">
        <v>12078</v>
      </c>
      <c r="C1561" t="s">
        <v>5206</v>
      </c>
      <c r="D1561">
        <v>10</v>
      </c>
      <c r="E1561">
        <v>30</v>
      </c>
      <c r="F1561">
        <v>0</v>
      </c>
      <c r="G1561">
        <v>0</v>
      </c>
      <c r="H1561">
        <v>154</v>
      </c>
      <c r="I1561">
        <v>0</v>
      </c>
      <c r="J1561">
        <v>1.1000000000000001</v>
      </c>
      <c r="K1561">
        <v>0</v>
      </c>
    </row>
    <row r="1562" spans="1:11" x14ac:dyDescent="0.2">
      <c r="A1562">
        <v>57344</v>
      </c>
      <c r="B1562">
        <v>12081</v>
      </c>
      <c r="C1562" t="s">
        <v>5207</v>
      </c>
      <c r="D1562">
        <v>10</v>
      </c>
      <c r="E1562">
        <v>12</v>
      </c>
      <c r="F1562">
        <v>0</v>
      </c>
      <c r="G1562">
        <v>0</v>
      </c>
      <c r="H1562">
        <v>70</v>
      </c>
      <c r="I1562">
        <v>0</v>
      </c>
      <c r="J1562">
        <v>4.2</v>
      </c>
      <c r="K1562">
        <v>0</v>
      </c>
    </row>
    <row r="1563" spans="1:11" x14ac:dyDescent="0.2">
      <c r="A1563">
        <v>88048</v>
      </c>
      <c r="B1563">
        <v>12116</v>
      </c>
      <c r="C1563" t="s">
        <v>5208</v>
      </c>
      <c r="D1563">
        <v>8</v>
      </c>
      <c r="E1563">
        <v>9</v>
      </c>
      <c r="F1563">
        <v>147</v>
      </c>
      <c r="G1563">
        <v>1323</v>
      </c>
      <c r="H1563">
        <v>49</v>
      </c>
      <c r="I1563">
        <v>3</v>
      </c>
      <c r="J1563">
        <v>0.99</v>
      </c>
      <c r="K1563">
        <v>1309.77</v>
      </c>
    </row>
    <row r="1564" spans="1:11" x14ac:dyDescent="0.2">
      <c r="A1564">
        <v>44529</v>
      </c>
      <c r="B1564">
        <v>12183</v>
      </c>
      <c r="C1564" t="s">
        <v>5209</v>
      </c>
      <c r="D1564">
        <v>6</v>
      </c>
      <c r="E1564">
        <v>24</v>
      </c>
      <c r="F1564">
        <v>0</v>
      </c>
      <c r="G1564">
        <v>0</v>
      </c>
      <c r="H1564">
        <v>84</v>
      </c>
      <c r="I1564">
        <v>0</v>
      </c>
      <c r="J1564">
        <v>1.55</v>
      </c>
      <c r="K1564">
        <v>0</v>
      </c>
    </row>
    <row r="1565" spans="1:11" x14ac:dyDescent="0.2">
      <c r="A1565">
        <v>99224</v>
      </c>
      <c r="B1565">
        <v>12192</v>
      </c>
      <c r="C1565" t="s">
        <v>5210</v>
      </c>
      <c r="D1565">
        <v>6</v>
      </c>
      <c r="E1565">
        <v>12</v>
      </c>
      <c r="F1565">
        <v>0</v>
      </c>
      <c r="G1565">
        <v>0</v>
      </c>
      <c r="H1565">
        <v>54</v>
      </c>
      <c r="I1565">
        <v>0</v>
      </c>
      <c r="J1565">
        <v>3.29</v>
      </c>
      <c r="K1565">
        <v>0</v>
      </c>
    </row>
    <row r="1566" spans="1:11" x14ac:dyDescent="0.2">
      <c r="A1566">
        <v>34501</v>
      </c>
      <c r="B1566">
        <v>12212</v>
      </c>
      <c r="C1566" t="s">
        <v>4008</v>
      </c>
      <c r="D1566">
        <v>10</v>
      </c>
      <c r="E1566">
        <v>6</v>
      </c>
      <c r="F1566">
        <v>0</v>
      </c>
      <c r="G1566">
        <v>0</v>
      </c>
      <c r="H1566">
        <v>100</v>
      </c>
      <c r="I1566">
        <v>0</v>
      </c>
      <c r="J1566">
        <v>1.99</v>
      </c>
      <c r="K1566">
        <v>0</v>
      </c>
    </row>
    <row r="1567" spans="1:11" x14ac:dyDescent="0.2">
      <c r="B1567">
        <v>12278</v>
      </c>
      <c r="C1567" t="s">
        <v>5211</v>
      </c>
      <c r="D1567">
        <v>6</v>
      </c>
      <c r="E1567">
        <v>12</v>
      </c>
      <c r="F1567">
        <v>0</v>
      </c>
      <c r="G1567">
        <v>0</v>
      </c>
      <c r="H1567">
        <v>56</v>
      </c>
      <c r="I1567">
        <v>0</v>
      </c>
      <c r="J1567">
        <v>1.29</v>
      </c>
      <c r="K1567">
        <v>0</v>
      </c>
    </row>
    <row r="1568" spans="1:11" x14ac:dyDescent="0.2">
      <c r="A1568">
        <v>57424</v>
      </c>
      <c r="B1568">
        <v>12348</v>
      </c>
      <c r="C1568" t="s">
        <v>5212</v>
      </c>
      <c r="D1568">
        <v>10</v>
      </c>
      <c r="E1568">
        <v>20</v>
      </c>
      <c r="F1568">
        <v>0</v>
      </c>
      <c r="G1568">
        <v>0</v>
      </c>
      <c r="H1568">
        <v>112</v>
      </c>
      <c r="I1568">
        <v>0</v>
      </c>
      <c r="J1568">
        <v>1.29</v>
      </c>
      <c r="K1568">
        <v>0</v>
      </c>
    </row>
    <row r="1569" spans="1:11" x14ac:dyDescent="0.2">
      <c r="B1569">
        <v>12591</v>
      </c>
      <c r="C1569" t="s">
        <v>5213</v>
      </c>
      <c r="D1569">
        <v>11</v>
      </c>
      <c r="E1569">
        <v>10</v>
      </c>
      <c r="F1569">
        <v>5</v>
      </c>
      <c r="G1569">
        <v>50</v>
      </c>
      <c r="H1569">
        <v>96</v>
      </c>
      <c r="I1569">
        <v>0.1</v>
      </c>
      <c r="J1569">
        <v>1.49</v>
      </c>
      <c r="K1569">
        <v>74.5</v>
      </c>
    </row>
    <row r="1570" spans="1:11" x14ac:dyDescent="0.2">
      <c r="A1570">
        <v>42501</v>
      </c>
      <c r="B1570">
        <v>12678</v>
      </c>
      <c r="C1570" t="s">
        <v>5214</v>
      </c>
      <c r="D1570">
        <v>10</v>
      </c>
      <c r="E1570">
        <v>12</v>
      </c>
      <c r="F1570">
        <v>8</v>
      </c>
      <c r="G1570">
        <v>96</v>
      </c>
      <c r="H1570">
        <v>54</v>
      </c>
      <c r="I1570">
        <v>0.1</v>
      </c>
      <c r="J1570">
        <v>1.55</v>
      </c>
      <c r="K1570">
        <v>148.80000000000001</v>
      </c>
    </row>
    <row r="1571" spans="1:11" x14ac:dyDescent="0.2">
      <c r="A1571">
        <v>47620</v>
      </c>
      <c r="B1571">
        <v>12739</v>
      </c>
      <c r="C1571" t="s">
        <v>5215</v>
      </c>
      <c r="D1571">
        <v>10</v>
      </c>
      <c r="E1571">
        <v>10</v>
      </c>
      <c r="F1571">
        <v>0</v>
      </c>
      <c r="G1571">
        <v>0</v>
      </c>
      <c r="H1571">
        <v>80</v>
      </c>
      <c r="I1571">
        <v>0</v>
      </c>
      <c r="J1571">
        <v>1.49</v>
      </c>
      <c r="K1571">
        <v>0</v>
      </c>
    </row>
    <row r="1572" spans="1:11" x14ac:dyDescent="0.2">
      <c r="A1572">
        <v>46602</v>
      </c>
      <c r="B1572">
        <v>12740</v>
      </c>
      <c r="C1572" t="s">
        <v>5216</v>
      </c>
      <c r="D1572">
        <v>10</v>
      </c>
      <c r="E1572">
        <v>18</v>
      </c>
      <c r="F1572">
        <v>-1</v>
      </c>
      <c r="G1572">
        <v>-18</v>
      </c>
      <c r="H1572">
        <v>68</v>
      </c>
      <c r="I1572">
        <v>0</v>
      </c>
      <c r="J1572">
        <v>1.79</v>
      </c>
      <c r="K1572">
        <v>-32.22</v>
      </c>
    </row>
    <row r="1573" spans="1:11" x14ac:dyDescent="0.2">
      <c r="A1573">
        <v>75234</v>
      </c>
      <c r="B1573">
        <v>12747</v>
      </c>
      <c r="C1573" t="s">
        <v>5217</v>
      </c>
      <c r="D1573">
        <v>10</v>
      </c>
      <c r="E1573">
        <v>24</v>
      </c>
      <c r="F1573">
        <v>4</v>
      </c>
      <c r="G1573">
        <v>96</v>
      </c>
      <c r="H1573">
        <v>72</v>
      </c>
      <c r="I1573">
        <v>0.1</v>
      </c>
      <c r="J1573">
        <v>0.99</v>
      </c>
      <c r="K1573">
        <v>95.04</v>
      </c>
    </row>
    <row r="1574" spans="1:11" x14ac:dyDescent="0.2">
      <c r="A1574">
        <v>75222</v>
      </c>
      <c r="B1574">
        <v>12786</v>
      </c>
      <c r="C1574" t="s">
        <v>5218</v>
      </c>
      <c r="D1574">
        <v>10</v>
      </c>
      <c r="E1574">
        <v>40</v>
      </c>
      <c r="F1574">
        <v>5</v>
      </c>
      <c r="G1574">
        <v>200</v>
      </c>
      <c r="H1574">
        <v>120</v>
      </c>
      <c r="I1574">
        <v>0</v>
      </c>
      <c r="J1574">
        <v>1.49</v>
      </c>
      <c r="K1574">
        <v>298</v>
      </c>
    </row>
    <row r="1575" spans="1:11" x14ac:dyDescent="0.2">
      <c r="B1575">
        <v>12792</v>
      </c>
      <c r="C1575" t="s">
        <v>5219</v>
      </c>
      <c r="D1575">
        <v>11</v>
      </c>
      <c r="E1575">
        <v>6</v>
      </c>
      <c r="F1575">
        <v>-3</v>
      </c>
      <c r="G1575">
        <v>-18</v>
      </c>
      <c r="H1575">
        <v>90</v>
      </c>
      <c r="I1575">
        <v>0</v>
      </c>
      <c r="J1575">
        <v>4.99</v>
      </c>
      <c r="K1575">
        <v>-89.82</v>
      </c>
    </row>
    <row r="1576" spans="1:11" x14ac:dyDescent="0.2">
      <c r="A1576">
        <v>75246</v>
      </c>
      <c r="B1576">
        <v>12795</v>
      </c>
      <c r="C1576" t="s">
        <v>5220</v>
      </c>
      <c r="D1576">
        <v>10</v>
      </c>
      <c r="E1576">
        <v>27</v>
      </c>
      <c r="F1576">
        <v>1</v>
      </c>
      <c r="G1576">
        <v>27</v>
      </c>
      <c r="H1576">
        <v>36</v>
      </c>
      <c r="I1576">
        <v>0</v>
      </c>
      <c r="J1576">
        <v>1.49</v>
      </c>
      <c r="K1576">
        <v>40.229999999999997</v>
      </c>
    </row>
    <row r="1577" spans="1:11" x14ac:dyDescent="0.2">
      <c r="B1577">
        <v>12814</v>
      </c>
      <c r="C1577" t="s">
        <v>5221</v>
      </c>
      <c r="D1577">
        <v>11</v>
      </c>
      <c r="E1577">
        <v>30</v>
      </c>
      <c r="F1577">
        <v>-10</v>
      </c>
      <c r="G1577">
        <v>-300</v>
      </c>
      <c r="H1577">
        <v>108</v>
      </c>
      <c r="I1577">
        <v>-0.1</v>
      </c>
      <c r="J1577">
        <v>1.29</v>
      </c>
      <c r="K1577">
        <v>-387</v>
      </c>
    </row>
    <row r="1578" spans="1:11" x14ac:dyDescent="0.2">
      <c r="A1578">
        <v>46603</v>
      </c>
      <c r="B1578">
        <v>12844</v>
      </c>
      <c r="C1578" t="s">
        <v>5222</v>
      </c>
      <c r="D1578">
        <v>10</v>
      </c>
      <c r="E1578">
        <v>48</v>
      </c>
      <c r="F1578">
        <v>0</v>
      </c>
      <c r="G1578">
        <v>0</v>
      </c>
      <c r="H1578">
        <v>88</v>
      </c>
      <c r="I1578">
        <v>0</v>
      </c>
      <c r="J1578">
        <v>0.99</v>
      </c>
      <c r="K1578">
        <v>0</v>
      </c>
    </row>
    <row r="1579" spans="1:11" x14ac:dyDescent="0.2">
      <c r="A1579">
        <v>66041</v>
      </c>
      <c r="B1579">
        <v>12869</v>
      </c>
      <c r="C1579" t="s">
        <v>5223</v>
      </c>
      <c r="D1579">
        <v>8</v>
      </c>
      <c r="E1579">
        <v>18</v>
      </c>
      <c r="F1579">
        <v>290</v>
      </c>
      <c r="G1579">
        <v>5220</v>
      </c>
      <c r="H1579">
        <v>144</v>
      </c>
      <c r="I1579">
        <v>2</v>
      </c>
      <c r="J1579">
        <v>0.47</v>
      </c>
      <c r="K1579">
        <v>2453.4</v>
      </c>
    </row>
    <row r="1580" spans="1:11" x14ac:dyDescent="0.2">
      <c r="A1580">
        <v>4628</v>
      </c>
      <c r="B1580">
        <v>12893</v>
      </c>
      <c r="C1580" t="s">
        <v>5224</v>
      </c>
      <c r="D1580">
        <v>6</v>
      </c>
      <c r="E1580">
        <v>16</v>
      </c>
      <c r="F1580">
        <v>1</v>
      </c>
      <c r="G1580">
        <v>16</v>
      </c>
      <c r="H1580">
        <v>108</v>
      </c>
      <c r="I1580">
        <v>0</v>
      </c>
      <c r="J1580">
        <v>1.29</v>
      </c>
      <c r="K1580">
        <v>20.64</v>
      </c>
    </row>
    <row r="1581" spans="1:11" x14ac:dyDescent="0.2">
      <c r="A1581">
        <v>99501</v>
      </c>
      <c r="B1581">
        <v>12957</v>
      </c>
      <c r="C1581" t="s">
        <v>5225</v>
      </c>
      <c r="D1581">
        <v>6</v>
      </c>
      <c r="E1581">
        <v>24</v>
      </c>
      <c r="F1581">
        <v>0</v>
      </c>
      <c r="G1581">
        <v>0</v>
      </c>
      <c r="H1581">
        <v>40</v>
      </c>
      <c r="I1581">
        <v>0</v>
      </c>
      <c r="J1581">
        <v>1.99</v>
      </c>
      <c r="K1581">
        <v>0</v>
      </c>
    </row>
    <row r="1582" spans="1:11" x14ac:dyDescent="0.2">
      <c r="A1582">
        <v>4629</v>
      </c>
      <c r="B1582">
        <v>12968</v>
      </c>
      <c r="C1582" t="s">
        <v>5226</v>
      </c>
      <c r="D1582">
        <v>6</v>
      </c>
      <c r="E1582">
        <v>21</v>
      </c>
      <c r="F1582">
        <v>223</v>
      </c>
      <c r="G1582">
        <v>4683</v>
      </c>
      <c r="H1582">
        <v>56</v>
      </c>
      <c r="I1582">
        <v>4</v>
      </c>
      <c r="J1582">
        <v>1.35</v>
      </c>
      <c r="K1582">
        <v>6322.05</v>
      </c>
    </row>
    <row r="1583" spans="1:11" x14ac:dyDescent="0.2">
      <c r="A1583">
        <v>72082</v>
      </c>
      <c r="B1583">
        <v>12969</v>
      </c>
      <c r="C1583" t="s">
        <v>5227</v>
      </c>
      <c r="D1583">
        <v>8</v>
      </c>
      <c r="E1583">
        <v>27</v>
      </c>
      <c r="F1583">
        <v>345</v>
      </c>
      <c r="G1583">
        <v>9315</v>
      </c>
      <c r="H1583">
        <v>64</v>
      </c>
      <c r="I1583">
        <v>5.4</v>
      </c>
      <c r="J1583">
        <v>1.99</v>
      </c>
      <c r="K1583">
        <v>18536.849999999999</v>
      </c>
    </row>
    <row r="1584" spans="1:11" x14ac:dyDescent="0.2">
      <c r="A1584">
        <v>72094</v>
      </c>
      <c r="B1584">
        <v>12970</v>
      </c>
      <c r="C1584" t="s">
        <v>5228</v>
      </c>
      <c r="D1584">
        <v>9</v>
      </c>
      <c r="E1584">
        <v>24</v>
      </c>
      <c r="F1584">
        <v>197</v>
      </c>
      <c r="G1584">
        <v>4728</v>
      </c>
      <c r="H1584">
        <v>64</v>
      </c>
      <c r="I1584">
        <v>3.1</v>
      </c>
      <c r="J1584">
        <v>3.99</v>
      </c>
      <c r="K1584">
        <v>18864.72</v>
      </c>
    </row>
    <row r="1585" spans="1:11" x14ac:dyDescent="0.2">
      <c r="A1585">
        <v>72083</v>
      </c>
      <c r="B1585">
        <v>12971</v>
      </c>
      <c r="C1585" t="s">
        <v>5229</v>
      </c>
      <c r="D1585">
        <v>8</v>
      </c>
      <c r="E1585">
        <v>27</v>
      </c>
      <c r="F1585">
        <v>964</v>
      </c>
      <c r="G1585">
        <v>26028</v>
      </c>
      <c r="H1585">
        <v>64</v>
      </c>
      <c r="I1585">
        <v>15.1</v>
      </c>
      <c r="J1585">
        <v>3.49</v>
      </c>
      <c r="K1585">
        <v>90837.72</v>
      </c>
    </row>
    <row r="1586" spans="1:11" x14ac:dyDescent="0.2">
      <c r="A1586">
        <v>74082</v>
      </c>
      <c r="B1586">
        <v>13075</v>
      </c>
      <c r="C1586" t="s">
        <v>5230</v>
      </c>
      <c r="D1586">
        <v>8</v>
      </c>
      <c r="E1586">
        <v>24</v>
      </c>
      <c r="F1586">
        <v>75</v>
      </c>
      <c r="G1586">
        <v>1800</v>
      </c>
      <c r="H1586">
        <v>80</v>
      </c>
      <c r="I1586">
        <v>0.9</v>
      </c>
      <c r="J1586">
        <v>1.79</v>
      </c>
      <c r="K1586">
        <v>3222</v>
      </c>
    </row>
    <row r="1587" spans="1:11" x14ac:dyDescent="0.2">
      <c r="A1587">
        <v>38626</v>
      </c>
      <c r="B1587">
        <v>13090</v>
      </c>
      <c r="C1587" t="s">
        <v>5231</v>
      </c>
      <c r="D1587">
        <v>10</v>
      </c>
      <c r="E1587">
        <v>10</v>
      </c>
      <c r="F1587">
        <v>0</v>
      </c>
      <c r="G1587">
        <v>0</v>
      </c>
      <c r="H1587">
        <v>150</v>
      </c>
      <c r="I1587">
        <v>0</v>
      </c>
      <c r="J1587">
        <v>4.99</v>
      </c>
      <c r="K1587">
        <v>0</v>
      </c>
    </row>
    <row r="1588" spans="1:11" x14ac:dyDescent="0.2">
      <c r="A1588">
        <v>57642</v>
      </c>
      <c r="B1588">
        <v>13092</v>
      </c>
      <c r="C1588" t="s">
        <v>5232</v>
      </c>
      <c r="D1588">
        <v>10</v>
      </c>
      <c r="E1588">
        <v>12</v>
      </c>
      <c r="F1588">
        <v>8</v>
      </c>
      <c r="G1588">
        <v>101</v>
      </c>
      <c r="H1588">
        <v>60</v>
      </c>
      <c r="I1588">
        <v>0.1</v>
      </c>
      <c r="J1588">
        <v>2.79</v>
      </c>
      <c r="K1588">
        <v>281.79000000000002</v>
      </c>
    </row>
    <row r="1589" spans="1:11" x14ac:dyDescent="0.2">
      <c r="B1589">
        <v>13135</v>
      </c>
      <c r="C1589" t="s">
        <v>5233</v>
      </c>
      <c r="D1589">
        <v>11</v>
      </c>
      <c r="E1589">
        <v>12</v>
      </c>
      <c r="F1589">
        <v>0</v>
      </c>
      <c r="G1589">
        <v>0</v>
      </c>
      <c r="H1589">
        <v>84</v>
      </c>
      <c r="I1589">
        <v>0</v>
      </c>
      <c r="J1589">
        <v>2.4900000000000002</v>
      </c>
      <c r="K1589">
        <v>0</v>
      </c>
    </row>
    <row r="1590" spans="1:11" x14ac:dyDescent="0.2">
      <c r="A1590">
        <v>57542</v>
      </c>
      <c r="B1590">
        <v>13137</v>
      </c>
      <c r="C1590" t="s">
        <v>5234</v>
      </c>
      <c r="D1590">
        <v>10</v>
      </c>
      <c r="E1590">
        <v>13</v>
      </c>
      <c r="F1590">
        <v>4</v>
      </c>
      <c r="G1590">
        <v>50</v>
      </c>
      <c r="H1590">
        <v>140</v>
      </c>
      <c r="I1590">
        <v>0</v>
      </c>
      <c r="J1590">
        <v>1.19</v>
      </c>
      <c r="K1590">
        <v>59.5</v>
      </c>
    </row>
    <row r="1591" spans="1:11" x14ac:dyDescent="0.2">
      <c r="B1591">
        <v>13144</v>
      </c>
      <c r="C1591" t="s">
        <v>5235</v>
      </c>
      <c r="D1591">
        <v>11</v>
      </c>
      <c r="E1591">
        <v>12</v>
      </c>
      <c r="F1591">
        <v>0</v>
      </c>
      <c r="G1591">
        <v>0</v>
      </c>
      <c r="H1591">
        <v>48</v>
      </c>
      <c r="I1591">
        <v>0</v>
      </c>
      <c r="J1591">
        <v>2.19</v>
      </c>
      <c r="K1591">
        <v>0</v>
      </c>
    </row>
    <row r="1592" spans="1:11" x14ac:dyDescent="0.2">
      <c r="A1592">
        <v>99533</v>
      </c>
      <c r="B1592">
        <v>13145</v>
      </c>
      <c r="C1592" t="s">
        <v>5236</v>
      </c>
      <c r="D1592">
        <v>10</v>
      </c>
      <c r="E1592">
        <v>14</v>
      </c>
      <c r="F1592">
        <v>0</v>
      </c>
      <c r="G1592">
        <v>0</v>
      </c>
      <c r="H1592">
        <v>54</v>
      </c>
      <c r="I1592">
        <v>0</v>
      </c>
      <c r="J1592">
        <v>1.0900000000000001</v>
      </c>
      <c r="K1592">
        <v>0</v>
      </c>
    </row>
    <row r="1593" spans="1:11" x14ac:dyDescent="0.2">
      <c r="A1593">
        <v>4618</v>
      </c>
      <c r="B1593">
        <v>13208</v>
      </c>
      <c r="C1593" t="s">
        <v>5237</v>
      </c>
      <c r="D1593">
        <v>6</v>
      </c>
      <c r="E1593">
        <v>9</v>
      </c>
      <c r="F1593">
        <v>0</v>
      </c>
      <c r="G1593">
        <v>0</v>
      </c>
      <c r="H1593">
        <v>144</v>
      </c>
      <c r="I1593">
        <v>0</v>
      </c>
      <c r="J1593">
        <v>1.99</v>
      </c>
      <c r="K1593">
        <v>0</v>
      </c>
    </row>
    <row r="1594" spans="1:11" x14ac:dyDescent="0.2">
      <c r="A1594">
        <v>67269</v>
      </c>
      <c r="B1594">
        <v>13219</v>
      </c>
      <c r="C1594" t="s">
        <v>5238</v>
      </c>
      <c r="D1594">
        <v>8</v>
      </c>
      <c r="E1594">
        <v>12</v>
      </c>
      <c r="F1594">
        <v>309</v>
      </c>
      <c r="G1594">
        <v>3703</v>
      </c>
      <c r="H1594">
        <v>60</v>
      </c>
      <c r="I1594">
        <v>5.0999999999999996</v>
      </c>
      <c r="J1594">
        <v>1.29</v>
      </c>
      <c r="K1594">
        <v>4776.87</v>
      </c>
    </row>
    <row r="1595" spans="1:11" x14ac:dyDescent="0.2">
      <c r="A1595">
        <v>72089</v>
      </c>
      <c r="B1595">
        <v>13257</v>
      </c>
      <c r="C1595" t="s">
        <v>5239</v>
      </c>
      <c r="D1595">
        <v>8</v>
      </c>
      <c r="E1595">
        <v>24</v>
      </c>
      <c r="F1595">
        <v>438</v>
      </c>
      <c r="G1595">
        <v>10512</v>
      </c>
      <c r="H1595">
        <v>72</v>
      </c>
      <c r="I1595">
        <v>6.1</v>
      </c>
      <c r="J1595">
        <v>0.99</v>
      </c>
      <c r="K1595">
        <v>10406.879999999999</v>
      </c>
    </row>
    <row r="1596" spans="1:11" x14ac:dyDescent="0.2">
      <c r="A1596">
        <v>2623</v>
      </c>
      <c r="B1596">
        <v>13261</v>
      </c>
      <c r="C1596" t="s">
        <v>5240</v>
      </c>
      <c r="D1596">
        <v>6</v>
      </c>
      <c r="E1596">
        <v>12</v>
      </c>
      <c r="F1596">
        <v>0</v>
      </c>
      <c r="G1596">
        <v>0</v>
      </c>
      <c r="H1596">
        <v>90</v>
      </c>
      <c r="I1596">
        <v>0</v>
      </c>
      <c r="J1596">
        <v>1.19</v>
      </c>
      <c r="K1596">
        <v>0</v>
      </c>
    </row>
    <row r="1597" spans="1:11" x14ac:dyDescent="0.2">
      <c r="A1597">
        <v>57371</v>
      </c>
      <c r="B1597">
        <v>13265</v>
      </c>
      <c r="C1597" t="s">
        <v>5241</v>
      </c>
      <c r="D1597">
        <v>10</v>
      </c>
      <c r="E1597">
        <v>24</v>
      </c>
      <c r="F1597">
        <v>0</v>
      </c>
      <c r="G1597">
        <v>0</v>
      </c>
      <c r="H1597">
        <v>72</v>
      </c>
      <c r="I1597">
        <v>0</v>
      </c>
      <c r="J1597">
        <v>0.5</v>
      </c>
      <c r="K1597">
        <v>0</v>
      </c>
    </row>
    <row r="1598" spans="1:11" x14ac:dyDescent="0.2">
      <c r="A1598">
        <v>62006</v>
      </c>
      <c r="B1598">
        <v>13331</v>
      </c>
      <c r="C1598" t="s">
        <v>5242</v>
      </c>
      <c r="D1598">
        <v>8</v>
      </c>
      <c r="E1598">
        <v>6</v>
      </c>
      <c r="F1598">
        <v>384</v>
      </c>
      <c r="G1598">
        <v>2304</v>
      </c>
      <c r="H1598">
        <v>132</v>
      </c>
      <c r="I1598">
        <v>2.9</v>
      </c>
      <c r="J1598">
        <v>10.99</v>
      </c>
      <c r="K1598">
        <v>25320.959999999999</v>
      </c>
    </row>
    <row r="1599" spans="1:11" x14ac:dyDescent="0.2">
      <c r="B1599">
        <v>13365</v>
      </c>
      <c r="C1599" t="s">
        <v>5243</v>
      </c>
      <c r="D1599">
        <v>11</v>
      </c>
      <c r="E1599">
        <v>4</v>
      </c>
      <c r="F1599">
        <v>0</v>
      </c>
      <c r="G1599">
        <v>0</v>
      </c>
      <c r="H1599">
        <v>80</v>
      </c>
      <c r="I1599">
        <v>0</v>
      </c>
      <c r="J1599">
        <v>2.5</v>
      </c>
      <c r="K1599">
        <v>0</v>
      </c>
    </row>
    <row r="1600" spans="1:11" x14ac:dyDescent="0.2">
      <c r="A1600">
        <v>74168</v>
      </c>
      <c r="B1600">
        <v>18692</v>
      </c>
      <c r="C1600" t="s">
        <v>5244</v>
      </c>
      <c r="D1600">
        <v>8</v>
      </c>
      <c r="E1600">
        <v>15</v>
      </c>
      <c r="F1600">
        <v>179</v>
      </c>
      <c r="G1600">
        <v>2685</v>
      </c>
      <c r="H1600">
        <v>80</v>
      </c>
      <c r="I1600">
        <v>2.2000000000000002</v>
      </c>
      <c r="J1600">
        <v>0.99</v>
      </c>
      <c r="K1600">
        <v>2658.15</v>
      </c>
    </row>
    <row r="1601" spans="1:12" x14ac:dyDescent="0.2">
      <c r="B1601">
        <v>18705</v>
      </c>
      <c r="C1601" t="s">
        <v>5245</v>
      </c>
      <c r="D1601">
        <v>10</v>
      </c>
      <c r="E1601">
        <v>25</v>
      </c>
      <c r="F1601">
        <v>0</v>
      </c>
      <c r="G1601">
        <v>0</v>
      </c>
      <c r="H1601">
        <v>80</v>
      </c>
      <c r="I1601">
        <v>0</v>
      </c>
      <c r="J1601">
        <v>0.83</v>
      </c>
      <c r="K1601">
        <v>0</v>
      </c>
    </row>
    <row r="1602" spans="1:12" x14ac:dyDescent="0.2">
      <c r="B1602">
        <v>18759</v>
      </c>
      <c r="C1602" t="s">
        <v>5246</v>
      </c>
      <c r="D1602">
        <v>11</v>
      </c>
      <c r="E1602">
        <v>16</v>
      </c>
      <c r="F1602">
        <v>0</v>
      </c>
      <c r="G1602">
        <v>0</v>
      </c>
      <c r="H1602">
        <v>28</v>
      </c>
      <c r="I1602">
        <v>0</v>
      </c>
      <c r="J1602">
        <v>1.33</v>
      </c>
      <c r="K1602">
        <v>0</v>
      </c>
    </row>
    <row r="1603" spans="1:12" x14ac:dyDescent="0.2">
      <c r="A1603">
        <v>69043</v>
      </c>
      <c r="B1603">
        <v>18796</v>
      </c>
      <c r="C1603" t="s">
        <v>5247</v>
      </c>
      <c r="D1603">
        <v>8</v>
      </c>
      <c r="E1603">
        <v>24</v>
      </c>
      <c r="F1603">
        <v>473</v>
      </c>
      <c r="G1603">
        <v>11352</v>
      </c>
      <c r="H1603">
        <v>72</v>
      </c>
      <c r="I1603">
        <v>6.6</v>
      </c>
      <c r="J1603">
        <v>0.99</v>
      </c>
      <c r="K1603">
        <v>11238.48</v>
      </c>
    </row>
    <row r="1604" spans="1:12" x14ac:dyDescent="0.2">
      <c r="A1604">
        <v>76076</v>
      </c>
      <c r="B1604">
        <v>18838</v>
      </c>
      <c r="C1604" t="s">
        <v>5248</v>
      </c>
      <c r="D1604">
        <v>8</v>
      </c>
      <c r="E1604">
        <v>12</v>
      </c>
      <c r="F1604">
        <v>392</v>
      </c>
      <c r="G1604">
        <v>4704</v>
      </c>
      <c r="H1604">
        <v>28</v>
      </c>
      <c r="I1604">
        <v>14</v>
      </c>
      <c r="J1604">
        <v>1.89</v>
      </c>
      <c r="K1604">
        <v>8890.56</v>
      </c>
    </row>
    <row r="1605" spans="1:12" x14ac:dyDescent="0.2">
      <c r="A1605">
        <v>67186</v>
      </c>
      <c r="B1605">
        <v>18844</v>
      </c>
      <c r="C1605" t="s">
        <v>5249</v>
      </c>
      <c r="D1605">
        <v>8</v>
      </c>
      <c r="E1605">
        <v>9</v>
      </c>
      <c r="F1605">
        <v>416</v>
      </c>
      <c r="G1605">
        <v>3744</v>
      </c>
      <c r="H1605">
        <v>72</v>
      </c>
      <c r="I1605">
        <v>5.8</v>
      </c>
      <c r="J1605">
        <v>2.99</v>
      </c>
      <c r="K1605">
        <v>11194.56</v>
      </c>
    </row>
    <row r="1606" spans="1:12" x14ac:dyDescent="0.2">
      <c r="A1606">
        <v>57195</v>
      </c>
      <c r="B1606">
        <v>18859</v>
      </c>
      <c r="C1606" t="s">
        <v>5250</v>
      </c>
      <c r="D1606">
        <v>10</v>
      </c>
      <c r="E1606">
        <v>24</v>
      </c>
      <c r="F1606">
        <v>0</v>
      </c>
      <c r="G1606">
        <v>0</v>
      </c>
      <c r="H1606">
        <v>70</v>
      </c>
      <c r="I1606">
        <v>0</v>
      </c>
      <c r="J1606">
        <v>1</v>
      </c>
      <c r="K1606">
        <v>0</v>
      </c>
    </row>
    <row r="1607" spans="1:12" x14ac:dyDescent="0.2">
      <c r="B1607">
        <v>19005</v>
      </c>
      <c r="C1607" t="s">
        <v>5251</v>
      </c>
      <c r="D1607">
        <v>12</v>
      </c>
      <c r="E1607">
        <v>6</v>
      </c>
      <c r="F1607">
        <v>0</v>
      </c>
      <c r="G1607">
        <v>0</v>
      </c>
      <c r="H1607">
        <v>120</v>
      </c>
      <c r="I1607">
        <v>0</v>
      </c>
      <c r="J1607">
        <v>7</v>
      </c>
      <c r="K1607">
        <v>0</v>
      </c>
      <c r="L1607" t="s">
        <v>3699</v>
      </c>
    </row>
    <row r="1608" spans="1:12" x14ac:dyDescent="0.2">
      <c r="A1608">
        <v>72190</v>
      </c>
      <c r="B1608">
        <v>19041</v>
      </c>
      <c r="C1608" t="s">
        <v>5252</v>
      </c>
      <c r="D1608">
        <v>8</v>
      </c>
      <c r="E1608">
        <v>33</v>
      </c>
      <c r="F1608">
        <v>413</v>
      </c>
      <c r="G1608">
        <v>13629</v>
      </c>
      <c r="H1608">
        <v>64</v>
      </c>
      <c r="I1608">
        <v>6.5</v>
      </c>
      <c r="J1608">
        <v>0.99</v>
      </c>
      <c r="K1608">
        <v>13492.71</v>
      </c>
    </row>
    <row r="1609" spans="1:12" x14ac:dyDescent="0.2">
      <c r="A1609">
        <v>81250</v>
      </c>
      <c r="B1609">
        <v>19057</v>
      </c>
      <c r="C1609" t="s">
        <v>5253</v>
      </c>
      <c r="D1609">
        <v>8</v>
      </c>
      <c r="E1609">
        <v>21</v>
      </c>
      <c r="F1609">
        <v>175</v>
      </c>
      <c r="G1609">
        <v>3675</v>
      </c>
      <c r="H1609">
        <v>60</v>
      </c>
      <c r="I1609">
        <v>2.9</v>
      </c>
      <c r="J1609">
        <v>0.99</v>
      </c>
      <c r="K1609">
        <v>3638.25</v>
      </c>
    </row>
    <row r="1610" spans="1:12" x14ac:dyDescent="0.2">
      <c r="A1610">
        <v>95713</v>
      </c>
      <c r="B1610">
        <v>19071</v>
      </c>
      <c r="C1610" t="s">
        <v>5254</v>
      </c>
      <c r="D1610">
        <v>8</v>
      </c>
      <c r="E1610">
        <v>1</v>
      </c>
      <c r="F1610">
        <v>2433</v>
      </c>
      <c r="G1610">
        <v>2433</v>
      </c>
      <c r="H1610">
        <v>48</v>
      </c>
      <c r="I1610">
        <v>50.7</v>
      </c>
      <c r="J1610">
        <v>8.39</v>
      </c>
      <c r="K1610">
        <v>20412.87</v>
      </c>
    </row>
    <row r="1611" spans="1:12" x14ac:dyDescent="0.2">
      <c r="B1611">
        <v>19071</v>
      </c>
      <c r="C1611" t="s">
        <v>5254</v>
      </c>
      <c r="D1611">
        <v>12</v>
      </c>
      <c r="E1611">
        <v>24</v>
      </c>
      <c r="F1611">
        <v>0</v>
      </c>
      <c r="G1611">
        <v>0</v>
      </c>
      <c r="H1611">
        <v>2</v>
      </c>
      <c r="I1611">
        <v>0</v>
      </c>
      <c r="J1611">
        <v>8.39</v>
      </c>
      <c r="K1611">
        <v>0</v>
      </c>
    </row>
    <row r="1612" spans="1:12" x14ac:dyDescent="0.2">
      <c r="A1612">
        <v>42502</v>
      </c>
      <c r="B1612">
        <v>19109</v>
      </c>
      <c r="C1612" t="s">
        <v>5255</v>
      </c>
      <c r="D1612">
        <v>10</v>
      </c>
      <c r="E1612">
        <v>16</v>
      </c>
      <c r="F1612">
        <v>3</v>
      </c>
      <c r="G1612">
        <v>48</v>
      </c>
      <c r="H1612">
        <v>96</v>
      </c>
      <c r="I1612">
        <v>0</v>
      </c>
      <c r="J1612">
        <v>1.59</v>
      </c>
      <c r="K1612">
        <v>76.319999999999993</v>
      </c>
    </row>
    <row r="1613" spans="1:12" x14ac:dyDescent="0.2">
      <c r="B1613">
        <v>19216</v>
      </c>
      <c r="C1613" t="s">
        <v>5256</v>
      </c>
      <c r="D1613">
        <v>11</v>
      </c>
      <c r="E1613">
        <v>10</v>
      </c>
      <c r="F1613">
        <v>-2</v>
      </c>
      <c r="G1613">
        <v>-16</v>
      </c>
      <c r="H1613">
        <v>64</v>
      </c>
      <c r="I1613">
        <v>0</v>
      </c>
      <c r="J1613">
        <v>1.79</v>
      </c>
      <c r="K1613">
        <v>-28.64</v>
      </c>
    </row>
    <row r="1614" spans="1:12" x14ac:dyDescent="0.2">
      <c r="A1614">
        <v>67093</v>
      </c>
      <c r="B1614">
        <v>19272</v>
      </c>
      <c r="C1614" t="s">
        <v>5257</v>
      </c>
      <c r="D1614">
        <v>8</v>
      </c>
      <c r="E1614">
        <v>27</v>
      </c>
      <c r="F1614">
        <v>186</v>
      </c>
      <c r="G1614">
        <v>5022</v>
      </c>
      <c r="H1614">
        <v>64</v>
      </c>
      <c r="I1614">
        <v>2.9</v>
      </c>
      <c r="J1614">
        <v>0.83</v>
      </c>
      <c r="K1614">
        <v>4168.26</v>
      </c>
    </row>
    <row r="1615" spans="1:12" x14ac:dyDescent="0.2">
      <c r="A1615">
        <v>75274</v>
      </c>
      <c r="B1615">
        <v>19306</v>
      </c>
      <c r="C1615" t="s">
        <v>5258</v>
      </c>
      <c r="D1615">
        <v>8</v>
      </c>
      <c r="E1615">
        <v>12</v>
      </c>
      <c r="F1615">
        <v>731</v>
      </c>
      <c r="G1615">
        <v>8772</v>
      </c>
      <c r="H1615">
        <v>120</v>
      </c>
      <c r="I1615">
        <v>6.1</v>
      </c>
      <c r="J1615">
        <v>2.29</v>
      </c>
      <c r="K1615">
        <v>20087.88</v>
      </c>
    </row>
    <row r="1616" spans="1:12" x14ac:dyDescent="0.2">
      <c r="A1616">
        <v>46605</v>
      </c>
      <c r="B1616">
        <v>19502</v>
      </c>
      <c r="C1616" t="s">
        <v>5259</v>
      </c>
      <c r="D1616">
        <v>10</v>
      </c>
      <c r="E1616">
        <v>18</v>
      </c>
      <c r="F1616">
        <v>0</v>
      </c>
      <c r="G1616">
        <v>0</v>
      </c>
      <c r="H1616">
        <v>96</v>
      </c>
      <c r="I1616">
        <v>0</v>
      </c>
      <c r="J1616">
        <v>2.69</v>
      </c>
      <c r="K1616">
        <v>0</v>
      </c>
    </row>
    <row r="1617" spans="1:11" x14ac:dyDescent="0.2">
      <c r="A1617">
        <v>42503</v>
      </c>
      <c r="B1617">
        <v>19508</v>
      </c>
      <c r="C1617" t="s">
        <v>5260</v>
      </c>
      <c r="D1617">
        <v>10</v>
      </c>
      <c r="E1617">
        <v>24</v>
      </c>
      <c r="F1617">
        <v>3</v>
      </c>
      <c r="G1617">
        <v>72</v>
      </c>
      <c r="H1617">
        <v>88</v>
      </c>
      <c r="I1617">
        <v>0</v>
      </c>
      <c r="J1617">
        <v>1.75</v>
      </c>
      <c r="K1617">
        <v>126</v>
      </c>
    </row>
    <row r="1618" spans="1:11" x14ac:dyDescent="0.2">
      <c r="B1618">
        <v>19545</v>
      </c>
      <c r="C1618" t="s">
        <v>5261</v>
      </c>
      <c r="D1618">
        <v>12</v>
      </c>
      <c r="E1618">
        <v>60</v>
      </c>
      <c r="F1618">
        <v>0</v>
      </c>
      <c r="G1618">
        <v>0</v>
      </c>
      <c r="H1618">
        <v>136</v>
      </c>
      <c r="I1618">
        <v>0</v>
      </c>
      <c r="J1618">
        <v>0.49</v>
      </c>
      <c r="K1618">
        <v>0</v>
      </c>
    </row>
    <row r="1619" spans="1:11" x14ac:dyDescent="0.2">
      <c r="A1619">
        <v>95742</v>
      </c>
      <c r="B1619">
        <v>19570</v>
      </c>
      <c r="C1619" t="s">
        <v>5262</v>
      </c>
      <c r="D1619">
        <v>8</v>
      </c>
      <c r="E1619">
        <v>24</v>
      </c>
      <c r="F1619">
        <v>1915</v>
      </c>
      <c r="G1619">
        <v>45955</v>
      </c>
      <c r="H1619">
        <v>60</v>
      </c>
      <c r="I1619">
        <v>31.9</v>
      </c>
      <c r="J1619">
        <v>0.89</v>
      </c>
      <c r="K1619">
        <v>40899.949999999997</v>
      </c>
    </row>
    <row r="1620" spans="1:11" x14ac:dyDescent="0.2">
      <c r="A1620">
        <v>76096</v>
      </c>
      <c r="B1620">
        <v>19661</v>
      </c>
      <c r="C1620" t="s">
        <v>5263</v>
      </c>
      <c r="D1620">
        <v>8</v>
      </c>
      <c r="E1620">
        <v>20</v>
      </c>
      <c r="F1620">
        <v>334</v>
      </c>
      <c r="G1620">
        <v>6676</v>
      </c>
      <c r="H1620">
        <v>66</v>
      </c>
      <c r="I1620">
        <v>5.0999999999999996</v>
      </c>
      <c r="J1620">
        <v>0.99</v>
      </c>
      <c r="K1620">
        <v>6609.24</v>
      </c>
    </row>
    <row r="1621" spans="1:11" x14ac:dyDescent="0.2">
      <c r="A1621">
        <v>57426</v>
      </c>
      <c r="B1621">
        <v>19666</v>
      </c>
      <c r="C1621" t="s">
        <v>5264</v>
      </c>
      <c r="D1621">
        <v>10</v>
      </c>
      <c r="E1621">
        <v>15</v>
      </c>
      <c r="F1621">
        <v>0</v>
      </c>
      <c r="G1621">
        <v>0</v>
      </c>
      <c r="H1621">
        <v>32</v>
      </c>
      <c r="I1621">
        <v>0</v>
      </c>
      <c r="J1621">
        <v>1.69</v>
      </c>
      <c r="K1621">
        <v>0</v>
      </c>
    </row>
    <row r="1622" spans="1:11" x14ac:dyDescent="0.2">
      <c r="A1622">
        <v>82072</v>
      </c>
      <c r="B1622">
        <v>19797</v>
      </c>
      <c r="C1622" t="s">
        <v>5265</v>
      </c>
      <c r="D1622">
        <v>8</v>
      </c>
      <c r="E1622">
        <v>12</v>
      </c>
      <c r="F1622">
        <v>545</v>
      </c>
      <c r="G1622">
        <v>6540</v>
      </c>
      <c r="H1622">
        <v>32</v>
      </c>
      <c r="I1622">
        <v>17</v>
      </c>
      <c r="J1622">
        <v>5.95</v>
      </c>
      <c r="K1622">
        <v>38913</v>
      </c>
    </row>
    <row r="1623" spans="1:11" x14ac:dyDescent="0.2">
      <c r="B1623">
        <v>19914</v>
      </c>
      <c r="C1623" t="s">
        <v>5266</v>
      </c>
      <c r="D1623">
        <v>11</v>
      </c>
      <c r="E1623">
        <v>40</v>
      </c>
      <c r="F1623">
        <v>-1</v>
      </c>
      <c r="G1623">
        <v>-40</v>
      </c>
      <c r="H1623">
        <v>54</v>
      </c>
      <c r="I1623">
        <v>0</v>
      </c>
      <c r="J1623">
        <v>0.99</v>
      </c>
      <c r="K1623">
        <v>-39.6</v>
      </c>
    </row>
    <row r="1624" spans="1:11" x14ac:dyDescent="0.2">
      <c r="A1624">
        <v>47621</v>
      </c>
      <c r="B1624">
        <v>19920</v>
      </c>
      <c r="C1624" t="s">
        <v>5267</v>
      </c>
      <c r="D1624">
        <v>10</v>
      </c>
      <c r="E1624">
        <v>24</v>
      </c>
      <c r="F1624">
        <v>2</v>
      </c>
      <c r="G1624">
        <v>48</v>
      </c>
      <c r="H1624">
        <v>80</v>
      </c>
      <c r="I1624">
        <v>0</v>
      </c>
      <c r="J1624">
        <v>1.59</v>
      </c>
      <c r="K1624">
        <v>76.319999999999993</v>
      </c>
    </row>
    <row r="1625" spans="1:11" x14ac:dyDescent="0.2">
      <c r="A1625">
        <v>48685</v>
      </c>
      <c r="B1625">
        <v>19924</v>
      </c>
      <c r="C1625" t="s">
        <v>5268</v>
      </c>
      <c r="D1625">
        <v>10</v>
      </c>
      <c r="E1625">
        <v>18</v>
      </c>
      <c r="F1625">
        <v>1</v>
      </c>
      <c r="G1625">
        <v>18</v>
      </c>
      <c r="H1625">
        <v>24</v>
      </c>
      <c r="I1625">
        <v>0</v>
      </c>
      <c r="J1625">
        <v>1.99</v>
      </c>
      <c r="K1625">
        <v>35.82</v>
      </c>
    </row>
    <row r="1626" spans="1:11" x14ac:dyDescent="0.2">
      <c r="A1626">
        <v>72146</v>
      </c>
      <c r="B1626">
        <v>19937</v>
      </c>
      <c r="C1626" t="s">
        <v>5269</v>
      </c>
      <c r="D1626">
        <v>8</v>
      </c>
      <c r="E1626">
        <v>12</v>
      </c>
      <c r="F1626">
        <v>1016</v>
      </c>
      <c r="G1626">
        <v>12192</v>
      </c>
      <c r="H1626">
        <v>144</v>
      </c>
      <c r="I1626">
        <v>7.1</v>
      </c>
      <c r="J1626">
        <v>1.19</v>
      </c>
      <c r="K1626">
        <v>14508.48</v>
      </c>
    </row>
    <row r="1627" spans="1:11" x14ac:dyDescent="0.2">
      <c r="B1627">
        <v>21003</v>
      </c>
      <c r="C1627" t="s">
        <v>5270</v>
      </c>
      <c r="D1627">
        <v>11</v>
      </c>
      <c r="E1627">
        <v>12</v>
      </c>
      <c r="F1627">
        <v>-1</v>
      </c>
      <c r="G1627">
        <v>-12</v>
      </c>
      <c r="H1627">
        <v>96</v>
      </c>
      <c r="I1627">
        <v>0</v>
      </c>
      <c r="J1627">
        <v>2.99</v>
      </c>
      <c r="K1627">
        <v>-35.880000000000003</v>
      </c>
    </row>
    <row r="1628" spans="1:11" x14ac:dyDescent="0.2">
      <c r="A1628">
        <v>2624</v>
      </c>
      <c r="B1628">
        <v>21224</v>
      </c>
      <c r="C1628" t="s">
        <v>5271</v>
      </c>
      <c r="D1628">
        <v>6</v>
      </c>
      <c r="E1628">
        <v>6</v>
      </c>
      <c r="F1628">
        <v>0</v>
      </c>
      <c r="G1628">
        <v>0</v>
      </c>
      <c r="H1628">
        <v>72</v>
      </c>
      <c r="I1628">
        <v>0</v>
      </c>
      <c r="J1628">
        <v>3.99</v>
      </c>
      <c r="K1628">
        <v>0</v>
      </c>
    </row>
    <row r="1629" spans="1:11" x14ac:dyDescent="0.2">
      <c r="B1629">
        <v>21236</v>
      </c>
      <c r="C1629" t="s">
        <v>5272</v>
      </c>
      <c r="D1629">
        <v>12</v>
      </c>
      <c r="E1629">
        <v>1</v>
      </c>
      <c r="F1629">
        <v>0</v>
      </c>
      <c r="G1629">
        <v>0</v>
      </c>
      <c r="H1629">
        <v>480</v>
      </c>
      <c r="I1629">
        <v>0</v>
      </c>
      <c r="J1629">
        <v>0.36</v>
      </c>
      <c r="K1629">
        <v>0</v>
      </c>
    </row>
    <row r="1630" spans="1:11" x14ac:dyDescent="0.2">
      <c r="B1630">
        <v>21252</v>
      </c>
      <c r="C1630" t="s">
        <v>5273</v>
      </c>
      <c r="D1630">
        <v>10</v>
      </c>
      <c r="E1630">
        <v>8</v>
      </c>
      <c r="F1630">
        <v>0</v>
      </c>
      <c r="G1630">
        <v>0</v>
      </c>
      <c r="H1630">
        <v>100</v>
      </c>
      <c r="I1630">
        <v>0</v>
      </c>
      <c r="J1630">
        <v>0.5</v>
      </c>
      <c r="K1630">
        <v>0</v>
      </c>
    </row>
    <row r="1631" spans="1:11" x14ac:dyDescent="0.2">
      <c r="A1631">
        <v>81019</v>
      </c>
      <c r="B1631">
        <v>21291</v>
      </c>
      <c r="C1631" t="s">
        <v>5274</v>
      </c>
      <c r="D1631">
        <v>8</v>
      </c>
      <c r="E1631">
        <v>16</v>
      </c>
      <c r="F1631">
        <v>1</v>
      </c>
      <c r="G1631">
        <v>16</v>
      </c>
      <c r="H1631">
        <v>208</v>
      </c>
      <c r="I1631">
        <v>0</v>
      </c>
      <c r="J1631">
        <v>0.45</v>
      </c>
      <c r="K1631">
        <v>7.2</v>
      </c>
    </row>
    <row r="1632" spans="1:11" x14ac:dyDescent="0.2">
      <c r="B1632">
        <v>21406</v>
      </c>
      <c r="C1632" t="s">
        <v>5275</v>
      </c>
      <c r="D1632">
        <v>11</v>
      </c>
      <c r="E1632">
        <v>8</v>
      </c>
      <c r="F1632">
        <v>0</v>
      </c>
      <c r="G1632">
        <v>0</v>
      </c>
      <c r="H1632">
        <v>204</v>
      </c>
      <c r="I1632">
        <v>0</v>
      </c>
      <c r="J1632">
        <v>2</v>
      </c>
      <c r="K1632">
        <v>0</v>
      </c>
    </row>
    <row r="1633" spans="1:11" x14ac:dyDescent="0.2">
      <c r="A1633">
        <v>99886</v>
      </c>
      <c r="B1633">
        <v>21421</v>
      </c>
      <c r="C1633" t="s">
        <v>5276</v>
      </c>
      <c r="D1633">
        <v>10</v>
      </c>
      <c r="E1633">
        <v>18</v>
      </c>
      <c r="F1633">
        <v>0</v>
      </c>
      <c r="G1633">
        <v>0</v>
      </c>
      <c r="H1633">
        <v>36</v>
      </c>
      <c r="I1633">
        <v>0</v>
      </c>
      <c r="J1633">
        <v>1.59</v>
      </c>
      <c r="K1633">
        <v>0</v>
      </c>
    </row>
    <row r="1634" spans="1:11" x14ac:dyDescent="0.2">
      <c r="A1634">
        <v>99074</v>
      </c>
      <c r="B1634">
        <v>21447</v>
      </c>
      <c r="C1634" t="s">
        <v>5277</v>
      </c>
      <c r="D1634">
        <v>10</v>
      </c>
      <c r="E1634">
        <v>12</v>
      </c>
      <c r="F1634">
        <v>0</v>
      </c>
      <c r="G1634">
        <v>0</v>
      </c>
      <c r="H1634">
        <v>84</v>
      </c>
      <c r="I1634">
        <v>0</v>
      </c>
      <c r="J1634">
        <v>1.29</v>
      </c>
      <c r="K1634">
        <v>0</v>
      </c>
    </row>
    <row r="1635" spans="1:11" x14ac:dyDescent="0.2">
      <c r="A1635">
        <v>89046</v>
      </c>
      <c r="B1635">
        <v>21457</v>
      </c>
      <c r="C1635" t="s">
        <v>5278</v>
      </c>
      <c r="D1635">
        <v>8</v>
      </c>
      <c r="E1635">
        <v>12</v>
      </c>
      <c r="F1635">
        <v>0</v>
      </c>
      <c r="G1635">
        <v>0</v>
      </c>
      <c r="H1635">
        <v>72</v>
      </c>
      <c r="I1635">
        <v>0</v>
      </c>
      <c r="J1635">
        <v>1.79</v>
      </c>
      <c r="K1635">
        <v>0</v>
      </c>
    </row>
    <row r="1636" spans="1:11" x14ac:dyDescent="0.2">
      <c r="A1636">
        <v>99240</v>
      </c>
      <c r="B1636">
        <v>21483</v>
      </c>
      <c r="C1636" t="s">
        <v>5279</v>
      </c>
      <c r="D1636">
        <v>10</v>
      </c>
      <c r="E1636">
        <v>4</v>
      </c>
      <c r="F1636">
        <v>0</v>
      </c>
      <c r="G1636">
        <v>0</v>
      </c>
      <c r="H1636">
        <v>84</v>
      </c>
      <c r="I1636">
        <v>0</v>
      </c>
      <c r="J1636">
        <v>2.99</v>
      </c>
      <c r="K1636">
        <v>0</v>
      </c>
    </row>
    <row r="1637" spans="1:11" x14ac:dyDescent="0.2">
      <c r="A1637">
        <v>50300</v>
      </c>
      <c r="B1637">
        <v>21524</v>
      </c>
      <c r="C1637" t="s">
        <v>5280</v>
      </c>
      <c r="D1637">
        <v>10</v>
      </c>
      <c r="E1637">
        <v>12</v>
      </c>
      <c r="F1637">
        <v>5</v>
      </c>
      <c r="G1637">
        <v>60</v>
      </c>
      <c r="H1637">
        <v>90</v>
      </c>
      <c r="I1637">
        <v>0.1</v>
      </c>
      <c r="J1637">
        <v>3.99</v>
      </c>
      <c r="K1637">
        <v>239.4</v>
      </c>
    </row>
    <row r="1638" spans="1:11" x14ac:dyDescent="0.2">
      <c r="A1638">
        <v>99590</v>
      </c>
      <c r="B1638">
        <v>21540</v>
      </c>
      <c r="C1638" t="s">
        <v>5281</v>
      </c>
      <c r="D1638">
        <v>10</v>
      </c>
      <c r="E1638">
        <v>20</v>
      </c>
      <c r="F1638">
        <v>0</v>
      </c>
      <c r="G1638">
        <v>0</v>
      </c>
      <c r="H1638">
        <v>36</v>
      </c>
      <c r="I1638">
        <v>0</v>
      </c>
      <c r="J1638">
        <v>5.49</v>
      </c>
      <c r="K1638">
        <v>0</v>
      </c>
    </row>
    <row r="1639" spans="1:11" x14ac:dyDescent="0.2">
      <c r="A1639">
        <v>57373</v>
      </c>
      <c r="B1639">
        <v>21610</v>
      </c>
      <c r="C1639" t="s">
        <v>5282</v>
      </c>
      <c r="D1639">
        <v>10</v>
      </c>
      <c r="E1639">
        <v>24</v>
      </c>
      <c r="F1639">
        <v>0</v>
      </c>
      <c r="G1639">
        <v>0</v>
      </c>
      <c r="H1639">
        <v>54</v>
      </c>
      <c r="I1639">
        <v>0</v>
      </c>
      <c r="J1639">
        <v>0.5</v>
      </c>
      <c r="K1639">
        <v>0</v>
      </c>
    </row>
    <row r="1640" spans="1:11" x14ac:dyDescent="0.2">
      <c r="A1640">
        <v>67173</v>
      </c>
      <c r="B1640">
        <v>21728</v>
      </c>
      <c r="C1640" t="s">
        <v>5283</v>
      </c>
      <c r="D1640">
        <v>11</v>
      </c>
      <c r="E1640">
        <v>30</v>
      </c>
      <c r="F1640">
        <v>2</v>
      </c>
      <c r="G1640">
        <v>60</v>
      </c>
      <c r="H1640">
        <v>80</v>
      </c>
      <c r="I1640">
        <v>0</v>
      </c>
      <c r="J1640">
        <v>0.99</v>
      </c>
      <c r="K1640">
        <v>59.4</v>
      </c>
    </row>
    <row r="1641" spans="1:11" x14ac:dyDescent="0.2">
      <c r="A1641">
        <v>42675</v>
      </c>
      <c r="B1641">
        <v>21746</v>
      </c>
      <c r="C1641" t="s">
        <v>5284</v>
      </c>
      <c r="D1641">
        <v>10</v>
      </c>
      <c r="E1641">
        <v>6</v>
      </c>
      <c r="F1641">
        <v>0</v>
      </c>
      <c r="G1641">
        <v>0</v>
      </c>
      <c r="H1641">
        <v>132</v>
      </c>
      <c r="I1641">
        <v>0</v>
      </c>
      <c r="J1641">
        <v>4</v>
      </c>
      <c r="K1641">
        <v>0</v>
      </c>
    </row>
    <row r="1642" spans="1:11" x14ac:dyDescent="0.2">
      <c r="A1642">
        <v>66089</v>
      </c>
      <c r="B1642">
        <v>21818</v>
      </c>
      <c r="C1642" t="s">
        <v>5285</v>
      </c>
      <c r="D1642">
        <v>8</v>
      </c>
      <c r="E1642">
        <v>42</v>
      </c>
      <c r="F1642">
        <v>457</v>
      </c>
      <c r="G1642">
        <v>19187</v>
      </c>
      <c r="H1642">
        <v>168</v>
      </c>
      <c r="I1642">
        <v>2.7</v>
      </c>
      <c r="J1642">
        <v>0.64</v>
      </c>
      <c r="K1642">
        <v>12279.68</v>
      </c>
    </row>
    <row r="1643" spans="1:11" x14ac:dyDescent="0.2">
      <c r="A1643">
        <v>99742</v>
      </c>
      <c r="B1643">
        <v>21900</v>
      </c>
      <c r="C1643" t="s">
        <v>5286</v>
      </c>
      <c r="D1643">
        <v>10</v>
      </c>
      <c r="E1643">
        <v>9</v>
      </c>
      <c r="F1643">
        <v>0</v>
      </c>
      <c r="G1643">
        <v>0</v>
      </c>
      <c r="H1643">
        <v>64</v>
      </c>
      <c r="I1643">
        <v>0</v>
      </c>
      <c r="J1643">
        <v>1.99</v>
      </c>
      <c r="K1643">
        <v>0</v>
      </c>
    </row>
    <row r="1644" spans="1:11" x14ac:dyDescent="0.2">
      <c r="B1644">
        <v>21902</v>
      </c>
      <c r="C1644" t="s">
        <v>5287</v>
      </c>
      <c r="D1644">
        <v>10</v>
      </c>
      <c r="E1644">
        <v>9</v>
      </c>
      <c r="F1644">
        <v>0</v>
      </c>
      <c r="G1644">
        <v>0</v>
      </c>
      <c r="H1644">
        <v>64</v>
      </c>
      <c r="I1644">
        <v>0</v>
      </c>
      <c r="J1644">
        <v>1.95</v>
      </c>
      <c r="K1644">
        <v>0</v>
      </c>
    </row>
    <row r="1645" spans="1:11" x14ac:dyDescent="0.2">
      <c r="A1645">
        <v>72124</v>
      </c>
      <c r="B1645">
        <v>21914</v>
      </c>
      <c r="C1645" t="s">
        <v>5288</v>
      </c>
      <c r="D1645">
        <v>8</v>
      </c>
      <c r="E1645">
        <v>16</v>
      </c>
      <c r="F1645">
        <v>95</v>
      </c>
      <c r="G1645">
        <v>1520</v>
      </c>
      <c r="H1645">
        <v>72</v>
      </c>
      <c r="I1645">
        <v>1.3</v>
      </c>
      <c r="J1645">
        <v>1.49</v>
      </c>
      <c r="K1645">
        <v>2264.8000000000002</v>
      </c>
    </row>
    <row r="1646" spans="1:11" x14ac:dyDescent="0.2">
      <c r="A1646">
        <v>57181</v>
      </c>
      <c r="B1646">
        <v>21959</v>
      </c>
      <c r="C1646" t="s">
        <v>5289</v>
      </c>
      <c r="D1646">
        <v>11</v>
      </c>
      <c r="E1646">
        <v>14</v>
      </c>
      <c r="F1646">
        <v>0</v>
      </c>
      <c r="G1646">
        <v>0</v>
      </c>
      <c r="H1646">
        <v>42</v>
      </c>
      <c r="I1646">
        <v>0</v>
      </c>
      <c r="J1646">
        <v>0.6</v>
      </c>
      <c r="K1646">
        <v>0</v>
      </c>
    </row>
    <row r="1647" spans="1:11" x14ac:dyDescent="0.2">
      <c r="A1647">
        <v>72122</v>
      </c>
      <c r="B1647">
        <v>21969</v>
      </c>
      <c r="C1647" t="s">
        <v>5290</v>
      </c>
      <c r="D1647">
        <v>8</v>
      </c>
      <c r="E1647">
        <v>10</v>
      </c>
      <c r="F1647">
        <v>82</v>
      </c>
      <c r="G1647">
        <v>820</v>
      </c>
      <c r="H1647">
        <v>64</v>
      </c>
      <c r="I1647">
        <v>1.3</v>
      </c>
      <c r="J1647">
        <v>1.79</v>
      </c>
      <c r="K1647">
        <v>1467.8</v>
      </c>
    </row>
    <row r="1648" spans="1:11" x14ac:dyDescent="0.2">
      <c r="A1648">
        <v>34661</v>
      </c>
      <c r="B1648">
        <v>21979</v>
      </c>
      <c r="C1648" t="s">
        <v>5291</v>
      </c>
      <c r="D1648">
        <v>10</v>
      </c>
      <c r="E1648">
        <v>6</v>
      </c>
      <c r="F1648">
        <v>0</v>
      </c>
      <c r="G1648">
        <v>0</v>
      </c>
      <c r="H1648">
        <v>100</v>
      </c>
      <c r="I1648">
        <v>0</v>
      </c>
      <c r="J1648">
        <v>8</v>
      </c>
      <c r="K1648">
        <v>0</v>
      </c>
    </row>
    <row r="1649" spans="1:11" x14ac:dyDescent="0.2">
      <c r="A1649">
        <v>72107</v>
      </c>
      <c r="B1649">
        <v>22109</v>
      </c>
      <c r="C1649" t="s">
        <v>5292</v>
      </c>
      <c r="D1649">
        <v>8</v>
      </c>
      <c r="E1649">
        <v>24</v>
      </c>
      <c r="F1649">
        <v>163</v>
      </c>
      <c r="G1649">
        <v>3912</v>
      </c>
      <c r="H1649">
        <v>95</v>
      </c>
      <c r="I1649">
        <v>1.7</v>
      </c>
      <c r="J1649">
        <v>1.45</v>
      </c>
      <c r="K1649">
        <v>5672.4</v>
      </c>
    </row>
    <row r="1650" spans="1:11" x14ac:dyDescent="0.2">
      <c r="A1650">
        <v>99700</v>
      </c>
      <c r="B1650">
        <v>22161</v>
      </c>
      <c r="C1650" t="s">
        <v>5293</v>
      </c>
      <c r="D1650">
        <v>11</v>
      </c>
      <c r="E1650">
        <v>8</v>
      </c>
      <c r="F1650">
        <v>0</v>
      </c>
      <c r="G1650">
        <v>0</v>
      </c>
      <c r="H1650">
        <v>99</v>
      </c>
      <c r="I1650">
        <v>0</v>
      </c>
      <c r="J1650">
        <v>1.79</v>
      </c>
      <c r="K1650">
        <v>0</v>
      </c>
    </row>
    <row r="1651" spans="1:11" x14ac:dyDescent="0.2">
      <c r="A1651">
        <v>0</v>
      </c>
      <c r="B1651">
        <v>22252</v>
      </c>
      <c r="C1651" t="s">
        <v>5294</v>
      </c>
      <c r="D1651">
        <v>12</v>
      </c>
      <c r="E1651">
        <v>18</v>
      </c>
      <c r="F1651">
        <v>0</v>
      </c>
      <c r="G1651">
        <v>0</v>
      </c>
      <c r="H1651">
        <v>56</v>
      </c>
      <c r="I1651">
        <v>0</v>
      </c>
      <c r="J1651">
        <v>3.49</v>
      </c>
      <c r="K1651">
        <v>0</v>
      </c>
    </row>
    <row r="1652" spans="1:11" x14ac:dyDescent="0.2">
      <c r="A1652">
        <v>72100</v>
      </c>
      <c r="B1652">
        <v>22252</v>
      </c>
      <c r="C1652" t="s">
        <v>5294</v>
      </c>
      <c r="D1652">
        <v>8</v>
      </c>
      <c r="E1652">
        <v>27</v>
      </c>
      <c r="F1652">
        <v>471</v>
      </c>
      <c r="G1652">
        <v>12717</v>
      </c>
      <c r="H1652">
        <v>64</v>
      </c>
      <c r="I1652">
        <v>7.4</v>
      </c>
      <c r="J1652">
        <v>3.49</v>
      </c>
      <c r="K1652">
        <v>44382.33</v>
      </c>
    </row>
    <row r="1653" spans="1:11" x14ac:dyDescent="0.2">
      <c r="A1653">
        <v>69028</v>
      </c>
      <c r="B1653">
        <v>22315</v>
      </c>
      <c r="C1653" t="s">
        <v>5295</v>
      </c>
      <c r="D1653">
        <v>11</v>
      </c>
      <c r="E1653">
        <v>12</v>
      </c>
      <c r="F1653">
        <v>1</v>
      </c>
      <c r="G1653">
        <v>12</v>
      </c>
      <c r="H1653">
        <v>99</v>
      </c>
      <c r="I1653">
        <v>0</v>
      </c>
      <c r="J1653">
        <v>1.49</v>
      </c>
      <c r="K1653">
        <v>17.88</v>
      </c>
    </row>
    <row r="1654" spans="1:11" x14ac:dyDescent="0.2">
      <c r="B1654">
        <v>22442</v>
      </c>
      <c r="C1654" t="s">
        <v>5296</v>
      </c>
      <c r="D1654">
        <v>11</v>
      </c>
      <c r="E1654">
        <v>10</v>
      </c>
      <c r="F1654">
        <v>0</v>
      </c>
      <c r="G1654">
        <v>0</v>
      </c>
      <c r="H1654">
        <v>70</v>
      </c>
      <c r="I1654">
        <v>0</v>
      </c>
      <c r="J1654">
        <v>1.29</v>
      </c>
      <c r="K1654">
        <v>0</v>
      </c>
    </row>
    <row r="1655" spans="1:11" x14ac:dyDescent="0.2">
      <c r="A1655">
        <v>57663</v>
      </c>
      <c r="B1655">
        <v>22469</v>
      </c>
      <c r="C1655" t="s">
        <v>5297</v>
      </c>
      <c r="D1655">
        <v>10</v>
      </c>
      <c r="E1655">
        <v>12</v>
      </c>
      <c r="F1655">
        <v>1</v>
      </c>
      <c r="G1655">
        <v>15</v>
      </c>
      <c r="H1655">
        <v>117</v>
      </c>
      <c r="I1655">
        <v>0</v>
      </c>
      <c r="J1655">
        <v>1.19</v>
      </c>
      <c r="K1655">
        <v>17.850000000000001</v>
      </c>
    </row>
    <row r="1656" spans="1:11" x14ac:dyDescent="0.2">
      <c r="B1656">
        <v>22476</v>
      </c>
      <c r="C1656" t="s">
        <v>5298</v>
      </c>
      <c r="D1656">
        <v>10</v>
      </c>
      <c r="E1656">
        <v>6</v>
      </c>
      <c r="F1656">
        <v>0</v>
      </c>
      <c r="G1656">
        <v>0</v>
      </c>
      <c r="H1656">
        <v>80</v>
      </c>
      <c r="I1656">
        <v>0</v>
      </c>
      <c r="J1656">
        <v>10</v>
      </c>
      <c r="K1656">
        <v>0</v>
      </c>
    </row>
    <row r="1657" spans="1:11" x14ac:dyDescent="0.2">
      <c r="A1657">
        <v>75196</v>
      </c>
      <c r="B1657">
        <v>22571</v>
      </c>
      <c r="C1657" t="s">
        <v>5299</v>
      </c>
      <c r="D1657">
        <v>9</v>
      </c>
      <c r="E1657">
        <v>20</v>
      </c>
      <c r="F1657">
        <v>7</v>
      </c>
      <c r="G1657">
        <v>140</v>
      </c>
      <c r="H1657">
        <v>81</v>
      </c>
      <c r="I1657">
        <v>0.1</v>
      </c>
      <c r="J1657">
        <v>1.79</v>
      </c>
      <c r="K1657">
        <v>250.6</v>
      </c>
    </row>
    <row r="1658" spans="1:11" x14ac:dyDescent="0.2">
      <c r="A1658">
        <v>49607</v>
      </c>
      <c r="B1658">
        <v>22580</v>
      </c>
      <c r="C1658" t="s">
        <v>5300</v>
      </c>
      <c r="D1658">
        <v>10</v>
      </c>
      <c r="E1658">
        <v>12</v>
      </c>
      <c r="F1658">
        <v>0</v>
      </c>
      <c r="G1658">
        <v>0</v>
      </c>
      <c r="H1658">
        <v>72</v>
      </c>
      <c r="I1658">
        <v>0</v>
      </c>
      <c r="J1658">
        <v>6.89</v>
      </c>
      <c r="K1658">
        <v>0</v>
      </c>
    </row>
    <row r="1659" spans="1:11" x14ac:dyDescent="0.2">
      <c r="A1659">
        <v>72104</v>
      </c>
      <c r="B1659">
        <v>22581</v>
      </c>
      <c r="C1659" t="s">
        <v>5301</v>
      </c>
      <c r="D1659">
        <v>8</v>
      </c>
      <c r="E1659">
        <v>12</v>
      </c>
      <c r="F1659">
        <v>291</v>
      </c>
      <c r="G1659">
        <v>3492</v>
      </c>
      <c r="H1659">
        <v>76</v>
      </c>
      <c r="I1659">
        <v>3.8</v>
      </c>
      <c r="J1659">
        <v>4.8899999999999997</v>
      </c>
      <c r="K1659">
        <v>17075.88</v>
      </c>
    </row>
    <row r="1660" spans="1:11" x14ac:dyDescent="0.2">
      <c r="A1660">
        <v>45601</v>
      </c>
      <c r="B1660">
        <v>22605</v>
      </c>
      <c r="C1660" t="s">
        <v>5302</v>
      </c>
      <c r="D1660">
        <v>10</v>
      </c>
      <c r="E1660">
        <v>8</v>
      </c>
      <c r="F1660">
        <v>3</v>
      </c>
      <c r="G1660">
        <v>24</v>
      </c>
      <c r="H1660">
        <v>168</v>
      </c>
      <c r="I1660">
        <v>0</v>
      </c>
      <c r="J1660">
        <v>1.29</v>
      </c>
      <c r="K1660">
        <v>30.96</v>
      </c>
    </row>
    <row r="1661" spans="1:11" x14ac:dyDescent="0.2">
      <c r="A1661">
        <v>72126</v>
      </c>
      <c r="B1661">
        <v>22621</v>
      </c>
      <c r="C1661" t="s">
        <v>5303</v>
      </c>
      <c r="D1661">
        <v>8</v>
      </c>
      <c r="E1661">
        <v>6</v>
      </c>
      <c r="F1661">
        <v>164</v>
      </c>
      <c r="G1661">
        <v>984</v>
      </c>
      <c r="H1661">
        <v>64</v>
      </c>
      <c r="I1661">
        <v>2.6</v>
      </c>
      <c r="J1661">
        <v>1.99</v>
      </c>
      <c r="K1661">
        <v>1958.16</v>
      </c>
    </row>
    <row r="1662" spans="1:11" x14ac:dyDescent="0.2">
      <c r="A1662">
        <v>57374</v>
      </c>
      <c r="B1662">
        <v>22638</v>
      </c>
      <c r="C1662" t="s">
        <v>5304</v>
      </c>
      <c r="D1662">
        <v>10</v>
      </c>
      <c r="E1662">
        <v>6</v>
      </c>
      <c r="F1662">
        <v>0</v>
      </c>
      <c r="G1662">
        <v>0</v>
      </c>
      <c r="H1662">
        <v>54</v>
      </c>
      <c r="I1662">
        <v>0</v>
      </c>
      <c r="J1662">
        <v>3.9</v>
      </c>
      <c r="K1662">
        <v>0</v>
      </c>
    </row>
    <row r="1663" spans="1:11" x14ac:dyDescent="0.2">
      <c r="A1663">
        <v>47658</v>
      </c>
      <c r="B1663">
        <v>22643</v>
      </c>
      <c r="C1663" t="s">
        <v>5305</v>
      </c>
      <c r="D1663">
        <v>10</v>
      </c>
      <c r="E1663">
        <v>6</v>
      </c>
      <c r="F1663">
        <v>0</v>
      </c>
      <c r="G1663">
        <v>0</v>
      </c>
      <c r="H1663">
        <v>80</v>
      </c>
      <c r="I1663">
        <v>0</v>
      </c>
      <c r="J1663">
        <v>24.99</v>
      </c>
      <c r="K1663">
        <v>0</v>
      </c>
    </row>
    <row r="1664" spans="1:11" x14ac:dyDescent="0.2">
      <c r="A1664">
        <v>74175</v>
      </c>
      <c r="B1664">
        <v>22651</v>
      </c>
      <c r="C1664" t="s">
        <v>5306</v>
      </c>
      <c r="D1664">
        <v>8</v>
      </c>
      <c r="E1664">
        <v>28</v>
      </c>
      <c r="F1664">
        <v>11</v>
      </c>
      <c r="G1664">
        <v>308</v>
      </c>
      <c r="H1664">
        <v>60</v>
      </c>
      <c r="I1664">
        <v>0.2</v>
      </c>
      <c r="J1664">
        <v>1.95</v>
      </c>
      <c r="K1664">
        <v>600.6</v>
      </c>
    </row>
    <row r="1665" spans="1:11" x14ac:dyDescent="0.2">
      <c r="A1665">
        <v>4647</v>
      </c>
      <c r="B1665">
        <v>22689</v>
      </c>
      <c r="C1665" t="s">
        <v>5307</v>
      </c>
      <c r="D1665">
        <v>6</v>
      </c>
      <c r="E1665">
        <v>16</v>
      </c>
      <c r="F1665">
        <v>20</v>
      </c>
      <c r="G1665">
        <v>320</v>
      </c>
      <c r="H1665">
        <v>48</v>
      </c>
      <c r="I1665">
        <v>0.4</v>
      </c>
      <c r="J1665">
        <v>0.75</v>
      </c>
      <c r="K1665">
        <v>240</v>
      </c>
    </row>
    <row r="1666" spans="1:11" x14ac:dyDescent="0.2">
      <c r="B1666">
        <v>22725</v>
      </c>
      <c r="C1666" t="s">
        <v>5308</v>
      </c>
      <c r="D1666">
        <v>11</v>
      </c>
      <c r="E1666">
        <v>6</v>
      </c>
      <c r="F1666">
        <v>0</v>
      </c>
      <c r="G1666">
        <v>0</v>
      </c>
      <c r="H1666">
        <v>84</v>
      </c>
      <c r="I1666">
        <v>0</v>
      </c>
      <c r="J1666">
        <v>6.49</v>
      </c>
      <c r="K1666">
        <v>0</v>
      </c>
    </row>
    <row r="1667" spans="1:11" x14ac:dyDescent="0.2">
      <c r="A1667">
        <v>99887</v>
      </c>
      <c r="B1667">
        <v>22801</v>
      </c>
      <c r="C1667" t="s">
        <v>5309</v>
      </c>
      <c r="D1667">
        <v>10</v>
      </c>
      <c r="E1667">
        <v>10</v>
      </c>
      <c r="F1667">
        <v>0</v>
      </c>
      <c r="G1667">
        <v>0</v>
      </c>
      <c r="H1667">
        <v>77</v>
      </c>
      <c r="I1667">
        <v>0</v>
      </c>
      <c r="J1667">
        <v>2.29</v>
      </c>
      <c r="K1667">
        <v>0</v>
      </c>
    </row>
    <row r="1668" spans="1:11" x14ac:dyDescent="0.2">
      <c r="A1668">
        <v>41626</v>
      </c>
      <c r="B1668">
        <v>22855</v>
      </c>
      <c r="C1668" t="s">
        <v>5310</v>
      </c>
      <c r="D1668">
        <v>6</v>
      </c>
      <c r="E1668">
        <v>12</v>
      </c>
      <c r="F1668">
        <v>0</v>
      </c>
      <c r="G1668">
        <v>0</v>
      </c>
      <c r="H1668">
        <v>70</v>
      </c>
      <c r="I1668">
        <v>0</v>
      </c>
      <c r="J1668">
        <v>2.4900000000000002</v>
      </c>
      <c r="K1668">
        <v>0</v>
      </c>
    </row>
    <row r="1669" spans="1:11" x14ac:dyDescent="0.2">
      <c r="A1669">
        <v>74012</v>
      </c>
      <c r="B1669">
        <v>22859</v>
      </c>
      <c r="C1669" t="s">
        <v>5311</v>
      </c>
      <c r="D1669">
        <v>8</v>
      </c>
      <c r="E1669">
        <v>12</v>
      </c>
      <c r="F1669">
        <v>415</v>
      </c>
      <c r="G1669">
        <v>4976</v>
      </c>
      <c r="H1669">
        <v>120</v>
      </c>
      <c r="I1669">
        <v>3.5</v>
      </c>
      <c r="J1669">
        <v>1.49</v>
      </c>
      <c r="K1669">
        <v>7414.24</v>
      </c>
    </row>
    <row r="1670" spans="1:11" x14ac:dyDescent="0.2">
      <c r="A1670">
        <v>57427</v>
      </c>
      <c r="B1670">
        <v>22931</v>
      </c>
      <c r="C1670" t="s">
        <v>5312</v>
      </c>
      <c r="D1670">
        <v>10</v>
      </c>
      <c r="E1670">
        <v>10</v>
      </c>
      <c r="F1670">
        <v>0</v>
      </c>
      <c r="G1670">
        <v>0</v>
      </c>
      <c r="H1670">
        <v>70</v>
      </c>
      <c r="I1670">
        <v>0</v>
      </c>
      <c r="J1670">
        <v>1.99</v>
      </c>
      <c r="K1670">
        <v>0</v>
      </c>
    </row>
    <row r="1671" spans="1:11" x14ac:dyDescent="0.2">
      <c r="B1671">
        <v>22961</v>
      </c>
      <c r="C1671" t="s">
        <v>5313</v>
      </c>
      <c r="D1671">
        <v>10</v>
      </c>
      <c r="E1671">
        <v>12</v>
      </c>
      <c r="F1671">
        <v>1</v>
      </c>
      <c r="G1671">
        <v>12</v>
      </c>
      <c r="H1671">
        <v>114</v>
      </c>
      <c r="I1671">
        <v>0</v>
      </c>
      <c r="J1671">
        <v>1.69</v>
      </c>
      <c r="K1671">
        <v>20.28</v>
      </c>
    </row>
    <row r="1672" spans="1:11" x14ac:dyDescent="0.2">
      <c r="B1672">
        <v>23876</v>
      </c>
      <c r="C1672" t="s">
        <v>5314</v>
      </c>
      <c r="D1672">
        <v>12</v>
      </c>
      <c r="E1672">
        <v>72</v>
      </c>
      <c r="F1672">
        <v>0</v>
      </c>
      <c r="G1672">
        <v>0</v>
      </c>
      <c r="H1672">
        <v>56</v>
      </c>
      <c r="I1672">
        <v>0</v>
      </c>
      <c r="J1672">
        <v>0.49</v>
      </c>
      <c r="K1672">
        <v>0</v>
      </c>
    </row>
    <row r="1673" spans="1:11" x14ac:dyDescent="0.2">
      <c r="A1673">
        <v>57428</v>
      </c>
      <c r="B1673">
        <v>24310</v>
      </c>
      <c r="C1673" t="s">
        <v>5315</v>
      </c>
      <c r="D1673">
        <v>10</v>
      </c>
      <c r="E1673">
        <v>18</v>
      </c>
      <c r="F1673">
        <v>0</v>
      </c>
      <c r="G1673">
        <v>0</v>
      </c>
      <c r="H1673">
        <v>96</v>
      </c>
      <c r="I1673">
        <v>0</v>
      </c>
      <c r="J1673">
        <v>1.19</v>
      </c>
      <c r="K1673">
        <v>0</v>
      </c>
    </row>
    <row r="1674" spans="1:11" x14ac:dyDescent="0.2">
      <c r="A1674">
        <v>37508</v>
      </c>
      <c r="B1674">
        <v>24325</v>
      </c>
      <c r="C1674" t="s">
        <v>5316</v>
      </c>
      <c r="D1674">
        <v>10</v>
      </c>
      <c r="E1674">
        <v>12</v>
      </c>
      <c r="F1674">
        <v>0</v>
      </c>
      <c r="G1674">
        <v>0</v>
      </c>
      <c r="H1674">
        <v>132</v>
      </c>
      <c r="I1674">
        <v>0</v>
      </c>
      <c r="J1674">
        <v>1.59</v>
      </c>
      <c r="K1674">
        <v>0</v>
      </c>
    </row>
    <row r="1675" spans="1:11" x14ac:dyDescent="0.2">
      <c r="A1675">
        <v>57429</v>
      </c>
      <c r="B1675">
        <v>24334</v>
      </c>
      <c r="C1675" t="s">
        <v>5317</v>
      </c>
      <c r="D1675">
        <v>10</v>
      </c>
      <c r="E1675">
        <v>9</v>
      </c>
      <c r="F1675">
        <v>0</v>
      </c>
      <c r="G1675">
        <v>0</v>
      </c>
      <c r="H1675">
        <v>108</v>
      </c>
      <c r="I1675">
        <v>0</v>
      </c>
      <c r="J1675">
        <v>1.29</v>
      </c>
      <c r="K1675">
        <v>0</v>
      </c>
    </row>
    <row r="1676" spans="1:11" x14ac:dyDescent="0.2">
      <c r="A1676">
        <v>42504</v>
      </c>
      <c r="B1676">
        <v>24345</v>
      </c>
      <c r="C1676" t="s">
        <v>5318</v>
      </c>
      <c r="D1676">
        <v>10</v>
      </c>
      <c r="E1676">
        <v>18</v>
      </c>
      <c r="F1676">
        <v>3</v>
      </c>
      <c r="G1676">
        <v>54</v>
      </c>
      <c r="H1676">
        <v>110</v>
      </c>
      <c r="I1676">
        <v>0</v>
      </c>
      <c r="J1676">
        <v>2.29</v>
      </c>
      <c r="K1676">
        <v>123.66</v>
      </c>
    </row>
    <row r="1677" spans="1:11" x14ac:dyDescent="0.2">
      <c r="A1677">
        <v>95067</v>
      </c>
      <c r="B1677">
        <v>24458</v>
      </c>
      <c r="C1677" t="s">
        <v>5319</v>
      </c>
      <c r="D1677">
        <v>10</v>
      </c>
      <c r="E1677">
        <v>110</v>
      </c>
      <c r="F1677">
        <v>-3</v>
      </c>
      <c r="G1677">
        <v>-330</v>
      </c>
      <c r="H1677">
        <v>4</v>
      </c>
      <c r="I1677">
        <v>-0.8</v>
      </c>
      <c r="J1677">
        <v>4.99</v>
      </c>
      <c r="K1677">
        <v>-1646.7</v>
      </c>
    </row>
    <row r="1678" spans="1:11" x14ac:dyDescent="0.2">
      <c r="A1678">
        <v>47602</v>
      </c>
      <c r="B1678">
        <v>24612</v>
      </c>
      <c r="C1678" t="s">
        <v>5320</v>
      </c>
      <c r="D1678">
        <v>10</v>
      </c>
      <c r="E1678">
        <v>12</v>
      </c>
      <c r="F1678">
        <v>2</v>
      </c>
      <c r="G1678">
        <v>24</v>
      </c>
      <c r="H1678">
        <v>105</v>
      </c>
      <c r="I1678">
        <v>0</v>
      </c>
      <c r="J1678">
        <v>2.99</v>
      </c>
      <c r="K1678">
        <v>71.760000000000005</v>
      </c>
    </row>
    <row r="1679" spans="1:11" x14ac:dyDescent="0.2">
      <c r="A1679">
        <v>74019</v>
      </c>
      <c r="B1679">
        <v>24616</v>
      </c>
      <c r="C1679" t="s">
        <v>5321</v>
      </c>
      <c r="D1679">
        <v>8</v>
      </c>
      <c r="E1679">
        <v>28</v>
      </c>
      <c r="F1679">
        <v>162</v>
      </c>
      <c r="G1679">
        <v>4535</v>
      </c>
      <c r="H1679">
        <v>84</v>
      </c>
      <c r="I1679">
        <v>1.9</v>
      </c>
      <c r="J1679">
        <v>1.29</v>
      </c>
      <c r="K1679">
        <v>5850.15</v>
      </c>
    </row>
    <row r="1680" spans="1:11" x14ac:dyDescent="0.2">
      <c r="B1680">
        <v>24629</v>
      </c>
      <c r="C1680" t="s">
        <v>5322</v>
      </c>
      <c r="D1680">
        <v>11</v>
      </c>
      <c r="E1680">
        <v>20</v>
      </c>
      <c r="F1680">
        <v>0</v>
      </c>
      <c r="G1680">
        <v>0</v>
      </c>
      <c r="H1680">
        <v>96</v>
      </c>
      <c r="I1680">
        <v>0</v>
      </c>
      <c r="J1680">
        <v>0.89</v>
      </c>
      <c r="K1680">
        <v>0</v>
      </c>
    </row>
    <row r="1681" spans="1:11" x14ac:dyDescent="0.2">
      <c r="A1681">
        <v>99768</v>
      </c>
      <c r="B1681">
        <v>24686</v>
      </c>
      <c r="C1681" t="s">
        <v>5323</v>
      </c>
      <c r="D1681">
        <v>10</v>
      </c>
      <c r="E1681">
        <v>12</v>
      </c>
      <c r="F1681">
        <v>0</v>
      </c>
      <c r="G1681">
        <v>0</v>
      </c>
      <c r="H1681">
        <v>54</v>
      </c>
      <c r="I1681">
        <v>0</v>
      </c>
      <c r="J1681">
        <v>1.99</v>
      </c>
      <c r="K1681">
        <v>0</v>
      </c>
    </row>
    <row r="1682" spans="1:11" x14ac:dyDescent="0.2">
      <c r="B1682">
        <v>24717</v>
      </c>
      <c r="C1682" t="s">
        <v>5324</v>
      </c>
      <c r="D1682">
        <v>11</v>
      </c>
      <c r="E1682">
        <v>32</v>
      </c>
      <c r="F1682">
        <v>0</v>
      </c>
      <c r="G1682">
        <v>0</v>
      </c>
      <c r="H1682">
        <v>180</v>
      </c>
      <c r="I1682">
        <v>0</v>
      </c>
      <c r="J1682">
        <v>0.99</v>
      </c>
      <c r="K1682">
        <v>0</v>
      </c>
    </row>
    <row r="1683" spans="1:11" x14ac:dyDescent="0.2">
      <c r="B1683">
        <v>24890</v>
      </c>
      <c r="C1683" t="s">
        <v>5325</v>
      </c>
      <c r="D1683">
        <v>11</v>
      </c>
      <c r="E1683">
        <v>52</v>
      </c>
      <c r="F1683">
        <v>-1</v>
      </c>
      <c r="G1683">
        <v>-52</v>
      </c>
      <c r="H1683">
        <v>88</v>
      </c>
      <c r="I1683">
        <v>0</v>
      </c>
      <c r="J1683">
        <v>0.99</v>
      </c>
      <c r="K1683">
        <v>-51.48</v>
      </c>
    </row>
    <row r="1684" spans="1:11" x14ac:dyDescent="0.2">
      <c r="A1684">
        <v>39800</v>
      </c>
      <c r="B1684">
        <v>24972</v>
      </c>
      <c r="C1684" t="s">
        <v>5326</v>
      </c>
      <c r="D1684">
        <v>10</v>
      </c>
      <c r="E1684">
        <v>1</v>
      </c>
      <c r="F1684">
        <v>210</v>
      </c>
      <c r="G1684">
        <v>210</v>
      </c>
      <c r="H1684">
        <v>120</v>
      </c>
      <c r="I1684">
        <v>1.8</v>
      </c>
      <c r="J1684">
        <v>4.99</v>
      </c>
      <c r="K1684">
        <v>1047.9000000000001</v>
      </c>
    </row>
    <row r="1685" spans="1:11" x14ac:dyDescent="0.2">
      <c r="A1685">
        <v>25606</v>
      </c>
      <c r="B1685">
        <v>24982</v>
      </c>
      <c r="C1685" t="s">
        <v>5327</v>
      </c>
      <c r="D1685">
        <v>11</v>
      </c>
      <c r="E1685">
        <v>15</v>
      </c>
      <c r="F1685">
        <v>5</v>
      </c>
      <c r="G1685">
        <v>80</v>
      </c>
      <c r="H1685">
        <v>207</v>
      </c>
      <c r="I1685">
        <v>0</v>
      </c>
      <c r="J1685">
        <v>5.99</v>
      </c>
      <c r="K1685">
        <v>479.2</v>
      </c>
    </row>
    <row r="1686" spans="1:11" x14ac:dyDescent="0.2">
      <c r="A1686">
        <v>57012</v>
      </c>
      <c r="B1686">
        <v>24991</v>
      </c>
      <c r="C1686" t="s">
        <v>5328</v>
      </c>
      <c r="D1686">
        <v>11</v>
      </c>
      <c r="E1686">
        <v>30</v>
      </c>
      <c r="F1686">
        <v>0</v>
      </c>
      <c r="G1686">
        <v>0</v>
      </c>
      <c r="H1686">
        <v>108</v>
      </c>
      <c r="I1686">
        <v>0</v>
      </c>
      <c r="J1686">
        <v>0.99</v>
      </c>
      <c r="K1686">
        <v>0</v>
      </c>
    </row>
    <row r="1687" spans="1:11" x14ac:dyDescent="0.2">
      <c r="A1687">
        <v>57146</v>
      </c>
      <c r="B1687">
        <v>25127</v>
      </c>
      <c r="C1687" t="s">
        <v>5329</v>
      </c>
      <c r="D1687">
        <v>11</v>
      </c>
      <c r="E1687">
        <v>8</v>
      </c>
      <c r="F1687">
        <v>0</v>
      </c>
      <c r="G1687">
        <v>0</v>
      </c>
      <c r="H1687">
        <v>180</v>
      </c>
      <c r="I1687">
        <v>0</v>
      </c>
      <c r="J1687">
        <v>3.6</v>
      </c>
      <c r="K1687">
        <v>0</v>
      </c>
    </row>
    <row r="1688" spans="1:11" x14ac:dyDescent="0.2">
      <c r="B1688">
        <v>25204</v>
      </c>
      <c r="C1688" t="s">
        <v>5330</v>
      </c>
      <c r="D1688">
        <v>12</v>
      </c>
      <c r="E1688">
        <v>36</v>
      </c>
      <c r="F1688">
        <v>0</v>
      </c>
      <c r="G1688">
        <v>0</v>
      </c>
      <c r="H1688">
        <v>28</v>
      </c>
      <c r="I1688">
        <v>0</v>
      </c>
      <c r="J1688">
        <v>1.79</v>
      </c>
      <c r="K1688">
        <v>0</v>
      </c>
    </row>
    <row r="1689" spans="1:11" x14ac:dyDescent="0.2">
      <c r="A1689">
        <v>76070</v>
      </c>
      <c r="B1689">
        <v>25231</v>
      </c>
      <c r="C1689" t="s">
        <v>5331</v>
      </c>
      <c r="D1689">
        <v>8</v>
      </c>
      <c r="E1689">
        <v>14</v>
      </c>
      <c r="F1689">
        <v>222</v>
      </c>
      <c r="G1689">
        <v>3108</v>
      </c>
      <c r="H1689">
        <v>42</v>
      </c>
      <c r="I1689">
        <v>5.3</v>
      </c>
      <c r="J1689">
        <v>2.33</v>
      </c>
      <c r="K1689">
        <v>7241.64</v>
      </c>
    </row>
    <row r="1690" spans="1:11" x14ac:dyDescent="0.2">
      <c r="B1690">
        <v>25245</v>
      </c>
      <c r="C1690" t="s">
        <v>5332</v>
      </c>
      <c r="D1690">
        <v>12</v>
      </c>
      <c r="E1690">
        <v>54</v>
      </c>
      <c r="F1690">
        <v>0</v>
      </c>
      <c r="G1690">
        <v>0</v>
      </c>
      <c r="H1690">
        <v>72</v>
      </c>
      <c r="I1690">
        <v>0</v>
      </c>
      <c r="J1690">
        <v>1.39</v>
      </c>
      <c r="K1690">
        <v>0</v>
      </c>
    </row>
    <row r="1691" spans="1:11" x14ac:dyDescent="0.2">
      <c r="A1691">
        <v>3540</v>
      </c>
      <c r="B1691">
        <v>25383</v>
      </c>
      <c r="C1691" t="s">
        <v>5333</v>
      </c>
      <c r="D1691">
        <v>6</v>
      </c>
      <c r="E1691">
        <v>20</v>
      </c>
      <c r="F1691">
        <v>0</v>
      </c>
      <c r="G1691">
        <v>0</v>
      </c>
      <c r="H1691">
        <v>72</v>
      </c>
      <c r="I1691">
        <v>0</v>
      </c>
      <c r="J1691">
        <v>0.99</v>
      </c>
      <c r="K1691">
        <v>0</v>
      </c>
    </row>
    <row r="1692" spans="1:11" x14ac:dyDescent="0.2">
      <c r="A1692">
        <v>47603</v>
      </c>
      <c r="B1692">
        <v>25432</v>
      </c>
      <c r="C1692" t="s">
        <v>5334</v>
      </c>
      <c r="D1692">
        <v>10</v>
      </c>
      <c r="E1692">
        <v>12</v>
      </c>
      <c r="F1692">
        <v>0</v>
      </c>
      <c r="G1692">
        <v>0</v>
      </c>
      <c r="H1692">
        <v>128</v>
      </c>
      <c r="I1692">
        <v>0</v>
      </c>
      <c r="J1692">
        <v>4.49</v>
      </c>
      <c r="K1692">
        <v>0</v>
      </c>
    </row>
    <row r="1693" spans="1:11" x14ac:dyDescent="0.2">
      <c r="B1693">
        <v>25469</v>
      </c>
      <c r="C1693" t="s">
        <v>5335</v>
      </c>
      <c r="D1693">
        <v>11</v>
      </c>
      <c r="E1693">
        <v>24</v>
      </c>
      <c r="F1693">
        <v>-1</v>
      </c>
      <c r="G1693">
        <v>-24</v>
      </c>
      <c r="H1693">
        <v>95</v>
      </c>
      <c r="I1693">
        <v>0</v>
      </c>
      <c r="J1693">
        <v>0.69</v>
      </c>
      <c r="K1693">
        <v>-16.559999999999999</v>
      </c>
    </row>
    <row r="1694" spans="1:11" x14ac:dyDescent="0.2">
      <c r="A1694">
        <v>82054</v>
      </c>
      <c r="B1694">
        <v>25490</v>
      </c>
      <c r="C1694" t="s">
        <v>5336</v>
      </c>
      <c r="D1694">
        <v>8</v>
      </c>
      <c r="E1694">
        <v>12</v>
      </c>
      <c r="F1694">
        <v>82</v>
      </c>
      <c r="G1694">
        <v>984</v>
      </c>
      <c r="H1694">
        <v>72</v>
      </c>
      <c r="I1694">
        <v>1.1000000000000001</v>
      </c>
      <c r="J1694">
        <v>2.19</v>
      </c>
      <c r="K1694">
        <v>2154.96</v>
      </c>
    </row>
    <row r="1695" spans="1:11" x14ac:dyDescent="0.2">
      <c r="A1695">
        <v>73263</v>
      </c>
      <c r="B1695">
        <v>25510</v>
      </c>
      <c r="C1695" t="s">
        <v>5337</v>
      </c>
      <c r="D1695">
        <v>10</v>
      </c>
      <c r="E1695">
        <v>5</v>
      </c>
      <c r="F1695">
        <v>4</v>
      </c>
      <c r="G1695">
        <v>20</v>
      </c>
      <c r="H1695">
        <v>75</v>
      </c>
      <c r="I1695">
        <v>0.1</v>
      </c>
      <c r="J1695">
        <v>7.99</v>
      </c>
      <c r="K1695">
        <v>159.80000000000001</v>
      </c>
    </row>
    <row r="1696" spans="1:11" x14ac:dyDescent="0.2">
      <c r="A1696">
        <v>99030</v>
      </c>
      <c r="B1696">
        <v>25765</v>
      </c>
      <c r="C1696" t="s">
        <v>5338</v>
      </c>
      <c r="D1696">
        <v>10</v>
      </c>
      <c r="E1696">
        <v>7</v>
      </c>
      <c r="F1696">
        <v>0</v>
      </c>
      <c r="G1696">
        <v>0</v>
      </c>
      <c r="H1696">
        <v>84</v>
      </c>
      <c r="I1696">
        <v>0</v>
      </c>
      <c r="J1696">
        <v>1.99</v>
      </c>
      <c r="K1696">
        <v>0</v>
      </c>
    </row>
    <row r="1697" spans="1:11" x14ac:dyDescent="0.2">
      <c r="A1697">
        <v>99093</v>
      </c>
      <c r="B1697">
        <v>25772</v>
      </c>
      <c r="C1697" t="s">
        <v>5339</v>
      </c>
      <c r="D1697">
        <v>10</v>
      </c>
      <c r="E1697">
        <v>7</v>
      </c>
      <c r="F1697">
        <v>0</v>
      </c>
      <c r="G1697">
        <v>0</v>
      </c>
      <c r="H1697">
        <v>84</v>
      </c>
      <c r="I1697">
        <v>0</v>
      </c>
      <c r="J1697">
        <v>1.99</v>
      </c>
      <c r="K1697">
        <v>0</v>
      </c>
    </row>
    <row r="1698" spans="1:11" x14ac:dyDescent="0.2">
      <c r="A1698">
        <v>99095</v>
      </c>
      <c r="B1698">
        <v>25790</v>
      </c>
      <c r="C1698" t="s">
        <v>5340</v>
      </c>
      <c r="D1698">
        <v>10</v>
      </c>
      <c r="E1698">
        <v>7</v>
      </c>
      <c r="F1698">
        <v>0</v>
      </c>
      <c r="G1698">
        <v>0</v>
      </c>
      <c r="H1698">
        <v>84</v>
      </c>
      <c r="I1698">
        <v>0</v>
      </c>
      <c r="J1698">
        <v>1.99</v>
      </c>
      <c r="K1698">
        <v>0</v>
      </c>
    </row>
    <row r="1699" spans="1:11" x14ac:dyDescent="0.2">
      <c r="A1699">
        <v>81197</v>
      </c>
      <c r="B1699">
        <v>25808</v>
      </c>
      <c r="C1699" t="s">
        <v>5341</v>
      </c>
      <c r="D1699">
        <v>8</v>
      </c>
      <c r="E1699">
        <v>30</v>
      </c>
      <c r="F1699">
        <v>167</v>
      </c>
      <c r="G1699">
        <v>5010</v>
      </c>
      <c r="H1699">
        <v>64</v>
      </c>
      <c r="I1699">
        <v>2.6</v>
      </c>
      <c r="J1699">
        <v>1.89</v>
      </c>
      <c r="K1699">
        <v>9468.9</v>
      </c>
    </row>
    <row r="1700" spans="1:11" x14ac:dyDescent="0.2">
      <c r="A1700">
        <v>99062</v>
      </c>
      <c r="B1700">
        <v>26134</v>
      </c>
      <c r="C1700" t="s">
        <v>5342</v>
      </c>
      <c r="D1700">
        <v>10</v>
      </c>
      <c r="E1700">
        <v>12</v>
      </c>
      <c r="F1700">
        <v>0</v>
      </c>
      <c r="G1700">
        <v>0</v>
      </c>
      <c r="H1700">
        <v>40</v>
      </c>
      <c r="I1700">
        <v>0</v>
      </c>
      <c r="J1700">
        <v>1.99</v>
      </c>
      <c r="K1700">
        <v>0</v>
      </c>
    </row>
    <row r="1701" spans="1:11" x14ac:dyDescent="0.2">
      <c r="A1701">
        <v>48502</v>
      </c>
      <c r="B1701">
        <v>26227</v>
      </c>
      <c r="C1701" t="s">
        <v>5343</v>
      </c>
      <c r="D1701">
        <v>10</v>
      </c>
      <c r="E1701">
        <v>10</v>
      </c>
      <c r="F1701">
        <v>2</v>
      </c>
      <c r="G1701">
        <v>20</v>
      </c>
      <c r="H1701">
        <v>168</v>
      </c>
      <c r="I1701">
        <v>0</v>
      </c>
      <c r="J1701">
        <v>2.09</v>
      </c>
      <c r="K1701">
        <v>41.8</v>
      </c>
    </row>
    <row r="1702" spans="1:11" x14ac:dyDescent="0.2">
      <c r="A1702">
        <v>57664</v>
      </c>
      <c r="B1702">
        <v>26238</v>
      </c>
      <c r="C1702" t="s">
        <v>5344</v>
      </c>
      <c r="D1702">
        <v>10</v>
      </c>
      <c r="E1702">
        <v>12</v>
      </c>
      <c r="F1702">
        <v>8</v>
      </c>
      <c r="G1702">
        <v>95</v>
      </c>
      <c r="H1702">
        <v>76</v>
      </c>
      <c r="I1702">
        <v>0.1</v>
      </c>
      <c r="J1702">
        <v>0.79</v>
      </c>
      <c r="K1702">
        <v>75.05</v>
      </c>
    </row>
    <row r="1703" spans="1:11" x14ac:dyDescent="0.2">
      <c r="A1703">
        <v>81204</v>
      </c>
      <c r="B1703">
        <v>26527</v>
      </c>
      <c r="C1703" t="s">
        <v>5345</v>
      </c>
      <c r="D1703">
        <v>8</v>
      </c>
      <c r="E1703">
        <v>30</v>
      </c>
      <c r="F1703">
        <v>57</v>
      </c>
      <c r="G1703">
        <v>1710</v>
      </c>
      <c r="H1703">
        <v>64</v>
      </c>
      <c r="I1703">
        <v>0.9</v>
      </c>
      <c r="J1703">
        <v>1.79</v>
      </c>
      <c r="K1703">
        <v>3060.9</v>
      </c>
    </row>
    <row r="1704" spans="1:11" x14ac:dyDescent="0.2">
      <c r="B1704">
        <v>26572</v>
      </c>
      <c r="C1704" t="s">
        <v>5346</v>
      </c>
      <c r="D1704">
        <v>11</v>
      </c>
      <c r="E1704">
        <v>5</v>
      </c>
      <c r="F1704">
        <v>0</v>
      </c>
      <c r="G1704">
        <v>0</v>
      </c>
      <c r="H1704">
        <v>120</v>
      </c>
      <c r="I1704">
        <v>0</v>
      </c>
      <c r="J1704">
        <v>17.989999999999998</v>
      </c>
      <c r="K1704">
        <v>0</v>
      </c>
    </row>
    <row r="1705" spans="1:11" x14ac:dyDescent="0.2">
      <c r="A1705">
        <v>72087</v>
      </c>
      <c r="B1705">
        <v>26704</v>
      </c>
      <c r="C1705" t="s">
        <v>5347</v>
      </c>
      <c r="D1705">
        <v>8</v>
      </c>
      <c r="E1705">
        <v>18</v>
      </c>
      <c r="F1705">
        <v>1017</v>
      </c>
      <c r="G1705">
        <v>18306</v>
      </c>
      <c r="H1705">
        <v>64</v>
      </c>
      <c r="I1705">
        <v>15.9</v>
      </c>
      <c r="J1705">
        <v>3.19</v>
      </c>
      <c r="K1705">
        <v>58396.14</v>
      </c>
    </row>
    <row r="1706" spans="1:11" x14ac:dyDescent="0.2">
      <c r="B1706">
        <v>26793</v>
      </c>
      <c r="C1706" t="s">
        <v>5348</v>
      </c>
      <c r="D1706">
        <v>6</v>
      </c>
      <c r="E1706">
        <v>10</v>
      </c>
      <c r="F1706">
        <v>616</v>
      </c>
      <c r="G1706">
        <v>6160</v>
      </c>
      <c r="H1706">
        <v>56</v>
      </c>
      <c r="I1706">
        <v>11</v>
      </c>
      <c r="J1706">
        <v>0.99</v>
      </c>
      <c r="K1706">
        <v>6098.4</v>
      </c>
    </row>
    <row r="1707" spans="1:11" x14ac:dyDescent="0.2">
      <c r="A1707">
        <v>82038</v>
      </c>
      <c r="B1707">
        <v>26804</v>
      </c>
      <c r="C1707" t="s">
        <v>5349</v>
      </c>
      <c r="D1707">
        <v>8</v>
      </c>
      <c r="E1707">
        <v>16</v>
      </c>
      <c r="F1707">
        <v>370</v>
      </c>
      <c r="G1707">
        <v>5920</v>
      </c>
      <c r="H1707">
        <v>99</v>
      </c>
      <c r="I1707">
        <v>3.7</v>
      </c>
      <c r="J1707">
        <v>0.99</v>
      </c>
      <c r="K1707">
        <v>5860.8</v>
      </c>
    </row>
    <row r="1708" spans="1:11" x14ac:dyDescent="0.2">
      <c r="A1708">
        <v>61204</v>
      </c>
      <c r="B1708">
        <v>27283</v>
      </c>
      <c r="C1708" t="s">
        <v>5350</v>
      </c>
      <c r="D1708">
        <v>8</v>
      </c>
      <c r="E1708">
        <v>6</v>
      </c>
      <c r="F1708">
        <v>509</v>
      </c>
      <c r="G1708">
        <v>3054</v>
      </c>
      <c r="H1708">
        <v>125</v>
      </c>
      <c r="I1708">
        <v>4.0999999999999996</v>
      </c>
      <c r="J1708">
        <v>4.29</v>
      </c>
      <c r="K1708">
        <v>13101.66</v>
      </c>
    </row>
    <row r="1709" spans="1:11" x14ac:dyDescent="0.2">
      <c r="A1709">
        <v>99252</v>
      </c>
      <c r="B1709">
        <v>27313</v>
      </c>
      <c r="C1709" t="s">
        <v>5351</v>
      </c>
      <c r="D1709">
        <v>10</v>
      </c>
      <c r="E1709">
        <v>10</v>
      </c>
      <c r="F1709">
        <v>0</v>
      </c>
      <c r="G1709">
        <v>0</v>
      </c>
      <c r="H1709">
        <v>72</v>
      </c>
      <c r="I1709">
        <v>0</v>
      </c>
      <c r="J1709">
        <v>2.99</v>
      </c>
      <c r="K1709">
        <v>0</v>
      </c>
    </row>
    <row r="1710" spans="1:11" x14ac:dyDescent="0.2">
      <c r="A1710">
        <v>42620</v>
      </c>
      <c r="B1710">
        <v>27315</v>
      </c>
      <c r="C1710" t="s">
        <v>5352</v>
      </c>
      <c r="D1710">
        <v>10</v>
      </c>
      <c r="E1710">
        <v>6</v>
      </c>
      <c r="F1710">
        <v>2</v>
      </c>
      <c r="G1710">
        <v>12</v>
      </c>
      <c r="H1710">
        <v>125</v>
      </c>
      <c r="I1710">
        <v>0</v>
      </c>
      <c r="J1710">
        <v>1</v>
      </c>
      <c r="K1710">
        <v>12</v>
      </c>
    </row>
    <row r="1711" spans="1:11" x14ac:dyDescent="0.2">
      <c r="B1711">
        <v>27325</v>
      </c>
      <c r="C1711" t="s">
        <v>5353</v>
      </c>
      <c r="D1711">
        <v>11</v>
      </c>
      <c r="E1711">
        <v>10</v>
      </c>
      <c r="F1711">
        <v>0</v>
      </c>
      <c r="G1711">
        <v>0</v>
      </c>
      <c r="H1711">
        <v>100</v>
      </c>
      <c r="I1711">
        <v>0</v>
      </c>
      <c r="J1711">
        <v>0.69</v>
      </c>
      <c r="K1711">
        <v>0</v>
      </c>
    </row>
    <row r="1712" spans="1:11" x14ac:dyDescent="0.2">
      <c r="A1712">
        <v>1341</v>
      </c>
      <c r="B1712">
        <v>27370</v>
      </c>
      <c r="C1712" t="s">
        <v>5354</v>
      </c>
      <c r="D1712">
        <v>10</v>
      </c>
      <c r="E1712">
        <v>18</v>
      </c>
      <c r="F1712">
        <v>7</v>
      </c>
      <c r="G1712">
        <v>126</v>
      </c>
      <c r="H1712">
        <v>96</v>
      </c>
      <c r="I1712">
        <v>0.1</v>
      </c>
      <c r="J1712">
        <v>2.99</v>
      </c>
      <c r="K1712">
        <v>376.74</v>
      </c>
    </row>
    <row r="1713" spans="1:11" x14ac:dyDescent="0.2">
      <c r="B1713">
        <v>27375</v>
      </c>
      <c r="C1713" t="s">
        <v>5355</v>
      </c>
      <c r="D1713">
        <v>10</v>
      </c>
      <c r="E1713">
        <v>18</v>
      </c>
      <c r="F1713">
        <v>10</v>
      </c>
      <c r="G1713">
        <v>180</v>
      </c>
      <c r="H1713">
        <v>96</v>
      </c>
      <c r="I1713">
        <v>0.1</v>
      </c>
      <c r="J1713">
        <v>3.99</v>
      </c>
      <c r="K1713">
        <v>718.2</v>
      </c>
    </row>
    <row r="1714" spans="1:11" x14ac:dyDescent="0.2">
      <c r="A1714">
        <v>37601</v>
      </c>
      <c r="B1714">
        <v>27404</v>
      </c>
      <c r="C1714" t="s">
        <v>5356</v>
      </c>
      <c r="D1714">
        <v>10</v>
      </c>
      <c r="E1714">
        <v>6</v>
      </c>
      <c r="F1714">
        <v>0</v>
      </c>
      <c r="G1714">
        <v>-1</v>
      </c>
      <c r="H1714">
        <v>108</v>
      </c>
      <c r="I1714">
        <v>0</v>
      </c>
      <c r="J1714">
        <v>12</v>
      </c>
      <c r="K1714">
        <v>-12</v>
      </c>
    </row>
    <row r="1715" spans="1:11" x14ac:dyDescent="0.2">
      <c r="A1715">
        <v>2500</v>
      </c>
      <c r="B1715">
        <v>27419</v>
      </c>
      <c r="C1715" t="s">
        <v>5357</v>
      </c>
      <c r="D1715">
        <v>6</v>
      </c>
      <c r="E1715">
        <v>20</v>
      </c>
      <c r="F1715">
        <v>0</v>
      </c>
      <c r="G1715">
        <v>0</v>
      </c>
      <c r="H1715">
        <v>128</v>
      </c>
      <c r="I1715">
        <v>0</v>
      </c>
      <c r="J1715">
        <v>0.59</v>
      </c>
      <c r="K1715">
        <v>0</v>
      </c>
    </row>
    <row r="1716" spans="1:11" x14ac:dyDescent="0.2">
      <c r="A1716">
        <v>42505</v>
      </c>
      <c r="B1716">
        <v>27500</v>
      </c>
      <c r="C1716" t="s">
        <v>5358</v>
      </c>
      <c r="D1716">
        <v>10</v>
      </c>
      <c r="E1716">
        <v>10</v>
      </c>
      <c r="F1716">
        <v>-1</v>
      </c>
      <c r="G1716">
        <v>-10</v>
      </c>
      <c r="H1716">
        <v>56</v>
      </c>
      <c r="I1716">
        <v>0</v>
      </c>
      <c r="J1716">
        <v>11.99</v>
      </c>
      <c r="K1716">
        <v>-119.9</v>
      </c>
    </row>
    <row r="1717" spans="1:11" x14ac:dyDescent="0.2">
      <c r="B1717">
        <v>27524</v>
      </c>
      <c r="C1717" t="s">
        <v>5359</v>
      </c>
      <c r="D1717">
        <v>12</v>
      </c>
      <c r="E1717">
        <v>40</v>
      </c>
      <c r="F1717">
        <v>0</v>
      </c>
      <c r="G1717">
        <v>0</v>
      </c>
      <c r="H1717">
        <v>136</v>
      </c>
      <c r="I1717">
        <v>0</v>
      </c>
      <c r="J1717">
        <v>0.89</v>
      </c>
      <c r="K1717">
        <v>0</v>
      </c>
    </row>
    <row r="1718" spans="1:11" x14ac:dyDescent="0.2">
      <c r="A1718">
        <v>89036</v>
      </c>
      <c r="B1718">
        <v>27547</v>
      </c>
      <c r="C1718" t="s">
        <v>5360</v>
      </c>
      <c r="D1718">
        <v>8</v>
      </c>
      <c r="E1718">
        <v>12</v>
      </c>
      <c r="F1718">
        <v>0</v>
      </c>
      <c r="G1718">
        <v>0</v>
      </c>
      <c r="H1718">
        <v>56</v>
      </c>
      <c r="I1718">
        <v>0</v>
      </c>
      <c r="J1718">
        <v>2.19</v>
      </c>
      <c r="K1718">
        <v>0</v>
      </c>
    </row>
    <row r="1719" spans="1:11" x14ac:dyDescent="0.2">
      <c r="A1719">
        <v>99301</v>
      </c>
      <c r="B1719">
        <v>27549</v>
      </c>
      <c r="C1719" t="s">
        <v>5361</v>
      </c>
      <c r="D1719">
        <v>6</v>
      </c>
      <c r="E1719">
        <v>12</v>
      </c>
      <c r="F1719">
        <v>0</v>
      </c>
      <c r="G1719">
        <v>0</v>
      </c>
      <c r="H1719">
        <v>56</v>
      </c>
      <c r="I1719">
        <v>0</v>
      </c>
      <c r="J1719">
        <v>2.19</v>
      </c>
      <c r="K1719">
        <v>0</v>
      </c>
    </row>
    <row r="1720" spans="1:11" x14ac:dyDescent="0.2">
      <c r="A1720">
        <v>61261</v>
      </c>
      <c r="B1720">
        <v>27601</v>
      </c>
      <c r="C1720" t="s">
        <v>5362</v>
      </c>
      <c r="D1720">
        <v>8</v>
      </c>
      <c r="E1720">
        <v>6</v>
      </c>
      <c r="F1720">
        <v>760</v>
      </c>
      <c r="G1720">
        <v>4560</v>
      </c>
      <c r="H1720">
        <v>125</v>
      </c>
      <c r="I1720">
        <v>6.1</v>
      </c>
      <c r="J1720">
        <v>2.19</v>
      </c>
      <c r="K1720">
        <v>9986.4</v>
      </c>
    </row>
    <row r="1721" spans="1:11" x14ac:dyDescent="0.2">
      <c r="B1721">
        <v>27706</v>
      </c>
      <c r="C1721" t="s">
        <v>5363</v>
      </c>
      <c r="D1721">
        <v>11</v>
      </c>
      <c r="E1721">
        <v>6</v>
      </c>
      <c r="F1721">
        <v>0</v>
      </c>
      <c r="G1721">
        <v>0</v>
      </c>
      <c r="H1721">
        <v>95</v>
      </c>
      <c r="I1721">
        <v>0</v>
      </c>
      <c r="J1721">
        <v>1.89</v>
      </c>
      <c r="K1721">
        <v>0</v>
      </c>
    </row>
    <row r="1722" spans="1:11" x14ac:dyDescent="0.2">
      <c r="A1722">
        <v>80149</v>
      </c>
      <c r="B1722">
        <v>27738</v>
      </c>
      <c r="C1722" t="s">
        <v>5364</v>
      </c>
      <c r="D1722">
        <v>8</v>
      </c>
      <c r="E1722">
        <v>12</v>
      </c>
      <c r="F1722">
        <v>429</v>
      </c>
      <c r="G1722">
        <v>5147</v>
      </c>
      <c r="H1722">
        <v>112</v>
      </c>
      <c r="I1722">
        <v>3.8</v>
      </c>
      <c r="J1722">
        <v>0.69</v>
      </c>
      <c r="K1722">
        <v>3551.43</v>
      </c>
    </row>
    <row r="1723" spans="1:11" x14ac:dyDescent="0.2">
      <c r="A1723">
        <v>61166</v>
      </c>
      <c r="B1723">
        <v>27785</v>
      </c>
      <c r="C1723" t="s">
        <v>5365</v>
      </c>
      <c r="D1723">
        <v>8</v>
      </c>
      <c r="E1723">
        <v>6</v>
      </c>
      <c r="F1723">
        <v>1331</v>
      </c>
      <c r="G1723">
        <v>7986</v>
      </c>
      <c r="H1723">
        <v>95</v>
      </c>
      <c r="I1723">
        <v>14</v>
      </c>
      <c r="J1723">
        <v>1.99</v>
      </c>
      <c r="K1723">
        <v>15892.14</v>
      </c>
    </row>
    <row r="1724" spans="1:11" x14ac:dyDescent="0.2">
      <c r="A1724">
        <v>73093</v>
      </c>
      <c r="B1724">
        <v>27806</v>
      </c>
      <c r="C1724" t="s">
        <v>5366</v>
      </c>
      <c r="D1724">
        <v>8</v>
      </c>
      <c r="E1724">
        <v>12</v>
      </c>
      <c r="F1724">
        <v>242</v>
      </c>
      <c r="G1724">
        <v>2904</v>
      </c>
      <c r="H1724">
        <v>152</v>
      </c>
      <c r="I1724">
        <v>1.6</v>
      </c>
      <c r="J1724">
        <v>3.07</v>
      </c>
      <c r="K1724">
        <v>8915.2800000000007</v>
      </c>
    </row>
    <row r="1725" spans="1:11" x14ac:dyDescent="0.2">
      <c r="A1725">
        <v>65179</v>
      </c>
      <c r="B1725">
        <v>27869</v>
      </c>
      <c r="C1725" t="s">
        <v>5367</v>
      </c>
      <c r="D1725">
        <v>8</v>
      </c>
      <c r="E1725">
        <v>30</v>
      </c>
      <c r="F1725">
        <v>268</v>
      </c>
      <c r="G1725">
        <v>8040</v>
      </c>
      <c r="H1725">
        <v>70</v>
      </c>
      <c r="I1725">
        <v>3.8</v>
      </c>
      <c r="J1725">
        <v>1.99</v>
      </c>
      <c r="K1725">
        <v>15999.6</v>
      </c>
    </row>
    <row r="1726" spans="1:11" x14ac:dyDescent="0.2">
      <c r="B1726">
        <v>27870</v>
      </c>
      <c r="C1726" t="s">
        <v>5368</v>
      </c>
      <c r="D1726">
        <v>11</v>
      </c>
      <c r="E1726">
        <v>30</v>
      </c>
      <c r="F1726">
        <v>0</v>
      </c>
      <c r="G1726">
        <v>0</v>
      </c>
      <c r="H1726">
        <v>70</v>
      </c>
      <c r="I1726">
        <v>0</v>
      </c>
      <c r="J1726">
        <v>1.39</v>
      </c>
      <c r="K1726">
        <v>0</v>
      </c>
    </row>
    <row r="1727" spans="1:11" x14ac:dyDescent="0.2">
      <c r="A1727">
        <v>65188</v>
      </c>
      <c r="B1727">
        <v>27878</v>
      </c>
      <c r="C1727" t="s">
        <v>5369</v>
      </c>
      <c r="D1727">
        <v>8</v>
      </c>
      <c r="E1727">
        <v>50</v>
      </c>
      <c r="F1727">
        <v>630</v>
      </c>
      <c r="G1727">
        <v>31500</v>
      </c>
      <c r="H1727">
        <v>110</v>
      </c>
      <c r="I1727">
        <v>5.7</v>
      </c>
      <c r="J1727">
        <v>0.71</v>
      </c>
      <c r="K1727">
        <v>22365</v>
      </c>
    </row>
    <row r="1728" spans="1:11" x14ac:dyDescent="0.2">
      <c r="A1728">
        <v>99225</v>
      </c>
      <c r="B1728">
        <v>27917</v>
      </c>
      <c r="C1728" t="s">
        <v>5370</v>
      </c>
      <c r="D1728">
        <v>10</v>
      </c>
      <c r="E1728">
        <v>12</v>
      </c>
      <c r="F1728">
        <v>0</v>
      </c>
      <c r="G1728">
        <v>0</v>
      </c>
      <c r="H1728">
        <v>49</v>
      </c>
      <c r="I1728">
        <v>0</v>
      </c>
      <c r="J1728">
        <v>2.7</v>
      </c>
      <c r="K1728">
        <v>0</v>
      </c>
    </row>
    <row r="1729" spans="1:11" x14ac:dyDescent="0.2">
      <c r="A1729">
        <v>86023</v>
      </c>
      <c r="B1729">
        <v>27983</v>
      </c>
      <c r="C1729" t="s">
        <v>5371</v>
      </c>
      <c r="D1729">
        <v>8</v>
      </c>
      <c r="E1729">
        <v>25</v>
      </c>
      <c r="F1729">
        <v>0</v>
      </c>
      <c r="G1729">
        <v>0</v>
      </c>
      <c r="H1729">
        <v>28</v>
      </c>
      <c r="I1729">
        <v>0</v>
      </c>
      <c r="J1729">
        <v>0.69</v>
      </c>
      <c r="K1729">
        <v>0</v>
      </c>
    </row>
    <row r="1730" spans="1:11" x14ac:dyDescent="0.2">
      <c r="A1730">
        <v>86001</v>
      </c>
      <c r="B1730">
        <v>27984</v>
      </c>
      <c r="C1730" t="s">
        <v>5372</v>
      </c>
      <c r="D1730">
        <v>8</v>
      </c>
      <c r="E1730">
        <v>30</v>
      </c>
      <c r="F1730">
        <v>0</v>
      </c>
      <c r="G1730">
        <v>0</v>
      </c>
      <c r="H1730">
        <v>28</v>
      </c>
      <c r="I1730">
        <v>0</v>
      </c>
      <c r="J1730">
        <v>0.35</v>
      </c>
      <c r="K1730">
        <v>0</v>
      </c>
    </row>
    <row r="1731" spans="1:11" x14ac:dyDescent="0.2">
      <c r="A1731">
        <v>66025</v>
      </c>
      <c r="B1731">
        <v>28002</v>
      </c>
      <c r="C1731" t="s">
        <v>5373</v>
      </c>
      <c r="D1731">
        <v>8</v>
      </c>
      <c r="E1731">
        <v>12</v>
      </c>
      <c r="F1731">
        <v>199</v>
      </c>
      <c r="G1731">
        <v>2388</v>
      </c>
      <c r="H1731">
        <v>156</v>
      </c>
      <c r="I1731">
        <v>1.3</v>
      </c>
      <c r="J1731">
        <v>0.99</v>
      </c>
      <c r="K1731">
        <v>2364.12</v>
      </c>
    </row>
    <row r="1732" spans="1:11" x14ac:dyDescent="0.2">
      <c r="A1732">
        <v>95118</v>
      </c>
      <c r="B1732">
        <v>28080</v>
      </c>
      <c r="C1732" t="s">
        <v>5374</v>
      </c>
      <c r="D1732">
        <v>10</v>
      </c>
      <c r="E1732">
        <v>8</v>
      </c>
      <c r="F1732">
        <v>18</v>
      </c>
      <c r="G1732">
        <v>144</v>
      </c>
      <c r="H1732">
        <v>12</v>
      </c>
      <c r="I1732">
        <v>1.5</v>
      </c>
      <c r="J1732">
        <v>6.25</v>
      </c>
      <c r="K1732">
        <v>900</v>
      </c>
    </row>
    <row r="1733" spans="1:11" x14ac:dyDescent="0.2">
      <c r="A1733">
        <v>95004</v>
      </c>
      <c r="B1733">
        <v>28081</v>
      </c>
      <c r="C1733" t="s">
        <v>5375</v>
      </c>
      <c r="D1733">
        <v>10</v>
      </c>
      <c r="E1733">
        <v>192</v>
      </c>
      <c r="F1733">
        <v>3</v>
      </c>
      <c r="G1733">
        <v>576</v>
      </c>
      <c r="H1733">
        <v>1</v>
      </c>
      <c r="I1733">
        <v>3</v>
      </c>
      <c r="J1733">
        <v>4.29</v>
      </c>
      <c r="K1733">
        <v>2471.04</v>
      </c>
    </row>
    <row r="1734" spans="1:11" x14ac:dyDescent="0.2">
      <c r="A1734">
        <v>4631</v>
      </c>
      <c r="B1734">
        <v>28093</v>
      </c>
      <c r="C1734" t="s">
        <v>5376</v>
      </c>
      <c r="D1734">
        <v>6</v>
      </c>
      <c r="E1734">
        <v>4</v>
      </c>
      <c r="F1734">
        <v>8</v>
      </c>
      <c r="G1734">
        <v>30</v>
      </c>
      <c r="H1734">
        <v>56</v>
      </c>
      <c r="I1734">
        <v>0.1</v>
      </c>
      <c r="J1734">
        <v>5.49</v>
      </c>
      <c r="K1734">
        <v>164.7</v>
      </c>
    </row>
    <row r="1735" spans="1:11" x14ac:dyDescent="0.2">
      <c r="A1735">
        <v>74260</v>
      </c>
      <c r="B1735">
        <v>28124</v>
      </c>
      <c r="C1735" t="s">
        <v>5377</v>
      </c>
      <c r="D1735">
        <v>8</v>
      </c>
      <c r="E1735">
        <v>36</v>
      </c>
      <c r="F1735">
        <v>152</v>
      </c>
      <c r="G1735">
        <v>5480</v>
      </c>
      <c r="H1735">
        <v>90</v>
      </c>
      <c r="I1735">
        <v>1.7</v>
      </c>
      <c r="J1735">
        <v>1.19</v>
      </c>
      <c r="K1735">
        <v>6521.2</v>
      </c>
    </row>
    <row r="1736" spans="1:11" x14ac:dyDescent="0.2">
      <c r="A1736">
        <v>81221</v>
      </c>
      <c r="B1736">
        <v>28212</v>
      </c>
      <c r="C1736" t="s">
        <v>5378</v>
      </c>
      <c r="D1736">
        <v>8</v>
      </c>
      <c r="E1736">
        <v>12</v>
      </c>
      <c r="F1736">
        <v>364</v>
      </c>
      <c r="G1736">
        <v>4368</v>
      </c>
      <c r="H1736">
        <v>150</v>
      </c>
      <c r="I1736">
        <v>2.4</v>
      </c>
      <c r="J1736">
        <v>1.29</v>
      </c>
      <c r="K1736">
        <v>5634.72</v>
      </c>
    </row>
    <row r="1737" spans="1:11" x14ac:dyDescent="0.2">
      <c r="A1737">
        <v>4632</v>
      </c>
      <c r="B1737">
        <v>28242</v>
      </c>
      <c r="C1737" t="s">
        <v>5379</v>
      </c>
      <c r="D1737">
        <v>6</v>
      </c>
      <c r="E1737">
        <v>4</v>
      </c>
      <c r="F1737">
        <v>0</v>
      </c>
      <c r="G1737">
        <v>0</v>
      </c>
      <c r="H1737">
        <v>84</v>
      </c>
      <c r="I1737">
        <v>0</v>
      </c>
      <c r="J1737">
        <v>3.99</v>
      </c>
      <c r="K1737">
        <v>0</v>
      </c>
    </row>
    <row r="1738" spans="1:11" x14ac:dyDescent="0.2">
      <c r="B1738">
        <v>28261</v>
      </c>
      <c r="C1738" t="s">
        <v>5380</v>
      </c>
      <c r="D1738">
        <v>11</v>
      </c>
      <c r="E1738">
        <v>12</v>
      </c>
      <c r="F1738">
        <v>0</v>
      </c>
      <c r="G1738">
        <v>0</v>
      </c>
      <c r="H1738">
        <v>72</v>
      </c>
      <c r="I1738">
        <v>0</v>
      </c>
      <c r="J1738">
        <v>1.69</v>
      </c>
      <c r="K1738">
        <v>0</v>
      </c>
    </row>
    <row r="1739" spans="1:11" x14ac:dyDescent="0.2">
      <c r="A1739">
        <v>32501</v>
      </c>
      <c r="B1739">
        <v>28264</v>
      </c>
      <c r="C1739" t="s">
        <v>5381</v>
      </c>
      <c r="D1739">
        <v>10</v>
      </c>
      <c r="E1739">
        <v>8</v>
      </c>
      <c r="F1739">
        <v>0</v>
      </c>
      <c r="G1739">
        <v>0</v>
      </c>
      <c r="H1739">
        <v>108</v>
      </c>
      <c r="I1739">
        <v>0</v>
      </c>
      <c r="J1739">
        <v>0.89</v>
      </c>
      <c r="K1739">
        <v>0</v>
      </c>
    </row>
    <row r="1740" spans="1:11" x14ac:dyDescent="0.2">
      <c r="A1740">
        <v>43614</v>
      </c>
      <c r="B1740">
        <v>28335</v>
      </c>
      <c r="C1740" t="s">
        <v>5382</v>
      </c>
      <c r="D1740">
        <v>10</v>
      </c>
      <c r="E1740">
        <v>16</v>
      </c>
      <c r="F1740">
        <v>2</v>
      </c>
      <c r="G1740">
        <v>32</v>
      </c>
      <c r="H1740">
        <v>102</v>
      </c>
      <c r="I1740">
        <v>0</v>
      </c>
      <c r="J1740">
        <v>1.39</v>
      </c>
      <c r="K1740">
        <v>44.48</v>
      </c>
    </row>
    <row r="1741" spans="1:11" x14ac:dyDescent="0.2">
      <c r="A1741">
        <v>66254</v>
      </c>
      <c r="B1741">
        <v>28359</v>
      </c>
      <c r="C1741" t="s">
        <v>5383</v>
      </c>
      <c r="D1741">
        <v>8</v>
      </c>
      <c r="E1741">
        <v>12</v>
      </c>
      <c r="F1741">
        <v>597</v>
      </c>
      <c r="G1741">
        <v>7160</v>
      </c>
      <c r="H1741">
        <v>48</v>
      </c>
      <c r="I1741">
        <v>12.4</v>
      </c>
      <c r="J1741">
        <v>0.69</v>
      </c>
      <c r="K1741">
        <v>4940.3999999999996</v>
      </c>
    </row>
    <row r="1742" spans="1:11" x14ac:dyDescent="0.2">
      <c r="A1742">
        <v>66153</v>
      </c>
      <c r="B1742">
        <v>28360</v>
      </c>
      <c r="C1742" t="s">
        <v>5384</v>
      </c>
      <c r="D1742">
        <v>8</v>
      </c>
      <c r="E1742">
        <v>12</v>
      </c>
      <c r="F1742">
        <v>405</v>
      </c>
      <c r="G1742">
        <v>4860</v>
      </c>
      <c r="H1742">
        <v>48</v>
      </c>
      <c r="I1742">
        <v>8.4</v>
      </c>
      <c r="J1742">
        <v>0.69</v>
      </c>
      <c r="K1742">
        <v>3353.4</v>
      </c>
    </row>
    <row r="1743" spans="1:11" x14ac:dyDescent="0.2">
      <c r="A1743">
        <v>99995</v>
      </c>
      <c r="B1743">
        <v>28371</v>
      </c>
      <c r="C1743" t="s">
        <v>5385</v>
      </c>
      <c r="D1743">
        <v>10</v>
      </c>
      <c r="E1743">
        <v>10</v>
      </c>
      <c r="F1743">
        <v>0</v>
      </c>
      <c r="G1743">
        <v>0</v>
      </c>
      <c r="H1743">
        <v>72</v>
      </c>
      <c r="I1743">
        <v>0</v>
      </c>
      <c r="J1743">
        <v>6.99</v>
      </c>
      <c r="K1743">
        <v>0</v>
      </c>
    </row>
    <row r="1744" spans="1:11" x14ac:dyDescent="0.2">
      <c r="A1744">
        <v>24402</v>
      </c>
      <c r="B1744">
        <v>28402</v>
      </c>
      <c r="C1744" t="s">
        <v>5386</v>
      </c>
      <c r="D1744">
        <v>10</v>
      </c>
      <c r="E1744">
        <v>6</v>
      </c>
      <c r="F1744">
        <v>0</v>
      </c>
      <c r="G1744">
        <v>0</v>
      </c>
      <c r="H1744">
        <v>8</v>
      </c>
      <c r="I1744">
        <v>0</v>
      </c>
      <c r="J1744">
        <v>9.99</v>
      </c>
      <c r="K1744">
        <v>0</v>
      </c>
    </row>
    <row r="1745" spans="1:11" x14ac:dyDescent="0.2">
      <c r="A1745">
        <v>71243</v>
      </c>
      <c r="B1745">
        <v>28457</v>
      </c>
      <c r="C1745" t="s">
        <v>5387</v>
      </c>
      <c r="D1745">
        <v>8</v>
      </c>
      <c r="E1745">
        <v>8</v>
      </c>
      <c r="F1745">
        <v>943</v>
      </c>
      <c r="G1745">
        <v>7543</v>
      </c>
      <c r="H1745">
        <v>100</v>
      </c>
      <c r="I1745">
        <v>9.4</v>
      </c>
      <c r="J1745">
        <v>1.59</v>
      </c>
      <c r="K1745">
        <v>11993.37</v>
      </c>
    </row>
    <row r="1746" spans="1:11" x14ac:dyDescent="0.2">
      <c r="A1746">
        <v>71226</v>
      </c>
      <c r="B1746">
        <v>28467</v>
      </c>
      <c r="C1746" t="s">
        <v>5388</v>
      </c>
      <c r="D1746">
        <v>8</v>
      </c>
      <c r="E1746">
        <v>6</v>
      </c>
      <c r="F1746">
        <v>546</v>
      </c>
      <c r="G1746">
        <v>3273</v>
      </c>
      <c r="H1746">
        <v>84</v>
      </c>
      <c r="I1746">
        <v>6.5</v>
      </c>
      <c r="J1746">
        <v>1.65</v>
      </c>
      <c r="K1746">
        <v>5400.45</v>
      </c>
    </row>
    <row r="1747" spans="1:11" x14ac:dyDescent="0.2">
      <c r="A1747">
        <v>72102</v>
      </c>
      <c r="B1747">
        <v>28484</v>
      </c>
      <c r="C1747" t="s">
        <v>5389</v>
      </c>
      <c r="D1747">
        <v>8</v>
      </c>
      <c r="E1747">
        <v>25</v>
      </c>
      <c r="F1747">
        <v>115</v>
      </c>
      <c r="G1747">
        <v>2873</v>
      </c>
      <c r="H1747">
        <v>100</v>
      </c>
      <c r="I1747">
        <v>1.1000000000000001</v>
      </c>
      <c r="J1747">
        <v>2.4500000000000002</v>
      </c>
      <c r="K1747">
        <v>7038.85</v>
      </c>
    </row>
    <row r="1748" spans="1:11" x14ac:dyDescent="0.2">
      <c r="B1748">
        <v>28485</v>
      </c>
      <c r="C1748" t="s">
        <v>5390</v>
      </c>
      <c r="D1748">
        <v>12</v>
      </c>
      <c r="E1748">
        <v>25</v>
      </c>
      <c r="F1748">
        <v>-2</v>
      </c>
      <c r="G1748">
        <v>-50</v>
      </c>
      <c r="H1748">
        <v>90</v>
      </c>
      <c r="I1748">
        <v>0</v>
      </c>
      <c r="J1748">
        <v>1.19</v>
      </c>
      <c r="K1748">
        <v>-59.5</v>
      </c>
    </row>
    <row r="1749" spans="1:11" x14ac:dyDescent="0.2">
      <c r="A1749">
        <v>66072</v>
      </c>
      <c r="B1749">
        <v>28485</v>
      </c>
      <c r="C1749" t="s">
        <v>5390</v>
      </c>
      <c r="D1749">
        <v>8</v>
      </c>
      <c r="E1749">
        <v>28</v>
      </c>
      <c r="F1749">
        <v>240</v>
      </c>
      <c r="G1749">
        <v>6719</v>
      </c>
      <c r="H1749">
        <v>90</v>
      </c>
      <c r="I1749">
        <v>2.7</v>
      </c>
      <c r="J1749">
        <v>1.19</v>
      </c>
      <c r="K1749">
        <v>7995.61</v>
      </c>
    </row>
    <row r="1750" spans="1:11" x14ac:dyDescent="0.2">
      <c r="A1750">
        <v>66069</v>
      </c>
      <c r="B1750">
        <v>28488</v>
      </c>
      <c r="C1750" t="s">
        <v>5391</v>
      </c>
      <c r="D1750">
        <v>8</v>
      </c>
      <c r="E1750">
        <v>24</v>
      </c>
      <c r="F1750">
        <v>70</v>
      </c>
      <c r="G1750">
        <v>1680</v>
      </c>
      <c r="H1750">
        <v>120</v>
      </c>
      <c r="I1750">
        <v>0.6</v>
      </c>
      <c r="J1750">
        <v>2.4500000000000002</v>
      </c>
      <c r="K1750">
        <v>4116</v>
      </c>
    </row>
    <row r="1751" spans="1:11" x14ac:dyDescent="0.2">
      <c r="A1751">
        <v>66074</v>
      </c>
      <c r="B1751">
        <v>28489</v>
      </c>
      <c r="C1751" t="s">
        <v>5392</v>
      </c>
      <c r="D1751">
        <v>8</v>
      </c>
      <c r="E1751">
        <v>25</v>
      </c>
      <c r="F1751">
        <v>668</v>
      </c>
      <c r="G1751">
        <v>16700</v>
      </c>
      <c r="H1751">
        <v>120</v>
      </c>
      <c r="I1751">
        <v>5.6</v>
      </c>
      <c r="J1751">
        <v>2.39</v>
      </c>
      <c r="K1751">
        <v>39913</v>
      </c>
    </row>
    <row r="1752" spans="1:11" x14ac:dyDescent="0.2">
      <c r="A1752">
        <v>57665</v>
      </c>
      <c r="B1752">
        <v>28555</v>
      </c>
      <c r="C1752" t="s">
        <v>5393</v>
      </c>
      <c r="D1752">
        <v>10</v>
      </c>
      <c r="E1752">
        <v>18</v>
      </c>
      <c r="F1752">
        <v>11</v>
      </c>
      <c r="G1752">
        <v>203</v>
      </c>
      <c r="H1752">
        <v>54</v>
      </c>
      <c r="I1752">
        <v>0.2</v>
      </c>
      <c r="J1752">
        <v>0.99</v>
      </c>
      <c r="K1752">
        <v>200.97</v>
      </c>
    </row>
    <row r="1753" spans="1:11" x14ac:dyDescent="0.2">
      <c r="A1753">
        <v>65164</v>
      </c>
      <c r="B1753">
        <v>28679</v>
      </c>
      <c r="C1753" t="s">
        <v>5394</v>
      </c>
      <c r="D1753">
        <v>8</v>
      </c>
      <c r="E1753">
        <v>48</v>
      </c>
      <c r="F1753">
        <v>763</v>
      </c>
      <c r="G1753">
        <v>36624</v>
      </c>
      <c r="H1753">
        <v>72</v>
      </c>
      <c r="I1753">
        <v>10.6</v>
      </c>
      <c r="J1753">
        <v>1.25</v>
      </c>
      <c r="K1753">
        <v>45780</v>
      </c>
    </row>
    <row r="1754" spans="1:11" x14ac:dyDescent="0.2">
      <c r="A1754">
        <v>65171</v>
      </c>
      <c r="B1754">
        <v>28682</v>
      </c>
      <c r="C1754" t="s">
        <v>5395</v>
      </c>
      <c r="D1754">
        <v>8</v>
      </c>
      <c r="E1754">
        <v>48</v>
      </c>
      <c r="F1754">
        <v>634</v>
      </c>
      <c r="G1754">
        <v>30432</v>
      </c>
      <c r="H1754">
        <v>72</v>
      </c>
      <c r="I1754">
        <v>8.8000000000000007</v>
      </c>
      <c r="J1754">
        <v>1.45</v>
      </c>
      <c r="K1754">
        <v>44126.400000000001</v>
      </c>
    </row>
    <row r="1755" spans="1:11" x14ac:dyDescent="0.2">
      <c r="A1755">
        <v>65181</v>
      </c>
      <c r="B1755">
        <v>28704</v>
      </c>
      <c r="C1755" t="s">
        <v>5396</v>
      </c>
      <c r="D1755">
        <v>9</v>
      </c>
      <c r="E1755">
        <v>24</v>
      </c>
      <c r="F1755">
        <v>89</v>
      </c>
      <c r="G1755">
        <v>2136</v>
      </c>
      <c r="H1755">
        <v>135</v>
      </c>
      <c r="I1755">
        <v>0.7</v>
      </c>
      <c r="J1755">
        <v>2.29</v>
      </c>
      <c r="K1755">
        <v>4891.4399999999996</v>
      </c>
    </row>
    <row r="1756" spans="1:11" x14ac:dyDescent="0.2">
      <c r="A1756">
        <v>37509</v>
      </c>
      <c r="B1756">
        <v>28772</v>
      </c>
      <c r="C1756" t="s">
        <v>5397</v>
      </c>
      <c r="D1756">
        <v>10</v>
      </c>
      <c r="E1756">
        <v>12</v>
      </c>
      <c r="F1756">
        <v>0</v>
      </c>
      <c r="G1756">
        <v>0</v>
      </c>
      <c r="H1756">
        <v>56</v>
      </c>
      <c r="I1756">
        <v>0</v>
      </c>
      <c r="J1756">
        <v>1.99</v>
      </c>
      <c r="K1756">
        <v>0</v>
      </c>
    </row>
    <row r="1757" spans="1:11" x14ac:dyDescent="0.2">
      <c r="A1757">
        <v>80157</v>
      </c>
      <c r="B1757">
        <v>28784</v>
      </c>
      <c r="C1757" t="s">
        <v>5398</v>
      </c>
      <c r="D1757">
        <v>8</v>
      </c>
      <c r="E1757">
        <v>12</v>
      </c>
      <c r="F1757">
        <v>472</v>
      </c>
      <c r="G1757">
        <v>5664</v>
      </c>
      <c r="H1757">
        <v>112</v>
      </c>
      <c r="I1757">
        <v>4.2</v>
      </c>
      <c r="J1757">
        <v>0.69</v>
      </c>
      <c r="K1757">
        <v>3908.16</v>
      </c>
    </row>
    <row r="1758" spans="1:11" x14ac:dyDescent="0.2">
      <c r="A1758">
        <v>80168</v>
      </c>
      <c r="B1758">
        <v>28785</v>
      </c>
      <c r="C1758" t="s">
        <v>5399</v>
      </c>
      <c r="D1758">
        <v>8</v>
      </c>
      <c r="E1758">
        <v>12</v>
      </c>
      <c r="F1758">
        <v>471</v>
      </c>
      <c r="G1758">
        <v>5652</v>
      </c>
      <c r="H1758">
        <v>112</v>
      </c>
      <c r="I1758">
        <v>4.2</v>
      </c>
      <c r="J1758">
        <v>0.69</v>
      </c>
      <c r="K1758">
        <v>3899.88</v>
      </c>
    </row>
    <row r="1759" spans="1:11" x14ac:dyDescent="0.2">
      <c r="A1759">
        <v>91012</v>
      </c>
      <c r="B1759">
        <v>28810</v>
      </c>
      <c r="C1759" t="s">
        <v>5400</v>
      </c>
      <c r="D1759">
        <v>8</v>
      </c>
      <c r="E1759">
        <v>1</v>
      </c>
      <c r="F1759">
        <v>1248</v>
      </c>
      <c r="G1759">
        <v>1248</v>
      </c>
      <c r="H1759">
        <v>72</v>
      </c>
      <c r="I1759">
        <v>17.3</v>
      </c>
      <c r="J1759">
        <v>3.07</v>
      </c>
      <c r="K1759">
        <v>3831.36</v>
      </c>
    </row>
    <row r="1760" spans="1:11" x14ac:dyDescent="0.2">
      <c r="B1760">
        <v>28901</v>
      </c>
      <c r="C1760" t="s">
        <v>5401</v>
      </c>
      <c r="D1760">
        <v>11</v>
      </c>
      <c r="E1760">
        <v>25</v>
      </c>
      <c r="F1760">
        <v>-3</v>
      </c>
      <c r="G1760">
        <v>-75</v>
      </c>
      <c r="H1760">
        <v>140</v>
      </c>
      <c r="I1760">
        <v>0</v>
      </c>
      <c r="J1760">
        <v>1.45</v>
      </c>
      <c r="K1760">
        <v>-108.75</v>
      </c>
    </row>
    <row r="1761" spans="1:11" x14ac:dyDescent="0.2">
      <c r="A1761">
        <v>57666</v>
      </c>
      <c r="B1761">
        <v>28931</v>
      </c>
      <c r="C1761" t="s">
        <v>4034</v>
      </c>
      <c r="D1761">
        <v>10</v>
      </c>
      <c r="E1761">
        <v>12</v>
      </c>
      <c r="F1761">
        <v>13</v>
      </c>
      <c r="G1761">
        <v>154</v>
      </c>
      <c r="H1761">
        <v>72</v>
      </c>
      <c r="I1761">
        <v>0.2</v>
      </c>
      <c r="J1761">
        <v>0.79</v>
      </c>
      <c r="K1761">
        <v>121.66</v>
      </c>
    </row>
    <row r="1762" spans="1:11" x14ac:dyDescent="0.2">
      <c r="B1762">
        <v>28937</v>
      </c>
      <c r="C1762" t="s">
        <v>5402</v>
      </c>
      <c r="D1762">
        <v>11</v>
      </c>
      <c r="E1762">
        <v>24</v>
      </c>
      <c r="F1762">
        <v>0</v>
      </c>
      <c r="G1762">
        <v>0</v>
      </c>
      <c r="H1762">
        <v>96</v>
      </c>
      <c r="I1762">
        <v>0</v>
      </c>
      <c r="J1762">
        <v>0.39</v>
      </c>
      <c r="K1762">
        <v>0</v>
      </c>
    </row>
    <row r="1763" spans="1:11" x14ac:dyDescent="0.2">
      <c r="A1763">
        <v>89030</v>
      </c>
      <c r="B1763">
        <v>29029</v>
      </c>
      <c r="C1763" t="s">
        <v>5403</v>
      </c>
      <c r="D1763">
        <v>8</v>
      </c>
      <c r="E1763">
        <v>15</v>
      </c>
      <c r="F1763">
        <v>162</v>
      </c>
      <c r="G1763">
        <v>2430</v>
      </c>
      <c r="H1763">
        <v>54</v>
      </c>
      <c r="I1763">
        <v>3</v>
      </c>
      <c r="J1763">
        <v>2.39</v>
      </c>
      <c r="K1763">
        <v>5807.7</v>
      </c>
    </row>
    <row r="1764" spans="1:11" x14ac:dyDescent="0.2">
      <c r="A1764">
        <v>73076</v>
      </c>
      <c r="B1764">
        <v>29048</v>
      </c>
      <c r="C1764" t="s">
        <v>5404</v>
      </c>
      <c r="D1764">
        <v>8</v>
      </c>
      <c r="E1764">
        <v>12</v>
      </c>
      <c r="F1764">
        <v>605</v>
      </c>
      <c r="G1764">
        <v>7264</v>
      </c>
      <c r="H1764">
        <v>130</v>
      </c>
      <c r="I1764">
        <v>4.7</v>
      </c>
      <c r="J1764">
        <v>0.99</v>
      </c>
      <c r="K1764">
        <v>7191.36</v>
      </c>
    </row>
    <row r="1765" spans="1:11" x14ac:dyDescent="0.2">
      <c r="A1765">
        <v>57431</v>
      </c>
      <c r="B1765">
        <v>29060</v>
      </c>
      <c r="C1765" t="s">
        <v>5405</v>
      </c>
      <c r="D1765">
        <v>10</v>
      </c>
      <c r="E1765">
        <v>10</v>
      </c>
      <c r="F1765">
        <v>0</v>
      </c>
      <c r="G1765">
        <v>-2</v>
      </c>
      <c r="H1765">
        <v>70</v>
      </c>
      <c r="I1765">
        <v>0</v>
      </c>
      <c r="J1765">
        <v>1.99</v>
      </c>
      <c r="K1765">
        <v>-3.98</v>
      </c>
    </row>
    <row r="1766" spans="1:11" x14ac:dyDescent="0.2">
      <c r="A1766">
        <v>57432</v>
      </c>
      <c r="B1766">
        <v>29067</v>
      </c>
      <c r="C1766" t="s">
        <v>5406</v>
      </c>
      <c r="D1766">
        <v>10</v>
      </c>
      <c r="E1766">
        <v>12</v>
      </c>
      <c r="F1766">
        <v>0</v>
      </c>
      <c r="G1766">
        <v>0</v>
      </c>
      <c r="H1766">
        <v>66</v>
      </c>
      <c r="I1766">
        <v>0</v>
      </c>
      <c r="J1766">
        <v>1.39</v>
      </c>
      <c r="K1766">
        <v>0</v>
      </c>
    </row>
    <row r="1767" spans="1:11" x14ac:dyDescent="0.2">
      <c r="A1767">
        <v>62263</v>
      </c>
      <c r="B1767">
        <v>29072</v>
      </c>
      <c r="C1767" t="s">
        <v>5407</v>
      </c>
      <c r="D1767">
        <v>11</v>
      </c>
      <c r="E1767">
        <v>12</v>
      </c>
      <c r="F1767">
        <v>18</v>
      </c>
      <c r="G1767">
        <v>210</v>
      </c>
      <c r="H1767">
        <v>144</v>
      </c>
      <c r="I1767">
        <v>0.1</v>
      </c>
      <c r="J1767">
        <v>0.44</v>
      </c>
      <c r="K1767">
        <v>92.4</v>
      </c>
    </row>
    <row r="1768" spans="1:11" x14ac:dyDescent="0.2">
      <c r="A1768">
        <v>65014</v>
      </c>
      <c r="B1768">
        <v>29247</v>
      </c>
      <c r="C1768" t="s">
        <v>5408</v>
      </c>
      <c r="D1768">
        <v>8</v>
      </c>
      <c r="E1768">
        <v>12</v>
      </c>
      <c r="F1768">
        <v>3090</v>
      </c>
      <c r="G1768">
        <v>37081</v>
      </c>
      <c r="H1768">
        <v>156</v>
      </c>
      <c r="I1768">
        <v>19.8</v>
      </c>
      <c r="J1768">
        <v>0.45</v>
      </c>
      <c r="K1768">
        <v>16686.45</v>
      </c>
    </row>
    <row r="1769" spans="1:11" x14ac:dyDescent="0.2">
      <c r="A1769">
        <v>57667</v>
      </c>
      <c r="B1769">
        <v>29251</v>
      </c>
      <c r="C1769" t="s">
        <v>5409</v>
      </c>
      <c r="D1769">
        <v>10</v>
      </c>
      <c r="E1769">
        <v>12</v>
      </c>
      <c r="F1769">
        <v>16</v>
      </c>
      <c r="G1769">
        <v>190</v>
      </c>
      <c r="H1769">
        <v>72</v>
      </c>
      <c r="I1769">
        <v>0.2</v>
      </c>
      <c r="J1769">
        <v>0.79</v>
      </c>
      <c r="K1769">
        <v>150.1</v>
      </c>
    </row>
    <row r="1770" spans="1:11" x14ac:dyDescent="0.2">
      <c r="B1770">
        <v>29287</v>
      </c>
      <c r="C1770" t="s">
        <v>5410</v>
      </c>
      <c r="D1770">
        <v>6</v>
      </c>
      <c r="E1770">
        <v>12</v>
      </c>
      <c r="F1770">
        <v>0</v>
      </c>
      <c r="G1770">
        <v>0</v>
      </c>
      <c r="H1770">
        <v>120</v>
      </c>
      <c r="I1770">
        <v>0</v>
      </c>
      <c r="J1770">
        <v>1.69</v>
      </c>
      <c r="K1770">
        <v>0</v>
      </c>
    </row>
    <row r="1771" spans="1:11" x14ac:dyDescent="0.2">
      <c r="B1771">
        <v>29413</v>
      </c>
      <c r="C1771" t="s">
        <v>5411</v>
      </c>
      <c r="D1771">
        <v>11</v>
      </c>
      <c r="E1771">
        <v>12</v>
      </c>
      <c r="F1771">
        <v>0</v>
      </c>
      <c r="G1771">
        <v>0</v>
      </c>
      <c r="H1771">
        <v>70</v>
      </c>
      <c r="I1771">
        <v>0</v>
      </c>
      <c r="J1771">
        <v>0.75</v>
      </c>
      <c r="K1771">
        <v>0</v>
      </c>
    </row>
    <row r="1772" spans="1:11" x14ac:dyDescent="0.2">
      <c r="A1772">
        <v>62259</v>
      </c>
      <c r="B1772">
        <v>29470</v>
      </c>
      <c r="C1772" t="s">
        <v>5412</v>
      </c>
      <c r="D1772">
        <v>8</v>
      </c>
      <c r="E1772">
        <v>12</v>
      </c>
      <c r="F1772">
        <v>747</v>
      </c>
      <c r="G1772">
        <v>8967</v>
      </c>
      <c r="H1772">
        <v>64</v>
      </c>
      <c r="I1772">
        <v>11.7</v>
      </c>
      <c r="J1772">
        <v>1.69</v>
      </c>
      <c r="K1772">
        <v>15154.23</v>
      </c>
    </row>
    <row r="1773" spans="1:11" x14ac:dyDescent="0.2">
      <c r="A1773">
        <v>75003</v>
      </c>
      <c r="B1773">
        <v>29556</v>
      </c>
      <c r="C1773" t="s">
        <v>5413</v>
      </c>
      <c r="D1773">
        <v>10</v>
      </c>
      <c r="E1773">
        <v>12</v>
      </c>
      <c r="F1773">
        <v>0</v>
      </c>
      <c r="G1773">
        <v>0</v>
      </c>
      <c r="H1773">
        <v>48</v>
      </c>
      <c r="I1773">
        <v>0</v>
      </c>
      <c r="J1773">
        <v>5.99</v>
      </c>
      <c r="K1773">
        <v>0</v>
      </c>
    </row>
    <row r="1774" spans="1:11" x14ac:dyDescent="0.2">
      <c r="A1774">
        <v>61270</v>
      </c>
      <c r="B1774">
        <v>29592</v>
      </c>
      <c r="C1774" t="s">
        <v>5414</v>
      </c>
      <c r="D1774">
        <v>8</v>
      </c>
      <c r="E1774">
        <v>6</v>
      </c>
      <c r="F1774">
        <v>1271</v>
      </c>
      <c r="G1774">
        <v>7626</v>
      </c>
      <c r="H1774">
        <v>105</v>
      </c>
      <c r="I1774">
        <v>12.1</v>
      </c>
      <c r="J1774">
        <v>1.35</v>
      </c>
      <c r="K1774">
        <v>10295.1</v>
      </c>
    </row>
    <row r="1775" spans="1:11" x14ac:dyDescent="0.2">
      <c r="B1775">
        <v>29593</v>
      </c>
      <c r="C1775" t="s">
        <v>4428</v>
      </c>
      <c r="D1775">
        <v>11</v>
      </c>
      <c r="E1775">
        <v>6</v>
      </c>
      <c r="F1775">
        <v>0</v>
      </c>
      <c r="G1775">
        <v>0</v>
      </c>
      <c r="H1775">
        <v>125</v>
      </c>
      <c r="I1775">
        <v>0</v>
      </c>
      <c r="J1775">
        <v>0.99</v>
      </c>
      <c r="K1775">
        <v>0</v>
      </c>
    </row>
    <row r="1776" spans="1:11" x14ac:dyDescent="0.2">
      <c r="A1776">
        <v>61248</v>
      </c>
      <c r="B1776">
        <v>29638</v>
      </c>
      <c r="C1776" t="s">
        <v>5415</v>
      </c>
      <c r="D1776">
        <v>8</v>
      </c>
      <c r="E1776">
        <v>6</v>
      </c>
      <c r="F1776">
        <v>1240</v>
      </c>
      <c r="G1776">
        <v>7440</v>
      </c>
      <c r="H1776">
        <v>100</v>
      </c>
      <c r="I1776">
        <v>12.4</v>
      </c>
      <c r="J1776">
        <v>2.99</v>
      </c>
      <c r="K1776">
        <v>22245.599999999999</v>
      </c>
    </row>
    <row r="1777" spans="1:11" x14ac:dyDescent="0.2">
      <c r="A1777">
        <v>81054</v>
      </c>
      <c r="B1777">
        <v>29644</v>
      </c>
      <c r="C1777" t="s">
        <v>5416</v>
      </c>
      <c r="D1777">
        <v>8</v>
      </c>
      <c r="E1777">
        <v>8</v>
      </c>
      <c r="F1777">
        <v>462</v>
      </c>
      <c r="G1777">
        <v>3696</v>
      </c>
      <c r="H1777">
        <v>112</v>
      </c>
      <c r="I1777">
        <v>4.0999999999999996</v>
      </c>
      <c r="J1777">
        <v>1.3</v>
      </c>
      <c r="K1777">
        <v>4804.8</v>
      </c>
    </row>
    <row r="1778" spans="1:11" x14ac:dyDescent="0.2">
      <c r="A1778">
        <v>81144</v>
      </c>
      <c r="B1778">
        <v>29705</v>
      </c>
      <c r="C1778" t="s">
        <v>5417</v>
      </c>
      <c r="D1778">
        <v>9</v>
      </c>
      <c r="E1778">
        <v>22</v>
      </c>
      <c r="F1778">
        <v>161</v>
      </c>
      <c r="G1778">
        <v>3542</v>
      </c>
      <c r="H1778">
        <v>100</v>
      </c>
      <c r="I1778">
        <v>1.6</v>
      </c>
      <c r="J1778">
        <v>1.99</v>
      </c>
      <c r="K1778">
        <v>7048.58</v>
      </c>
    </row>
    <row r="1779" spans="1:11" x14ac:dyDescent="0.2">
      <c r="A1779">
        <v>67248</v>
      </c>
      <c r="B1779">
        <v>29753</v>
      </c>
      <c r="C1779" t="s">
        <v>5418</v>
      </c>
      <c r="D1779">
        <v>8</v>
      </c>
      <c r="E1779">
        <v>8</v>
      </c>
      <c r="F1779">
        <v>404</v>
      </c>
      <c r="G1779">
        <v>3232</v>
      </c>
      <c r="H1779">
        <v>60</v>
      </c>
      <c r="I1779">
        <v>6.7</v>
      </c>
      <c r="J1779">
        <v>0.85</v>
      </c>
      <c r="K1779">
        <v>2747.2</v>
      </c>
    </row>
    <row r="1780" spans="1:11" x14ac:dyDescent="0.2">
      <c r="A1780">
        <v>62226</v>
      </c>
      <c r="B1780">
        <v>29757</v>
      </c>
      <c r="C1780" t="s">
        <v>5419</v>
      </c>
      <c r="D1780">
        <v>8</v>
      </c>
      <c r="E1780">
        <v>12</v>
      </c>
      <c r="F1780">
        <v>634</v>
      </c>
      <c r="G1780">
        <v>7608</v>
      </c>
      <c r="H1780">
        <v>108</v>
      </c>
      <c r="I1780">
        <v>5.9</v>
      </c>
      <c r="J1780">
        <v>1.49</v>
      </c>
      <c r="K1780">
        <v>11335.92</v>
      </c>
    </row>
    <row r="1781" spans="1:11" x14ac:dyDescent="0.2">
      <c r="A1781">
        <v>40601</v>
      </c>
      <c r="B1781">
        <v>29777</v>
      </c>
      <c r="C1781" t="s">
        <v>5420</v>
      </c>
      <c r="D1781">
        <v>10</v>
      </c>
      <c r="E1781">
        <v>12</v>
      </c>
      <c r="F1781">
        <v>0</v>
      </c>
      <c r="G1781">
        <v>0</v>
      </c>
      <c r="H1781">
        <v>72</v>
      </c>
      <c r="I1781">
        <v>0</v>
      </c>
      <c r="J1781">
        <v>1.49</v>
      </c>
      <c r="K1781">
        <v>0</v>
      </c>
    </row>
    <row r="1782" spans="1:11" x14ac:dyDescent="0.2">
      <c r="A1782">
        <v>95212</v>
      </c>
      <c r="B1782">
        <v>29791</v>
      </c>
      <c r="C1782" t="s">
        <v>5421</v>
      </c>
      <c r="D1782">
        <v>8</v>
      </c>
      <c r="E1782">
        <v>1</v>
      </c>
      <c r="F1782">
        <v>7381</v>
      </c>
      <c r="G1782">
        <v>7381</v>
      </c>
      <c r="H1782">
        <v>180</v>
      </c>
      <c r="I1782">
        <v>41</v>
      </c>
      <c r="J1782">
        <v>2.19</v>
      </c>
      <c r="K1782">
        <v>16164.39</v>
      </c>
    </row>
    <row r="1783" spans="1:11" x14ac:dyDescent="0.2">
      <c r="A1783">
        <v>57149</v>
      </c>
      <c r="B1783">
        <v>29794</v>
      </c>
      <c r="C1783" t="s">
        <v>5422</v>
      </c>
      <c r="D1783">
        <v>10</v>
      </c>
      <c r="E1783">
        <v>12</v>
      </c>
      <c r="F1783">
        <v>0</v>
      </c>
      <c r="G1783">
        <v>0</v>
      </c>
      <c r="H1783">
        <v>144</v>
      </c>
      <c r="I1783">
        <v>0</v>
      </c>
      <c r="J1783">
        <v>0.79</v>
      </c>
      <c r="K1783">
        <v>0</v>
      </c>
    </row>
    <row r="1784" spans="1:11" x14ac:dyDescent="0.2">
      <c r="B1784">
        <v>29808</v>
      </c>
      <c r="C1784" t="s">
        <v>5423</v>
      </c>
      <c r="D1784">
        <v>11</v>
      </c>
      <c r="E1784">
        <v>12</v>
      </c>
      <c r="F1784">
        <v>-1</v>
      </c>
      <c r="G1784">
        <v>-12</v>
      </c>
      <c r="H1784">
        <v>132</v>
      </c>
      <c r="I1784">
        <v>0</v>
      </c>
      <c r="J1784">
        <v>1.99</v>
      </c>
      <c r="K1784">
        <v>-23.88</v>
      </c>
    </row>
    <row r="1785" spans="1:11" x14ac:dyDescent="0.2">
      <c r="A1785">
        <v>66071</v>
      </c>
      <c r="B1785">
        <v>29814</v>
      </c>
      <c r="C1785" t="s">
        <v>5424</v>
      </c>
      <c r="D1785">
        <v>8</v>
      </c>
      <c r="E1785">
        <v>40</v>
      </c>
      <c r="F1785">
        <v>142</v>
      </c>
      <c r="G1785">
        <v>5680</v>
      </c>
      <c r="H1785">
        <v>72</v>
      </c>
      <c r="I1785">
        <v>2</v>
      </c>
      <c r="J1785">
        <v>0.99</v>
      </c>
      <c r="K1785">
        <v>5623.2</v>
      </c>
    </row>
    <row r="1786" spans="1:11" x14ac:dyDescent="0.2">
      <c r="B1786">
        <v>29848</v>
      </c>
      <c r="C1786" t="s">
        <v>5425</v>
      </c>
      <c r="D1786">
        <v>11</v>
      </c>
      <c r="E1786">
        <v>14</v>
      </c>
      <c r="F1786">
        <v>0</v>
      </c>
      <c r="G1786">
        <v>0</v>
      </c>
      <c r="H1786">
        <v>256</v>
      </c>
      <c r="I1786">
        <v>0</v>
      </c>
      <c r="J1786">
        <v>1.99</v>
      </c>
      <c r="K1786">
        <v>0</v>
      </c>
    </row>
    <row r="1787" spans="1:11" x14ac:dyDescent="0.2">
      <c r="A1787">
        <v>99254</v>
      </c>
      <c r="B1787">
        <v>29881</v>
      </c>
      <c r="C1787" t="s">
        <v>5426</v>
      </c>
      <c r="D1787">
        <v>10</v>
      </c>
      <c r="E1787">
        <v>10</v>
      </c>
      <c r="F1787">
        <v>0</v>
      </c>
      <c r="G1787">
        <v>0</v>
      </c>
      <c r="H1787">
        <v>54</v>
      </c>
      <c r="I1787">
        <v>0</v>
      </c>
      <c r="J1787">
        <v>4.99</v>
      </c>
      <c r="K1787">
        <v>0</v>
      </c>
    </row>
    <row r="1788" spans="1:11" x14ac:dyDescent="0.2">
      <c r="B1788">
        <v>30906</v>
      </c>
      <c r="C1788" t="s">
        <v>5427</v>
      </c>
      <c r="D1788">
        <v>11</v>
      </c>
      <c r="E1788">
        <v>16</v>
      </c>
      <c r="F1788">
        <v>0</v>
      </c>
      <c r="G1788">
        <v>0</v>
      </c>
      <c r="H1788">
        <v>80</v>
      </c>
      <c r="I1788">
        <v>0</v>
      </c>
      <c r="J1788">
        <v>7.58</v>
      </c>
      <c r="K1788">
        <v>0</v>
      </c>
    </row>
    <row r="1789" spans="1:11" x14ac:dyDescent="0.2">
      <c r="B1789">
        <v>30937</v>
      </c>
      <c r="C1789" t="s">
        <v>5428</v>
      </c>
      <c r="D1789">
        <v>11</v>
      </c>
      <c r="E1789">
        <v>16</v>
      </c>
      <c r="F1789">
        <v>0</v>
      </c>
      <c r="G1789">
        <v>0</v>
      </c>
      <c r="H1789">
        <v>90</v>
      </c>
      <c r="I1789">
        <v>0</v>
      </c>
      <c r="J1789">
        <v>1.19</v>
      </c>
      <c r="K1789">
        <v>0</v>
      </c>
    </row>
    <row r="1790" spans="1:11" x14ac:dyDescent="0.2">
      <c r="A1790">
        <v>4615</v>
      </c>
      <c r="B1790">
        <v>30964</v>
      </c>
      <c r="C1790" t="s">
        <v>5429</v>
      </c>
      <c r="D1790">
        <v>6</v>
      </c>
      <c r="E1790">
        <v>18</v>
      </c>
      <c r="F1790">
        <v>0</v>
      </c>
      <c r="G1790">
        <v>0</v>
      </c>
      <c r="H1790">
        <v>105</v>
      </c>
      <c r="I1790">
        <v>0</v>
      </c>
      <c r="J1790">
        <v>1.29</v>
      </c>
      <c r="K1790">
        <v>0</v>
      </c>
    </row>
    <row r="1791" spans="1:11" x14ac:dyDescent="0.2">
      <c r="B1791">
        <v>31212</v>
      </c>
      <c r="C1791" t="s">
        <v>5430</v>
      </c>
      <c r="D1791">
        <v>11</v>
      </c>
      <c r="E1791">
        <v>6</v>
      </c>
      <c r="F1791">
        <v>0</v>
      </c>
      <c r="G1791">
        <v>0</v>
      </c>
      <c r="H1791">
        <v>105</v>
      </c>
      <c r="I1791">
        <v>0</v>
      </c>
      <c r="J1791">
        <v>15</v>
      </c>
      <c r="K1791">
        <v>0</v>
      </c>
    </row>
    <row r="1792" spans="1:11" x14ac:dyDescent="0.2">
      <c r="B1792">
        <v>31217</v>
      </c>
      <c r="C1792" t="s">
        <v>5431</v>
      </c>
      <c r="D1792">
        <v>11</v>
      </c>
      <c r="E1792">
        <v>6</v>
      </c>
      <c r="F1792">
        <v>0</v>
      </c>
      <c r="G1792">
        <v>0</v>
      </c>
      <c r="H1792">
        <v>105</v>
      </c>
      <c r="I1792">
        <v>0</v>
      </c>
      <c r="J1792">
        <v>19.989999999999998</v>
      </c>
      <c r="K1792">
        <v>0</v>
      </c>
    </row>
    <row r="1793" spans="1:11" x14ac:dyDescent="0.2">
      <c r="B1793">
        <v>31221</v>
      </c>
      <c r="C1793" t="s">
        <v>5432</v>
      </c>
      <c r="D1793">
        <v>11</v>
      </c>
      <c r="E1793">
        <v>6</v>
      </c>
      <c r="F1793">
        <v>0</v>
      </c>
      <c r="G1793">
        <v>0</v>
      </c>
      <c r="H1793">
        <v>105</v>
      </c>
      <c r="I1793">
        <v>0</v>
      </c>
      <c r="J1793">
        <v>8</v>
      </c>
      <c r="K1793">
        <v>0</v>
      </c>
    </row>
    <row r="1794" spans="1:11" x14ac:dyDescent="0.2">
      <c r="A1794">
        <v>4625</v>
      </c>
      <c r="B1794">
        <v>31242</v>
      </c>
      <c r="C1794" t="s">
        <v>5433</v>
      </c>
      <c r="D1794">
        <v>6</v>
      </c>
      <c r="E1794">
        <v>14</v>
      </c>
      <c r="F1794">
        <v>8</v>
      </c>
      <c r="G1794">
        <v>115</v>
      </c>
      <c r="H1794">
        <v>84</v>
      </c>
      <c r="I1794">
        <v>0.1</v>
      </c>
      <c r="J1794">
        <v>1.99</v>
      </c>
      <c r="K1794">
        <v>228.85</v>
      </c>
    </row>
    <row r="1795" spans="1:11" x14ac:dyDescent="0.2">
      <c r="A1795">
        <v>66067</v>
      </c>
      <c r="B1795">
        <v>31293</v>
      </c>
      <c r="C1795" t="s">
        <v>5434</v>
      </c>
      <c r="D1795">
        <v>8</v>
      </c>
      <c r="E1795">
        <v>24</v>
      </c>
      <c r="F1795">
        <v>906</v>
      </c>
      <c r="G1795">
        <v>21744</v>
      </c>
      <c r="H1795">
        <v>120</v>
      </c>
      <c r="I1795">
        <v>7.6</v>
      </c>
      <c r="J1795">
        <v>2.75</v>
      </c>
      <c r="K1795">
        <v>59796</v>
      </c>
    </row>
    <row r="1796" spans="1:11" x14ac:dyDescent="0.2">
      <c r="B1796">
        <v>31296</v>
      </c>
      <c r="C1796" t="s">
        <v>5435</v>
      </c>
      <c r="D1796">
        <v>11</v>
      </c>
      <c r="E1796">
        <v>40</v>
      </c>
      <c r="F1796">
        <v>0</v>
      </c>
      <c r="G1796">
        <v>0</v>
      </c>
      <c r="H1796">
        <v>170</v>
      </c>
      <c r="I1796">
        <v>0</v>
      </c>
      <c r="J1796">
        <v>1.49</v>
      </c>
      <c r="K1796">
        <v>0</v>
      </c>
    </row>
    <row r="1797" spans="1:11" x14ac:dyDescent="0.2">
      <c r="A1797">
        <v>88042</v>
      </c>
      <c r="B1797">
        <v>31493</v>
      </c>
      <c r="C1797" t="s">
        <v>5436</v>
      </c>
      <c r="D1797">
        <v>8</v>
      </c>
      <c r="E1797">
        <v>10</v>
      </c>
      <c r="F1797">
        <v>192</v>
      </c>
      <c r="G1797">
        <v>1920</v>
      </c>
      <c r="H1797">
        <v>48</v>
      </c>
      <c r="I1797">
        <v>4</v>
      </c>
      <c r="J1797">
        <v>4.09</v>
      </c>
      <c r="K1797">
        <v>7852.8</v>
      </c>
    </row>
    <row r="1798" spans="1:11" x14ac:dyDescent="0.2">
      <c r="A1798">
        <v>86059</v>
      </c>
      <c r="B1798">
        <v>31523</v>
      </c>
      <c r="C1798" t="s">
        <v>5437</v>
      </c>
      <c r="D1798">
        <v>8</v>
      </c>
      <c r="E1798">
        <v>10</v>
      </c>
      <c r="F1798">
        <v>567</v>
      </c>
      <c r="G1798">
        <v>5670</v>
      </c>
      <c r="H1798">
        <v>63</v>
      </c>
      <c r="I1798">
        <v>9</v>
      </c>
      <c r="J1798">
        <v>1.1499999999999999</v>
      </c>
      <c r="K1798">
        <v>6520.5</v>
      </c>
    </row>
    <row r="1799" spans="1:11" x14ac:dyDescent="0.2">
      <c r="B1799">
        <v>31538</v>
      </c>
      <c r="C1799" t="s">
        <v>5438</v>
      </c>
      <c r="D1799">
        <v>11</v>
      </c>
      <c r="E1799">
        <v>12</v>
      </c>
      <c r="F1799">
        <v>0</v>
      </c>
      <c r="G1799">
        <v>0</v>
      </c>
      <c r="H1799">
        <v>56</v>
      </c>
      <c r="I1799">
        <v>0</v>
      </c>
      <c r="J1799">
        <v>2.39</v>
      </c>
      <c r="K1799">
        <v>0</v>
      </c>
    </row>
    <row r="1800" spans="1:11" x14ac:dyDescent="0.2">
      <c r="A1800">
        <v>73069</v>
      </c>
      <c r="B1800">
        <v>31561</v>
      </c>
      <c r="C1800" t="s">
        <v>5439</v>
      </c>
      <c r="D1800">
        <v>8</v>
      </c>
      <c r="E1800">
        <v>12</v>
      </c>
      <c r="F1800">
        <v>975</v>
      </c>
      <c r="G1800">
        <v>11702</v>
      </c>
      <c r="H1800">
        <v>130</v>
      </c>
      <c r="I1800">
        <v>7.5</v>
      </c>
      <c r="J1800">
        <v>0.99</v>
      </c>
      <c r="K1800">
        <v>11584.98</v>
      </c>
    </row>
    <row r="1801" spans="1:11" x14ac:dyDescent="0.2">
      <c r="A1801">
        <v>73071</v>
      </c>
      <c r="B1801">
        <v>31562</v>
      </c>
      <c r="C1801" t="s">
        <v>5440</v>
      </c>
      <c r="D1801">
        <v>8</v>
      </c>
      <c r="E1801">
        <v>12</v>
      </c>
      <c r="F1801">
        <v>894</v>
      </c>
      <c r="G1801">
        <v>10722</v>
      </c>
      <c r="H1801">
        <v>130</v>
      </c>
      <c r="I1801">
        <v>6.9</v>
      </c>
      <c r="J1801">
        <v>1.1499999999999999</v>
      </c>
      <c r="K1801">
        <v>12330.3</v>
      </c>
    </row>
    <row r="1802" spans="1:11" x14ac:dyDescent="0.2">
      <c r="A1802">
        <v>73085</v>
      </c>
      <c r="B1802">
        <v>31594</v>
      </c>
      <c r="C1802" t="s">
        <v>5441</v>
      </c>
      <c r="D1802">
        <v>8</v>
      </c>
      <c r="E1802">
        <v>12</v>
      </c>
      <c r="F1802">
        <v>968</v>
      </c>
      <c r="G1802">
        <v>11621</v>
      </c>
      <c r="H1802">
        <v>130</v>
      </c>
      <c r="I1802">
        <v>7.4</v>
      </c>
      <c r="J1802">
        <v>1.0900000000000001</v>
      </c>
      <c r="K1802">
        <v>12666.89</v>
      </c>
    </row>
    <row r="1803" spans="1:11" x14ac:dyDescent="0.2">
      <c r="A1803">
        <v>73083</v>
      </c>
      <c r="B1803">
        <v>31631</v>
      </c>
      <c r="C1803" t="s">
        <v>5442</v>
      </c>
      <c r="D1803">
        <v>8</v>
      </c>
      <c r="E1803">
        <v>12</v>
      </c>
      <c r="F1803">
        <v>908</v>
      </c>
      <c r="G1803">
        <v>10896</v>
      </c>
      <c r="H1803">
        <v>130</v>
      </c>
      <c r="I1803">
        <v>7</v>
      </c>
      <c r="J1803">
        <v>1.0900000000000001</v>
      </c>
      <c r="K1803">
        <v>11876.64</v>
      </c>
    </row>
    <row r="1804" spans="1:11" x14ac:dyDescent="0.2">
      <c r="B1804">
        <v>31683</v>
      </c>
      <c r="C1804" t="s">
        <v>5443</v>
      </c>
      <c r="D1804">
        <v>11</v>
      </c>
      <c r="E1804">
        <v>36</v>
      </c>
      <c r="F1804">
        <v>0</v>
      </c>
      <c r="G1804">
        <v>0</v>
      </c>
      <c r="H1804">
        <v>84</v>
      </c>
      <c r="I1804">
        <v>0</v>
      </c>
      <c r="J1804">
        <v>1.39</v>
      </c>
      <c r="K1804">
        <v>0</v>
      </c>
    </row>
    <row r="1805" spans="1:11" x14ac:dyDescent="0.2">
      <c r="B1805">
        <v>31684</v>
      </c>
      <c r="C1805" t="s">
        <v>5444</v>
      </c>
      <c r="D1805">
        <v>11</v>
      </c>
      <c r="E1805">
        <v>38</v>
      </c>
      <c r="F1805">
        <v>0</v>
      </c>
      <c r="G1805">
        <v>0</v>
      </c>
      <c r="H1805">
        <v>84</v>
      </c>
      <c r="I1805">
        <v>0</v>
      </c>
      <c r="J1805">
        <v>1.39</v>
      </c>
      <c r="K1805">
        <v>0</v>
      </c>
    </row>
    <row r="1806" spans="1:11" x14ac:dyDescent="0.2">
      <c r="A1806">
        <v>89044</v>
      </c>
      <c r="B1806">
        <v>31716</v>
      </c>
      <c r="C1806" t="s">
        <v>5445</v>
      </c>
      <c r="D1806">
        <v>8</v>
      </c>
      <c r="E1806">
        <v>9</v>
      </c>
      <c r="F1806">
        <v>0</v>
      </c>
      <c r="G1806">
        <v>0</v>
      </c>
      <c r="H1806">
        <v>60</v>
      </c>
      <c r="I1806">
        <v>0</v>
      </c>
      <c r="J1806">
        <v>1.4</v>
      </c>
      <c r="K1806">
        <v>0</v>
      </c>
    </row>
    <row r="1807" spans="1:11" x14ac:dyDescent="0.2">
      <c r="A1807">
        <v>0</v>
      </c>
      <c r="B1807">
        <v>31821</v>
      </c>
      <c r="C1807" t="s">
        <v>5446</v>
      </c>
      <c r="D1807">
        <v>11</v>
      </c>
      <c r="E1807">
        <v>15</v>
      </c>
      <c r="F1807">
        <v>0</v>
      </c>
      <c r="G1807">
        <v>0</v>
      </c>
      <c r="H1807">
        <v>144</v>
      </c>
      <c r="I1807">
        <v>0</v>
      </c>
      <c r="J1807">
        <v>1.49</v>
      </c>
      <c r="K1807">
        <v>0</v>
      </c>
    </row>
    <row r="1808" spans="1:11" x14ac:dyDescent="0.2">
      <c r="B1808">
        <v>31840</v>
      </c>
      <c r="C1808" t="s">
        <v>5447</v>
      </c>
      <c r="D1808">
        <v>11</v>
      </c>
      <c r="E1808">
        <v>1</v>
      </c>
      <c r="F1808">
        <v>-78</v>
      </c>
      <c r="G1808">
        <v>-78</v>
      </c>
      <c r="H1808">
        <v>80</v>
      </c>
      <c r="I1808">
        <v>-1</v>
      </c>
      <c r="J1808">
        <v>4.79</v>
      </c>
      <c r="K1808">
        <v>-373.62</v>
      </c>
    </row>
    <row r="1809" spans="1:11" x14ac:dyDescent="0.2">
      <c r="A1809">
        <v>57605</v>
      </c>
      <c r="B1809">
        <v>31870</v>
      </c>
      <c r="C1809" t="s">
        <v>5448</v>
      </c>
      <c r="D1809">
        <v>10</v>
      </c>
      <c r="E1809">
        <v>70</v>
      </c>
      <c r="F1809">
        <v>4</v>
      </c>
      <c r="G1809">
        <v>306</v>
      </c>
      <c r="H1809">
        <v>70</v>
      </c>
      <c r="I1809">
        <v>0.1</v>
      </c>
      <c r="J1809">
        <v>1.19</v>
      </c>
      <c r="K1809">
        <v>364.14</v>
      </c>
    </row>
    <row r="1810" spans="1:11" x14ac:dyDescent="0.2">
      <c r="A1810">
        <v>4633</v>
      </c>
      <c r="B1810">
        <v>31930</v>
      </c>
      <c r="C1810" t="s">
        <v>5449</v>
      </c>
      <c r="D1810">
        <v>6</v>
      </c>
      <c r="E1810">
        <v>6</v>
      </c>
      <c r="F1810">
        <v>0</v>
      </c>
      <c r="G1810">
        <v>0</v>
      </c>
      <c r="H1810">
        <v>48</v>
      </c>
      <c r="I1810">
        <v>0</v>
      </c>
      <c r="J1810">
        <v>5.49</v>
      </c>
      <c r="K1810">
        <v>0</v>
      </c>
    </row>
    <row r="1811" spans="1:11" x14ac:dyDescent="0.2">
      <c r="A1811">
        <v>43643</v>
      </c>
      <c r="B1811">
        <v>31965</v>
      </c>
      <c r="C1811" t="s">
        <v>5450</v>
      </c>
      <c r="D1811">
        <v>10</v>
      </c>
      <c r="E1811">
        <v>6</v>
      </c>
      <c r="F1811">
        <v>1</v>
      </c>
      <c r="G1811">
        <v>6</v>
      </c>
      <c r="H1811">
        <v>125</v>
      </c>
      <c r="I1811">
        <v>0</v>
      </c>
      <c r="J1811">
        <v>3.99</v>
      </c>
      <c r="K1811">
        <v>23.94</v>
      </c>
    </row>
    <row r="1812" spans="1:11" x14ac:dyDescent="0.2">
      <c r="A1812">
        <v>85212</v>
      </c>
      <c r="B1812">
        <v>32117</v>
      </c>
      <c r="C1812" t="s">
        <v>5451</v>
      </c>
      <c r="D1812">
        <v>9</v>
      </c>
      <c r="E1812">
        <v>10</v>
      </c>
      <c r="F1812">
        <v>115</v>
      </c>
      <c r="G1812">
        <v>1150</v>
      </c>
      <c r="H1812">
        <v>63</v>
      </c>
      <c r="I1812">
        <v>1.8</v>
      </c>
      <c r="J1812">
        <v>9.19</v>
      </c>
      <c r="K1812">
        <v>10568.5</v>
      </c>
    </row>
    <row r="1813" spans="1:11" x14ac:dyDescent="0.2">
      <c r="B1813">
        <v>32238</v>
      </c>
      <c r="C1813" t="s">
        <v>5452</v>
      </c>
      <c r="D1813">
        <v>11</v>
      </c>
      <c r="E1813">
        <v>10</v>
      </c>
      <c r="F1813">
        <v>0</v>
      </c>
      <c r="G1813">
        <v>0</v>
      </c>
      <c r="H1813">
        <v>60</v>
      </c>
      <c r="I1813">
        <v>0</v>
      </c>
      <c r="J1813">
        <v>1.29</v>
      </c>
      <c r="K1813">
        <v>0</v>
      </c>
    </row>
    <row r="1814" spans="1:11" x14ac:dyDescent="0.2">
      <c r="A1814">
        <v>85111</v>
      </c>
      <c r="B1814">
        <v>32371</v>
      </c>
      <c r="C1814" t="s">
        <v>5453</v>
      </c>
      <c r="D1814">
        <v>10</v>
      </c>
      <c r="E1814">
        <v>8</v>
      </c>
      <c r="F1814">
        <v>-1</v>
      </c>
      <c r="G1814">
        <v>-8</v>
      </c>
      <c r="H1814">
        <v>150</v>
      </c>
      <c r="I1814">
        <v>0</v>
      </c>
      <c r="J1814">
        <v>5.99</v>
      </c>
      <c r="K1814">
        <v>-47.92</v>
      </c>
    </row>
    <row r="1815" spans="1:11" x14ac:dyDescent="0.2">
      <c r="A1815">
        <v>62261</v>
      </c>
      <c r="B1815">
        <v>32409</v>
      </c>
      <c r="C1815" t="s">
        <v>5454</v>
      </c>
      <c r="D1815">
        <v>8</v>
      </c>
      <c r="E1815">
        <v>12</v>
      </c>
      <c r="F1815">
        <v>1890</v>
      </c>
      <c r="G1815">
        <v>22680</v>
      </c>
      <c r="H1815">
        <v>144</v>
      </c>
      <c r="I1815">
        <v>13.1</v>
      </c>
      <c r="J1815">
        <v>0.81</v>
      </c>
      <c r="K1815">
        <v>18370.8</v>
      </c>
    </row>
    <row r="1816" spans="1:11" x14ac:dyDescent="0.2">
      <c r="B1816">
        <v>32565</v>
      </c>
      <c r="C1816" t="s">
        <v>5455</v>
      </c>
      <c r="D1816">
        <v>11</v>
      </c>
      <c r="E1816">
        <v>7</v>
      </c>
      <c r="F1816">
        <v>0</v>
      </c>
      <c r="G1816">
        <v>0</v>
      </c>
      <c r="H1816">
        <v>84</v>
      </c>
      <c r="I1816">
        <v>0</v>
      </c>
      <c r="J1816">
        <v>1.99</v>
      </c>
      <c r="K1816">
        <v>0</v>
      </c>
    </row>
    <row r="1817" spans="1:11" x14ac:dyDescent="0.2">
      <c r="A1817">
        <v>67148</v>
      </c>
      <c r="B1817">
        <v>32743</v>
      </c>
      <c r="C1817" t="s">
        <v>5456</v>
      </c>
      <c r="D1817">
        <v>8</v>
      </c>
      <c r="E1817">
        <v>12</v>
      </c>
      <c r="F1817">
        <v>851</v>
      </c>
      <c r="G1817">
        <v>10212</v>
      </c>
      <c r="H1817">
        <v>72</v>
      </c>
      <c r="I1817">
        <v>11.8</v>
      </c>
      <c r="J1817">
        <v>1.49</v>
      </c>
      <c r="K1817">
        <v>15215.88</v>
      </c>
    </row>
    <row r="1818" spans="1:11" x14ac:dyDescent="0.2">
      <c r="B1818">
        <v>34029</v>
      </c>
      <c r="C1818" t="s">
        <v>5457</v>
      </c>
      <c r="D1818">
        <v>11</v>
      </c>
      <c r="E1818">
        <v>6</v>
      </c>
      <c r="F1818">
        <v>0</v>
      </c>
      <c r="G1818">
        <v>0</v>
      </c>
      <c r="H1818">
        <v>76</v>
      </c>
      <c r="I1818">
        <v>0</v>
      </c>
      <c r="J1818">
        <v>13</v>
      </c>
      <c r="K1818">
        <v>0</v>
      </c>
    </row>
    <row r="1819" spans="1:11" x14ac:dyDescent="0.2">
      <c r="A1819">
        <v>93310</v>
      </c>
      <c r="B1819">
        <v>34150</v>
      </c>
      <c r="C1819" t="s">
        <v>5458</v>
      </c>
      <c r="D1819">
        <v>10</v>
      </c>
      <c r="E1819">
        <v>16</v>
      </c>
      <c r="F1819">
        <v>0</v>
      </c>
      <c r="G1819">
        <v>0</v>
      </c>
      <c r="H1819">
        <v>28</v>
      </c>
      <c r="I1819">
        <v>0</v>
      </c>
      <c r="J1819">
        <v>2.19</v>
      </c>
      <c r="K1819">
        <v>0</v>
      </c>
    </row>
    <row r="1820" spans="1:11" x14ac:dyDescent="0.2">
      <c r="A1820">
        <v>0</v>
      </c>
      <c r="B1820">
        <v>34209</v>
      </c>
      <c r="C1820" t="s">
        <v>5459</v>
      </c>
      <c r="D1820">
        <v>11</v>
      </c>
      <c r="E1820">
        <v>24</v>
      </c>
      <c r="F1820">
        <v>0</v>
      </c>
      <c r="G1820">
        <v>0</v>
      </c>
      <c r="H1820">
        <v>32</v>
      </c>
      <c r="I1820">
        <v>0</v>
      </c>
      <c r="J1820">
        <v>2.99</v>
      </c>
      <c r="K1820">
        <v>0</v>
      </c>
    </row>
    <row r="1821" spans="1:11" x14ac:dyDescent="0.2">
      <c r="A1821">
        <v>74225</v>
      </c>
      <c r="B1821">
        <v>34316</v>
      </c>
      <c r="C1821" t="s">
        <v>5460</v>
      </c>
      <c r="D1821">
        <v>8</v>
      </c>
      <c r="E1821">
        <v>24</v>
      </c>
      <c r="F1821">
        <v>196</v>
      </c>
      <c r="G1821">
        <v>4704</v>
      </c>
      <c r="H1821">
        <v>108</v>
      </c>
      <c r="I1821">
        <v>1.8</v>
      </c>
      <c r="J1821">
        <v>1.19</v>
      </c>
      <c r="K1821">
        <v>5597.76</v>
      </c>
    </row>
    <row r="1822" spans="1:11" x14ac:dyDescent="0.2">
      <c r="B1822">
        <v>34513</v>
      </c>
      <c r="C1822" t="s">
        <v>5461</v>
      </c>
      <c r="D1822">
        <v>11</v>
      </c>
      <c r="E1822">
        <v>6</v>
      </c>
      <c r="F1822">
        <v>0</v>
      </c>
      <c r="G1822">
        <v>0</v>
      </c>
      <c r="H1822">
        <v>100</v>
      </c>
      <c r="I1822">
        <v>0</v>
      </c>
      <c r="J1822">
        <v>2.19</v>
      </c>
      <c r="K1822">
        <v>0</v>
      </c>
    </row>
    <row r="1823" spans="1:11" x14ac:dyDescent="0.2">
      <c r="A1823">
        <v>61252</v>
      </c>
      <c r="B1823">
        <v>34517</v>
      </c>
      <c r="C1823" t="s">
        <v>5462</v>
      </c>
      <c r="D1823">
        <v>8</v>
      </c>
      <c r="E1823">
        <v>6</v>
      </c>
      <c r="F1823">
        <v>769</v>
      </c>
      <c r="G1823">
        <v>4612</v>
      </c>
      <c r="H1823">
        <v>84</v>
      </c>
      <c r="I1823">
        <v>9.1999999999999993</v>
      </c>
      <c r="J1823">
        <v>1.99</v>
      </c>
      <c r="K1823">
        <v>9177.8799999999992</v>
      </c>
    </row>
    <row r="1824" spans="1:11" x14ac:dyDescent="0.2">
      <c r="A1824">
        <v>71006</v>
      </c>
      <c r="B1824">
        <v>34591</v>
      </c>
      <c r="C1824" t="s">
        <v>5463</v>
      </c>
      <c r="D1824">
        <v>8</v>
      </c>
      <c r="E1824">
        <v>30</v>
      </c>
      <c r="F1824">
        <v>233</v>
      </c>
      <c r="G1824">
        <v>6990</v>
      </c>
      <c r="H1824">
        <v>143</v>
      </c>
      <c r="I1824">
        <v>1.6</v>
      </c>
      <c r="J1824">
        <v>1.0900000000000001</v>
      </c>
      <c r="K1824">
        <v>7619.1</v>
      </c>
    </row>
    <row r="1825" spans="1:11" x14ac:dyDescent="0.2">
      <c r="A1825">
        <v>95010</v>
      </c>
      <c r="B1825">
        <v>34605</v>
      </c>
      <c r="C1825" t="s">
        <v>5464</v>
      </c>
      <c r="D1825">
        <v>8</v>
      </c>
      <c r="E1825">
        <v>1</v>
      </c>
      <c r="F1825">
        <v>16512</v>
      </c>
      <c r="G1825">
        <v>16512</v>
      </c>
      <c r="H1825">
        <v>192</v>
      </c>
      <c r="I1825">
        <v>86</v>
      </c>
      <c r="J1825">
        <v>1.99</v>
      </c>
      <c r="K1825">
        <v>32858.879999999997</v>
      </c>
    </row>
    <row r="1826" spans="1:11" x14ac:dyDescent="0.2">
      <c r="B1826">
        <v>34641</v>
      </c>
      <c r="C1826" t="s">
        <v>5465</v>
      </c>
      <c r="D1826">
        <v>11</v>
      </c>
      <c r="E1826">
        <v>10</v>
      </c>
      <c r="F1826">
        <v>0</v>
      </c>
      <c r="G1826">
        <v>0</v>
      </c>
      <c r="H1826">
        <v>96</v>
      </c>
      <c r="I1826">
        <v>0</v>
      </c>
      <c r="J1826">
        <v>1</v>
      </c>
      <c r="K1826">
        <v>0</v>
      </c>
    </row>
    <row r="1827" spans="1:11" x14ac:dyDescent="0.2">
      <c r="B1827">
        <v>34650</v>
      </c>
      <c r="C1827" t="s">
        <v>5466</v>
      </c>
      <c r="D1827">
        <v>11</v>
      </c>
      <c r="E1827">
        <v>1</v>
      </c>
      <c r="F1827">
        <v>0</v>
      </c>
      <c r="G1827">
        <v>0</v>
      </c>
      <c r="H1827">
        <v>96</v>
      </c>
      <c r="I1827">
        <v>0</v>
      </c>
      <c r="J1827">
        <v>1</v>
      </c>
      <c r="K1827">
        <v>0</v>
      </c>
    </row>
    <row r="1828" spans="1:11" x14ac:dyDescent="0.2">
      <c r="B1828">
        <v>34911</v>
      </c>
      <c r="C1828" t="s">
        <v>5467</v>
      </c>
      <c r="D1828">
        <v>11</v>
      </c>
      <c r="E1828">
        <v>6</v>
      </c>
      <c r="F1828">
        <v>-1</v>
      </c>
      <c r="G1828">
        <v>-6</v>
      </c>
      <c r="H1828">
        <v>64</v>
      </c>
      <c r="I1828">
        <v>0</v>
      </c>
      <c r="J1828">
        <v>1.89</v>
      </c>
      <c r="K1828">
        <v>-11.34</v>
      </c>
    </row>
    <row r="1829" spans="1:11" x14ac:dyDescent="0.2">
      <c r="A1829">
        <v>36406</v>
      </c>
      <c r="B1829">
        <v>36007</v>
      </c>
      <c r="C1829" t="s">
        <v>5468</v>
      </c>
      <c r="D1829">
        <v>6</v>
      </c>
      <c r="E1829">
        <v>9</v>
      </c>
      <c r="F1829">
        <v>0</v>
      </c>
      <c r="G1829">
        <v>0</v>
      </c>
      <c r="H1829">
        <v>84</v>
      </c>
      <c r="I1829">
        <v>0</v>
      </c>
      <c r="J1829">
        <v>5</v>
      </c>
      <c r="K1829">
        <v>0</v>
      </c>
    </row>
    <row r="1830" spans="1:11" x14ac:dyDescent="0.2">
      <c r="A1830">
        <v>66045</v>
      </c>
      <c r="B1830">
        <v>36085</v>
      </c>
      <c r="C1830" t="s">
        <v>5469</v>
      </c>
      <c r="D1830">
        <v>8</v>
      </c>
      <c r="E1830">
        <v>18</v>
      </c>
      <c r="F1830">
        <v>549</v>
      </c>
      <c r="G1830">
        <v>9882</v>
      </c>
      <c r="H1830">
        <v>168</v>
      </c>
      <c r="I1830">
        <v>3.3</v>
      </c>
      <c r="J1830">
        <v>0.5</v>
      </c>
      <c r="K1830">
        <v>4941</v>
      </c>
    </row>
    <row r="1831" spans="1:11" x14ac:dyDescent="0.2">
      <c r="A1831">
        <v>66061</v>
      </c>
      <c r="B1831">
        <v>36087</v>
      </c>
      <c r="C1831" t="s">
        <v>5470</v>
      </c>
      <c r="D1831">
        <v>8</v>
      </c>
      <c r="E1831">
        <v>18</v>
      </c>
      <c r="F1831">
        <v>303</v>
      </c>
      <c r="G1831">
        <v>5454</v>
      </c>
      <c r="H1831">
        <v>144</v>
      </c>
      <c r="I1831">
        <v>2.1</v>
      </c>
      <c r="J1831">
        <v>0.5</v>
      </c>
      <c r="K1831">
        <v>2727</v>
      </c>
    </row>
    <row r="1832" spans="1:11" x14ac:dyDescent="0.2">
      <c r="A1832">
        <v>66058</v>
      </c>
      <c r="B1832">
        <v>36088</v>
      </c>
      <c r="C1832" t="s">
        <v>5471</v>
      </c>
      <c r="D1832">
        <v>8</v>
      </c>
      <c r="E1832">
        <v>18</v>
      </c>
      <c r="F1832">
        <v>286</v>
      </c>
      <c r="G1832">
        <v>5148</v>
      </c>
      <c r="H1832">
        <v>144</v>
      </c>
      <c r="I1832">
        <v>2</v>
      </c>
      <c r="J1832">
        <v>0.48</v>
      </c>
      <c r="K1832">
        <v>2471.04</v>
      </c>
    </row>
    <row r="1833" spans="1:11" x14ac:dyDescent="0.2">
      <c r="A1833">
        <v>43506</v>
      </c>
      <c r="B1833">
        <v>36211</v>
      </c>
      <c r="C1833" t="s">
        <v>5472</v>
      </c>
      <c r="D1833">
        <v>10</v>
      </c>
      <c r="E1833">
        <v>12</v>
      </c>
      <c r="F1833">
        <v>3</v>
      </c>
      <c r="G1833">
        <v>36</v>
      </c>
      <c r="H1833">
        <v>272</v>
      </c>
      <c r="I1833">
        <v>0</v>
      </c>
      <c r="J1833">
        <v>0.49</v>
      </c>
      <c r="K1833">
        <v>17.64</v>
      </c>
    </row>
    <row r="1834" spans="1:11" x14ac:dyDescent="0.2">
      <c r="A1834">
        <v>57309</v>
      </c>
      <c r="B1834">
        <v>36278</v>
      </c>
      <c r="C1834" t="s">
        <v>5473</v>
      </c>
      <c r="D1834">
        <v>10</v>
      </c>
      <c r="E1834">
        <v>12</v>
      </c>
      <c r="F1834">
        <v>0</v>
      </c>
      <c r="G1834">
        <v>0</v>
      </c>
      <c r="H1834">
        <v>140</v>
      </c>
      <c r="I1834">
        <v>0</v>
      </c>
      <c r="J1834">
        <v>0.5</v>
      </c>
      <c r="K1834">
        <v>0</v>
      </c>
    </row>
    <row r="1835" spans="1:11" x14ac:dyDescent="0.2">
      <c r="B1835">
        <v>36386</v>
      </c>
      <c r="C1835" t="s">
        <v>5474</v>
      </c>
      <c r="D1835">
        <v>11</v>
      </c>
      <c r="E1835">
        <v>6</v>
      </c>
      <c r="F1835">
        <v>1</v>
      </c>
      <c r="G1835">
        <v>6</v>
      </c>
      <c r="H1835">
        <v>105</v>
      </c>
      <c r="I1835">
        <v>0</v>
      </c>
      <c r="J1835">
        <v>6.99</v>
      </c>
      <c r="K1835">
        <v>41.94</v>
      </c>
    </row>
    <row r="1836" spans="1:11" x14ac:dyDescent="0.2">
      <c r="A1836">
        <v>66016</v>
      </c>
      <c r="B1836">
        <v>36468</v>
      </c>
      <c r="C1836" t="s">
        <v>5475</v>
      </c>
      <c r="D1836">
        <v>8</v>
      </c>
      <c r="E1836">
        <v>18</v>
      </c>
      <c r="F1836">
        <v>354</v>
      </c>
      <c r="G1836">
        <v>6372</v>
      </c>
      <c r="H1836">
        <v>230</v>
      </c>
      <c r="I1836">
        <v>1.5</v>
      </c>
      <c r="J1836">
        <v>0.79</v>
      </c>
      <c r="K1836">
        <v>5033.88</v>
      </c>
    </row>
    <row r="1837" spans="1:11" x14ac:dyDescent="0.2">
      <c r="A1837">
        <v>66021</v>
      </c>
      <c r="B1837">
        <v>36474</v>
      </c>
      <c r="C1837" t="s">
        <v>5476</v>
      </c>
      <c r="D1837">
        <v>8</v>
      </c>
      <c r="E1837">
        <v>18</v>
      </c>
      <c r="F1837">
        <v>144</v>
      </c>
      <c r="G1837">
        <v>2592</v>
      </c>
      <c r="H1837">
        <v>230</v>
      </c>
      <c r="I1837">
        <v>0.6</v>
      </c>
      <c r="J1837">
        <v>0.79</v>
      </c>
      <c r="K1837">
        <v>2047.68</v>
      </c>
    </row>
    <row r="1838" spans="1:11" x14ac:dyDescent="0.2">
      <c r="A1838">
        <v>95420</v>
      </c>
      <c r="B1838">
        <v>36476</v>
      </c>
      <c r="C1838" t="s">
        <v>5477</v>
      </c>
      <c r="D1838">
        <v>8</v>
      </c>
      <c r="E1838">
        <v>1</v>
      </c>
      <c r="F1838">
        <v>3264</v>
      </c>
      <c r="G1838">
        <v>3264</v>
      </c>
      <c r="H1838">
        <v>136</v>
      </c>
      <c r="I1838">
        <v>24</v>
      </c>
      <c r="J1838">
        <v>3.99</v>
      </c>
      <c r="K1838">
        <v>13023.36</v>
      </c>
    </row>
    <row r="1839" spans="1:11" x14ac:dyDescent="0.2">
      <c r="B1839">
        <v>36533</v>
      </c>
      <c r="C1839" t="s">
        <v>5478</v>
      </c>
      <c r="D1839">
        <v>11</v>
      </c>
      <c r="E1839">
        <v>28</v>
      </c>
      <c r="F1839">
        <v>0</v>
      </c>
      <c r="G1839">
        <v>0</v>
      </c>
      <c r="H1839">
        <v>88</v>
      </c>
      <c r="I1839">
        <v>0</v>
      </c>
      <c r="J1839">
        <v>1.19</v>
      </c>
      <c r="K1839">
        <v>0</v>
      </c>
    </row>
    <row r="1840" spans="1:11" x14ac:dyDescent="0.2">
      <c r="A1840">
        <v>99002</v>
      </c>
      <c r="B1840">
        <v>36669</v>
      </c>
      <c r="C1840" t="s">
        <v>5479</v>
      </c>
      <c r="D1840">
        <v>10</v>
      </c>
      <c r="E1840">
        <v>12</v>
      </c>
      <c r="F1840">
        <v>0</v>
      </c>
      <c r="G1840">
        <v>0</v>
      </c>
      <c r="H1840">
        <v>81</v>
      </c>
      <c r="I1840">
        <v>0</v>
      </c>
      <c r="J1840">
        <v>2.39</v>
      </c>
      <c r="K1840">
        <v>0</v>
      </c>
    </row>
    <row r="1841" spans="1:11" x14ac:dyDescent="0.2">
      <c r="A1841">
        <v>57284</v>
      </c>
      <c r="B1841">
        <v>37041</v>
      </c>
      <c r="C1841" t="s">
        <v>5480</v>
      </c>
      <c r="D1841">
        <v>11</v>
      </c>
      <c r="E1841">
        <v>12</v>
      </c>
      <c r="F1841">
        <v>0</v>
      </c>
      <c r="G1841">
        <v>0</v>
      </c>
      <c r="H1841">
        <v>95</v>
      </c>
      <c r="I1841">
        <v>0</v>
      </c>
      <c r="J1841">
        <v>1.69</v>
      </c>
      <c r="K1841">
        <v>0</v>
      </c>
    </row>
    <row r="1842" spans="1:11" x14ac:dyDescent="0.2">
      <c r="A1842">
        <v>67094</v>
      </c>
      <c r="B1842">
        <v>37270</v>
      </c>
      <c r="C1842" t="s">
        <v>5481</v>
      </c>
      <c r="D1842">
        <v>8</v>
      </c>
      <c r="E1842">
        <v>10</v>
      </c>
      <c r="F1842">
        <v>559</v>
      </c>
      <c r="G1842">
        <v>5592</v>
      </c>
      <c r="H1842">
        <v>36</v>
      </c>
      <c r="I1842">
        <v>15.5</v>
      </c>
      <c r="J1842">
        <v>0.99</v>
      </c>
      <c r="K1842">
        <v>5536.08</v>
      </c>
    </row>
    <row r="1843" spans="1:11" x14ac:dyDescent="0.2">
      <c r="A1843">
        <v>71215</v>
      </c>
      <c r="B1843">
        <v>37386</v>
      </c>
      <c r="C1843" t="s">
        <v>5482</v>
      </c>
      <c r="D1843">
        <v>8</v>
      </c>
      <c r="E1843">
        <v>6</v>
      </c>
      <c r="F1843">
        <v>1760</v>
      </c>
      <c r="G1843">
        <v>10559</v>
      </c>
      <c r="H1843">
        <v>130</v>
      </c>
      <c r="I1843">
        <v>13.5</v>
      </c>
      <c r="J1843">
        <v>1.29</v>
      </c>
      <c r="K1843">
        <v>13621.11</v>
      </c>
    </row>
    <row r="1844" spans="1:11" x14ac:dyDescent="0.2">
      <c r="A1844">
        <v>37517</v>
      </c>
      <c r="B1844">
        <v>37517</v>
      </c>
      <c r="C1844" t="s">
        <v>5483</v>
      </c>
      <c r="D1844">
        <v>6</v>
      </c>
      <c r="E1844">
        <v>48</v>
      </c>
      <c r="F1844">
        <v>0</v>
      </c>
      <c r="G1844">
        <v>0</v>
      </c>
      <c r="H1844">
        <v>40</v>
      </c>
      <c r="I1844">
        <v>0</v>
      </c>
      <c r="J1844">
        <v>0.6</v>
      </c>
      <c r="K1844">
        <v>0</v>
      </c>
    </row>
    <row r="1845" spans="1:11" x14ac:dyDescent="0.2">
      <c r="B1845">
        <v>37600</v>
      </c>
      <c r="C1845" t="s">
        <v>5484</v>
      </c>
      <c r="D1845">
        <v>11</v>
      </c>
      <c r="E1845">
        <v>6</v>
      </c>
      <c r="F1845">
        <v>0</v>
      </c>
      <c r="G1845">
        <v>0</v>
      </c>
      <c r="H1845">
        <v>84</v>
      </c>
      <c r="I1845">
        <v>0</v>
      </c>
      <c r="J1845">
        <v>10</v>
      </c>
      <c r="K1845">
        <v>0</v>
      </c>
    </row>
    <row r="1846" spans="1:11" x14ac:dyDescent="0.2">
      <c r="A1846">
        <v>76098</v>
      </c>
      <c r="B1846">
        <v>38264</v>
      </c>
      <c r="C1846" t="s">
        <v>5485</v>
      </c>
      <c r="D1846">
        <v>8</v>
      </c>
      <c r="E1846">
        <v>12</v>
      </c>
      <c r="F1846">
        <v>234</v>
      </c>
      <c r="G1846">
        <v>2808</v>
      </c>
      <c r="H1846">
        <v>42</v>
      </c>
      <c r="I1846">
        <v>5.6</v>
      </c>
      <c r="J1846">
        <v>2.69</v>
      </c>
      <c r="K1846">
        <v>7553.52</v>
      </c>
    </row>
    <row r="1847" spans="1:11" x14ac:dyDescent="0.2">
      <c r="B1847">
        <v>38270</v>
      </c>
      <c r="C1847" t="s">
        <v>5486</v>
      </c>
      <c r="D1847">
        <v>11</v>
      </c>
      <c r="E1847">
        <v>10</v>
      </c>
      <c r="F1847">
        <v>0</v>
      </c>
      <c r="G1847">
        <v>0</v>
      </c>
      <c r="H1847">
        <v>32</v>
      </c>
      <c r="I1847">
        <v>0</v>
      </c>
      <c r="J1847">
        <v>1.99</v>
      </c>
      <c r="K1847">
        <v>0</v>
      </c>
    </row>
    <row r="1848" spans="1:11" x14ac:dyDescent="0.2">
      <c r="B1848">
        <v>38311</v>
      </c>
      <c r="C1848" t="s">
        <v>5487</v>
      </c>
      <c r="D1848">
        <v>11</v>
      </c>
      <c r="E1848">
        <v>14</v>
      </c>
      <c r="F1848">
        <v>0</v>
      </c>
      <c r="G1848">
        <v>0</v>
      </c>
      <c r="H1848">
        <v>32</v>
      </c>
      <c r="I1848">
        <v>0</v>
      </c>
      <c r="J1848">
        <v>1.35</v>
      </c>
      <c r="K1848">
        <v>0</v>
      </c>
    </row>
    <row r="1849" spans="1:11" x14ac:dyDescent="0.2">
      <c r="B1849">
        <v>38374</v>
      </c>
      <c r="C1849" t="s">
        <v>5488</v>
      </c>
      <c r="D1849">
        <v>11</v>
      </c>
      <c r="E1849">
        <v>48</v>
      </c>
      <c r="F1849">
        <v>-2</v>
      </c>
      <c r="G1849">
        <v>-96</v>
      </c>
      <c r="H1849">
        <v>72</v>
      </c>
      <c r="I1849">
        <v>0</v>
      </c>
      <c r="J1849">
        <v>1.49</v>
      </c>
      <c r="K1849">
        <v>-143.04</v>
      </c>
    </row>
    <row r="1850" spans="1:11" x14ac:dyDescent="0.2">
      <c r="B1850">
        <v>38452</v>
      </c>
      <c r="C1850" t="s">
        <v>5489</v>
      </c>
      <c r="D1850">
        <v>11</v>
      </c>
      <c r="E1850">
        <v>12</v>
      </c>
      <c r="F1850">
        <v>0</v>
      </c>
      <c r="G1850">
        <v>0</v>
      </c>
      <c r="H1850">
        <v>56</v>
      </c>
      <c r="I1850">
        <v>0</v>
      </c>
      <c r="J1850">
        <v>2.19</v>
      </c>
      <c r="K1850">
        <v>0</v>
      </c>
    </row>
    <row r="1851" spans="1:11" x14ac:dyDescent="0.2">
      <c r="A1851">
        <v>69100</v>
      </c>
      <c r="B1851">
        <v>38491</v>
      </c>
      <c r="C1851" t="s">
        <v>5490</v>
      </c>
      <c r="D1851">
        <v>8</v>
      </c>
      <c r="E1851">
        <v>100</v>
      </c>
      <c r="F1851">
        <v>281</v>
      </c>
      <c r="G1851">
        <v>28100</v>
      </c>
      <c r="H1851">
        <v>80</v>
      </c>
      <c r="I1851">
        <v>3.5</v>
      </c>
      <c r="J1851">
        <v>1.39</v>
      </c>
      <c r="K1851">
        <v>39059</v>
      </c>
    </row>
    <row r="1852" spans="1:11" x14ac:dyDescent="0.2">
      <c r="B1852">
        <v>38527</v>
      </c>
      <c r="C1852" t="s">
        <v>5491</v>
      </c>
      <c r="D1852">
        <v>11</v>
      </c>
      <c r="E1852">
        <v>60</v>
      </c>
      <c r="F1852">
        <v>-59</v>
      </c>
      <c r="G1852">
        <v>-3540</v>
      </c>
      <c r="H1852">
        <v>48</v>
      </c>
      <c r="I1852">
        <v>-1.2</v>
      </c>
      <c r="J1852">
        <v>0.99</v>
      </c>
      <c r="K1852">
        <v>-3504.6</v>
      </c>
    </row>
    <row r="1853" spans="1:11" x14ac:dyDescent="0.2">
      <c r="A1853">
        <v>75254</v>
      </c>
      <c r="B1853">
        <v>38533</v>
      </c>
      <c r="C1853" t="s">
        <v>5492</v>
      </c>
      <c r="D1853">
        <v>10</v>
      </c>
      <c r="E1853">
        <v>36</v>
      </c>
      <c r="F1853">
        <v>3</v>
      </c>
      <c r="G1853">
        <v>108</v>
      </c>
      <c r="H1853">
        <v>28</v>
      </c>
      <c r="I1853">
        <v>0.1</v>
      </c>
      <c r="J1853">
        <v>1.99</v>
      </c>
      <c r="K1853">
        <v>214.92</v>
      </c>
    </row>
    <row r="1854" spans="1:11" x14ac:dyDescent="0.2">
      <c r="A1854">
        <v>75258</v>
      </c>
      <c r="B1854">
        <v>38535</v>
      </c>
      <c r="C1854" t="s">
        <v>5493</v>
      </c>
      <c r="D1854">
        <v>10</v>
      </c>
      <c r="E1854">
        <v>50</v>
      </c>
      <c r="F1854">
        <v>0</v>
      </c>
      <c r="G1854">
        <v>0</v>
      </c>
      <c r="H1854">
        <v>32</v>
      </c>
      <c r="I1854">
        <v>0</v>
      </c>
      <c r="J1854">
        <v>0.5</v>
      </c>
      <c r="K1854">
        <v>0</v>
      </c>
    </row>
    <row r="1855" spans="1:11" x14ac:dyDescent="0.2">
      <c r="A1855">
        <v>57668</v>
      </c>
      <c r="B1855">
        <v>38538</v>
      </c>
      <c r="C1855" t="s">
        <v>5494</v>
      </c>
      <c r="D1855">
        <v>10</v>
      </c>
      <c r="E1855">
        <v>12</v>
      </c>
      <c r="F1855">
        <v>16</v>
      </c>
      <c r="G1855">
        <v>196</v>
      </c>
      <c r="H1855">
        <v>80</v>
      </c>
      <c r="I1855">
        <v>0.2</v>
      </c>
      <c r="J1855">
        <v>1.49</v>
      </c>
      <c r="K1855">
        <v>292.04000000000002</v>
      </c>
    </row>
    <row r="1856" spans="1:11" x14ac:dyDescent="0.2">
      <c r="A1856">
        <v>99575</v>
      </c>
      <c r="B1856">
        <v>38596</v>
      </c>
      <c r="C1856" t="s">
        <v>5495</v>
      </c>
      <c r="D1856">
        <v>10</v>
      </c>
      <c r="E1856">
        <v>12</v>
      </c>
      <c r="F1856">
        <v>0</v>
      </c>
      <c r="G1856">
        <v>0</v>
      </c>
      <c r="H1856">
        <v>99</v>
      </c>
      <c r="I1856">
        <v>0</v>
      </c>
      <c r="J1856">
        <v>1.4</v>
      </c>
      <c r="K1856">
        <v>0</v>
      </c>
    </row>
    <row r="1857" spans="1:11" x14ac:dyDescent="0.2">
      <c r="A1857">
        <v>62270</v>
      </c>
      <c r="B1857">
        <v>38640</v>
      </c>
      <c r="C1857" t="s">
        <v>5496</v>
      </c>
      <c r="D1857">
        <v>8</v>
      </c>
      <c r="E1857">
        <v>4</v>
      </c>
      <c r="F1857">
        <v>1934</v>
      </c>
      <c r="G1857">
        <v>7736</v>
      </c>
      <c r="H1857">
        <v>270</v>
      </c>
      <c r="I1857">
        <v>7.2</v>
      </c>
      <c r="J1857">
        <v>0.95</v>
      </c>
      <c r="K1857">
        <v>7349.2</v>
      </c>
    </row>
    <row r="1858" spans="1:11" x14ac:dyDescent="0.2">
      <c r="A1858">
        <v>57310</v>
      </c>
      <c r="B1858">
        <v>38680</v>
      </c>
      <c r="C1858" t="s">
        <v>5497</v>
      </c>
      <c r="D1858">
        <v>10</v>
      </c>
      <c r="E1858">
        <v>10</v>
      </c>
      <c r="F1858">
        <v>0</v>
      </c>
      <c r="G1858">
        <v>0</v>
      </c>
      <c r="H1858">
        <v>32</v>
      </c>
      <c r="I1858">
        <v>0</v>
      </c>
      <c r="J1858">
        <v>2.99</v>
      </c>
      <c r="K1858">
        <v>0</v>
      </c>
    </row>
    <row r="1859" spans="1:11" x14ac:dyDescent="0.2">
      <c r="A1859">
        <v>99067</v>
      </c>
      <c r="B1859">
        <v>38685</v>
      </c>
      <c r="C1859" t="s">
        <v>5498</v>
      </c>
      <c r="D1859">
        <v>10</v>
      </c>
      <c r="E1859">
        <v>16</v>
      </c>
      <c r="F1859">
        <v>0</v>
      </c>
      <c r="G1859">
        <v>0</v>
      </c>
      <c r="H1859">
        <v>56</v>
      </c>
      <c r="I1859">
        <v>0</v>
      </c>
      <c r="J1859">
        <v>1.99</v>
      </c>
      <c r="K1859">
        <v>0</v>
      </c>
    </row>
    <row r="1860" spans="1:11" x14ac:dyDescent="0.2">
      <c r="A1860">
        <v>99922</v>
      </c>
      <c r="B1860">
        <v>38767</v>
      </c>
      <c r="C1860" t="s">
        <v>5499</v>
      </c>
      <c r="D1860">
        <v>10</v>
      </c>
      <c r="E1860">
        <v>12</v>
      </c>
      <c r="F1860">
        <v>0</v>
      </c>
      <c r="G1860">
        <v>0</v>
      </c>
      <c r="H1860">
        <v>64</v>
      </c>
      <c r="I1860">
        <v>0</v>
      </c>
      <c r="J1860">
        <v>1.99</v>
      </c>
      <c r="K1860">
        <v>0</v>
      </c>
    </row>
    <row r="1861" spans="1:11" x14ac:dyDescent="0.2">
      <c r="A1861">
        <v>84234</v>
      </c>
      <c r="B1861">
        <v>38798</v>
      </c>
      <c r="C1861" t="s">
        <v>5500</v>
      </c>
      <c r="D1861">
        <v>8</v>
      </c>
      <c r="E1861">
        <v>12</v>
      </c>
      <c r="F1861">
        <v>391</v>
      </c>
      <c r="G1861">
        <v>4692</v>
      </c>
      <c r="H1861">
        <v>192</v>
      </c>
      <c r="I1861">
        <v>2</v>
      </c>
      <c r="J1861">
        <v>0.89</v>
      </c>
      <c r="K1861">
        <v>4175.88</v>
      </c>
    </row>
    <row r="1862" spans="1:11" x14ac:dyDescent="0.2">
      <c r="A1862">
        <v>69061</v>
      </c>
      <c r="B1862">
        <v>38885</v>
      </c>
      <c r="C1862" t="s">
        <v>5501</v>
      </c>
      <c r="D1862">
        <v>8</v>
      </c>
      <c r="E1862">
        <v>24</v>
      </c>
      <c r="F1862">
        <v>960</v>
      </c>
      <c r="G1862">
        <v>23045</v>
      </c>
      <c r="H1862">
        <v>80</v>
      </c>
      <c r="I1862">
        <v>12</v>
      </c>
      <c r="J1862">
        <v>1.29</v>
      </c>
      <c r="K1862">
        <v>29728.05</v>
      </c>
    </row>
    <row r="1863" spans="1:11" x14ac:dyDescent="0.2">
      <c r="A1863">
        <v>57253</v>
      </c>
      <c r="B1863">
        <v>38929</v>
      </c>
      <c r="C1863" t="s">
        <v>5502</v>
      </c>
      <c r="D1863">
        <v>10</v>
      </c>
      <c r="E1863">
        <v>12</v>
      </c>
      <c r="F1863">
        <v>0</v>
      </c>
      <c r="G1863">
        <v>0</v>
      </c>
      <c r="H1863">
        <v>104</v>
      </c>
      <c r="I1863">
        <v>0</v>
      </c>
      <c r="J1863">
        <v>1.19</v>
      </c>
      <c r="K1863">
        <v>0</v>
      </c>
    </row>
    <row r="1864" spans="1:11" x14ac:dyDescent="0.2">
      <c r="A1864">
        <v>99302</v>
      </c>
      <c r="B1864">
        <v>38930</v>
      </c>
      <c r="C1864" t="s">
        <v>5503</v>
      </c>
      <c r="D1864">
        <v>10</v>
      </c>
      <c r="E1864">
        <v>15</v>
      </c>
      <c r="F1864">
        <v>0</v>
      </c>
      <c r="G1864">
        <v>0</v>
      </c>
      <c r="H1864">
        <v>108</v>
      </c>
      <c r="I1864">
        <v>0</v>
      </c>
      <c r="J1864">
        <v>1.19</v>
      </c>
      <c r="K1864">
        <v>0</v>
      </c>
    </row>
    <row r="1865" spans="1:11" x14ac:dyDescent="0.2">
      <c r="A1865">
        <v>57543</v>
      </c>
      <c r="B1865">
        <v>38989</v>
      </c>
      <c r="C1865" t="s">
        <v>5504</v>
      </c>
      <c r="D1865">
        <v>10</v>
      </c>
      <c r="E1865">
        <v>21</v>
      </c>
      <c r="F1865">
        <v>10</v>
      </c>
      <c r="G1865">
        <v>215</v>
      </c>
      <c r="H1865">
        <v>72</v>
      </c>
      <c r="I1865">
        <v>0.1</v>
      </c>
      <c r="J1865">
        <v>2.99</v>
      </c>
      <c r="K1865">
        <v>642.85</v>
      </c>
    </row>
    <row r="1866" spans="1:11" x14ac:dyDescent="0.2">
      <c r="A1866">
        <v>57669</v>
      </c>
      <c r="B1866">
        <v>39008</v>
      </c>
      <c r="C1866" t="s">
        <v>5505</v>
      </c>
      <c r="D1866">
        <v>10</v>
      </c>
      <c r="E1866">
        <v>21</v>
      </c>
      <c r="F1866">
        <v>2</v>
      </c>
      <c r="G1866">
        <v>51</v>
      </c>
      <c r="H1866">
        <v>64</v>
      </c>
      <c r="I1866">
        <v>0</v>
      </c>
      <c r="J1866">
        <v>0.79</v>
      </c>
      <c r="K1866">
        <v>40.29</v>
      </c>
    </row>
    <row r="1867" spans="1:11" x14ac:dyDescent="0.2">
      <c r="A1867">
        <v>42623</v>
      </c>
      <c r="B1867">
        <v>39010</v>
      </c>
      <c r="C1867" t="s">
        <v>5506</v>
      </c>
      <c r="D1867">
        <v>10</v>
      </c>
      <c r="E1867">
        <v>6</v>
      </c>
      <c r="F1867">
        <v>1</v>
      </c>
      <c r="G1867">
        <v>6</v>
      </c>
      <c r="H1867">
        <v>95</v>
      </c>
      <c r="I1867">
        <v>0</v>
      </c>
      <c r="J1867">
        <v>3</v>
      </c>
      <c r="K1867">
        <v>18</v>
      </c>
    </row>
    <row r="1868" spans="1:11" x14ac:dyDescent="0.2">
      <c r="A1868">
        <v>82058</v>
      </c>
      <c r="B1868">
        <v>39060</v>
      </c>
      <c r="C1868" t="s">
        <v>5507</v>
      </c>
      <c r="D1868">
        <v>8</v>
      </c>
      <c r="E1868">
        <v>24</v>
      </c>
      <c r="F1868">
        <v>220</v>
      </c>
      <c r="G1868">
        <v>5280</v>
      </c>
      <c r="H1868">
        <v>80</v>
      </c>
      <c r="I1868">
        <v>2.8</v>
      </c>
      <c r="J1868">
        <v>1.35</v>
      </c>
      <c r="K1868">
        <v>7128</v>
      </c>
    </row>
    <row r="1869" spans="1:11" x14ac:dyDescent="0.2">
      <c r="A1869">
        <v>72149</v>
      </c>
      <c r="B1869">
        <v>39124</v>
      </c>
      <c r="C1869" t="s">
        <v>5508</v>
      </c>
      <c r="D1869">
        <v>8</v>
      </c>
      <c r="E1869">
        <v>12</v>
      </c>
      <c r="F1869">
        <v>902</v>
      </c>
      <c r="G1869">
        <v>10825</v>
      </c>
      <c r="H1869">
        <v>140</v>
      </c>
      <c r="I1869">
        <v>6.4</v>
      </c>
      <c r="J1869">
        <v>1.32</v>
      </c>
      <c r="K1869">
        <v>14289</v>
      </c>
    </row>
    <row r="1870" spans="1:11" x14ac:dyDescent="0.2">
      <c r="A1870">
        <v>57670</v>
      </c>
      <c r="B1870">
        <v>39128</v>
      </c>
      <c r="C1870" t="s">
        <v>5509</v>
      </c>
      <c r="D1870">
        <v>10</v>
      </c>
      <c r="E1870">
        <v>12</v>
      </c>
      <c r="F1870">
        <v>7</v>
      </c>
      <c r="G1870">
        <v>81</v>
      </c>
      <c r="H1870">
        <v>168</v>
      </c>
      <c r="I1870">
        <v>0</v>
      </c>
      <c r="J1870">
        <v>1.29</v>
      </c>
      <c r="K1870">
        <v>104.49</v>
      </c>
    </row>
    <row r="1871" spans="1:11" x14ac:dyDescent="0.2">
      <c r="A1871">
        <v>57671</v>
      </c>
      <c r="B1871">
        <v>39135</v>
      </c>
      <c r="C1871" t="s">
        <v>5510</v>
      </c>
      <c r="D1871">
        <v>10</v>
      </c>
      <c r="E1871">
        <v>12</v>
      </c>
      <c r="F1871">
        <v>13</v>
      </c>
      <c r="G1871">
        <v>159</v>
      </c>
      <c r="H1871">
        <v>150</v>
      </c>
      <c r="I1871">
        <v>0.1</v>
      </c>
      <c r="J1871">
        <v>1.29</v>
      </c>
      <c r="K1871">
        <v>205.11</v>
      </c>
    </row>
    <row r="1872" spans="1:11" x14ac:dyDescent="0.2">
      <c r="A1872">
        <v>95159</v>
      </c>
      <c r="B1872">
        <v>39172</v>
      </c>
      <c r="C1872" t="s">
        <v>5511</v>
      </c>
      <c r="D1872">
        <v>8</v>
      </c>
      <c r="E1872">
        <v>1</v>
      </c>
      <c r="F1872">
        <v>3150</v>
      </c>
      <c r="G1872">
        <v>3150</v>
      </c>
      <c r="H1872">
        <v>100</v>
      </c>
      <c r="I1872">
        <v>31.5</v>
      </c>
      <c r="J1872">
        <v>3.89</v>
      </c>
      <c r="K1872">
        <v>12253.5</v>
      </c>
    </row>
    <row r="1873" spans="1:11" x14ac:dyDescent="0.2">
      <c r="A1873">
        <v>57311</v>
      </c>
      <c r="B1873">
        <v>39384</v>
      </c>
      <c r="C1873" t="s">
        <v>5512</v>
      </c>
      <c r="D1873">
        <v>10</v>
      </c>
      <c r="E1873">
        <v>6</v>
      </c>
      <c r="F1873">
        <v>0</v>
      </c>
      <c r="G1873">
        <v>0</v>
      </c>
      <c r="H1873">
        <v>96</v>
      </c>
      <c r="I1873">
        <v>0</v>
      </c>
      <c r="J1873">
        <v>2.5</v>
      </c>
      <c r="K1873">
        <v>0</v>
      </c>
    </row>
    <row r="1874" spans="1:11" x14ac:dyDescent="0.2">
      <c r="A1874">
        <v>57544</v>
      </c>
      <c r="B1874">
        <v>39559</v>
      </c>
      <c r="C1874" t="s">
        <v>5513</v>
      </c>
      <c r="D1874">
        <v>10</v>
      </c>
      <c r="E1874">
        <v>24</v>
      </c>
      <c r="F1874">
        <v>2</v>
      </c>
      <c r="G1874">
        <v>40</v>
      </c>
      <c r="H1874">
        <v>48</v>
      </c>
      <c r="I1874">
        <v>0</v>
      </c>
      <c r="J1874">
        <v>1.69</v>
      </c>
      <c r="K1874">
        <v>67.599999999999994</v>
      </c>
    </row>
    <row r="1875" spans="1:11" x14ac:dyDescent="0.2">
      <c r="B1875">
        <v>39567</v>
      </c>
      <c r="C1875" t="s">
        <v>5514</v>
      </c>
      <c r="D1875">
        <v>6</v>
      </c>
      <c r="E1875">
        <v>30</v>
      </c>
      <c r="F1875">
        <v>0</v>
      </c>
      <c r="G1875">
        <v>0</v>
      </c>
      <c r="H1875">
        <v>180</v>
      </c>
      <c r="I1875">
        <v>0</v>
      </c>
      <c r="J1875">
        <v>0.79</v>
      </c>
      <c r="K1875">
        <v>0</v>
      </c>
    </row>
    <row r="1876" spans="1:11" x14ac:dyDescent="0.2">
      <c r="A1876">
        <v>52607</v>
      </c>
      <c r="B1876">
        <v>39644</v>
      </c>
      <c r="C1876" t="s">
        <v>5515</v>
      </c>
      <c r="D1876">
        <v>6</v>
      </c>
      <c r="E1876">
        <v>1</v>
      </c>
      <c r="F1876">
        <v>1050</v>
      </c>
      <c r="G1876">
        <v>1050</v>
      </c>
      <c r="H1876">
        <v>70</v>
      </c>
      <c r="I1876">
        <v>15</v>
      </c>
      <c r="J1876">
        <v>2.99</v>
      </c>
      <c r="K1876">
        <v>3139.5</v>
      </c>
    </row>
    <row r="1877" spans="1:11" x14ac:dyDescent="0.2">
      <c r="B1877">
        <v>39774</v>
      </c>
      <c r="C1877" t="s">
        <v>5516</v>
      </c>
      <c r="D1877">
        <v>11</v>
      </c>
      <c r="E1877">
        <v>5</v>
      </c>
      <c r="F1877">
        <v>0</v>
      </c>
      <c r="G1877">
        <v>0</v>
      </c>
      <c r="H1877">
        <v>60</v>
      </c>
      <c r="I1877">
        <v>0</v>
      </c>
      <c r="J1877">
        <v>2.4900000000000002</v>
      </c>
      <c r="K1877">
        <v>0</v>
      </c>
    </row>
    <row r="1878" spans="1:11" x14ac:dyDescent="0.2">
      <c r="A1878">
        <v>66085</v>
      </c>
      <c r="B1878">
        <v>39783</v>
      </c>
      <c r="C1878" t="s">
        <v>5517</v>
      </c>
      <c r="D1878">
        <v>8</v>
      </c>
      <c r="E1878">
        <v>20</v>
      </c>
      <c r="F1878">
        <v>405</v>
      </c>
      <c r="G1878">
        <v>8100</v>
      </c>
      <c r="H1878">
        <v>72</v>
      </c>
      <c r="I1878">
        <v>5.6</v>
      </c>
      <c r="J1878">
        <v>0.59</v>
      </c>
      <c r="K1878">
        <v>4779</v>
      </c>
    </row>
    <row r="1879" spans="1:11" x14ac:dyDescent="0.2">
      <c r="A1879">
        <v>81179</v>
      </c>
      <c r="B1879">
        <v>39786</v>
      </c>
      <c r="C1879" t="s">
        <v>5518</v>
      </c>
      <c r="D1879">
        <v>8</v>
      </c>
      <c r="E1879">
        <v>30</v>
      </c>
      <c r="F1879">
        <v>304</v>
      </c>
      <c r="G1879">
        <v>9120</v>
      </c>
      <c r="H1879">
        <v>64</v>
      </c>
      <c r="I1879">
        <v>4.8</v>
      </c>
      <c r="J1879">
        <v>1.25</v>
      </c>
      <c r="K1879">
        <v>11400</v>
      </c>
    </row>
    <row r="1880" spans="1:11" x14ac:dyDescent="0.2">
      <c r="B1880">
        <v>39835</v>
      </c>
      <c r="C1880" t="s">
        <v>5519</v>
      </c>
      <c r="D1880">
        <v>11</v>
      </c>
      <c r="E1880">
        <v>12</v>
      </c>
      <c r="F1880">
        <v>0</v>
      </c>
      <c r="G1880">
        <v>0</v>
      </c>
      <c r="H1880">
        <v>56</v>
      </c>
      <c r="I1880">
        <v>0</v>
      </c>
      <c r="J1880">
        <v>2.29</v>
      </c>
      <c r="K1880">
        <v>0</v>
      </c>
    </row>
    <row r="1881" spans="1:11" x14ac:dyDescent="0.2">
      <c r="B1881">
        <v>39850</v>
      </c>
      <c r="C1881" t="s">
        <v>5520</v>
      </c>
      <c r="D1881">
        <v>10</v>
      </c>
      <c r="E1881">
        <v>6</v>
      </c>
      <c r="F1881">
        <v>21</v>
      </c>
      <c r="G1881">
        <v>126</v>
      </c>
      <c r="H1881">
        <v>36</v>
      </c>
      <c r="I1881">
        <v>0.6</v>
      </c>
      <c r="J1881">
        <v>2.79</v>
      </c>
      <c r="K1881">
        <v>351.54</v>
      </c>
    </row>
    <row r="1882" spans="1:11" x14ac:dyDescent="0.2">
      <c r="B1882">
        <v>39921</v>
      </c>
      <c r="C1882" t="s">
        <v>5521</v>
      </c>
      <c r="D1882">
        <v>11</v>
      </c>
      <c r="E1882">
        <v>10</v>
      </c>
      <c r="F1882">
        <v>0</v>
      </c>
      <c r="G1882">
        <v>0</v>
      </c>
      <c r="H1882">
        <v>70</v>
      </c>
      <c r="I1882">
        <v>0</v>
      </c>
      <c r="J1882">
        <v>1.29</v>
      </c>
      <c r="K1882">
        <v>0</v>
      </c>
    </row>
    <row r="1883" spans="1:11" x14ac:dyDescent="0.2">
      <c r="B1883">
        <v>39924</v>
      </c>
      <c r="C1883" t="s">
        <v>5522</v>
      </c>
      <c r="D1883">
        <v>11</v>
      </c>
      <c r="E1883">
        <v>10</v>
      </c>
      <c r="F1883">
        <v>0</v>
      </c>
      <c r="G1883">
        <v>0</v>
      </c>
      <c r="H1883">
        <v>70</v>
      </c>
      <c r="I1883">
        <v>0</v>
      </c>
      <c r="J1883">
        <v>1.29</v>
      </c>
      <c r="K1883">
        <v>0</v>
      </c>
    </row>
    <row r="1884" spans="1:11" x14ac:dyDescent="0.2">
      <c r="A1884">
        <v>72109</v>
      </c>
      <c r="B1884">
        <v>39930</v>
      </c>
      <c r="C1884" t="s">
        <v>5523</v>
      </c>
      <c r="D1884">
        <v>8</v>
      </c>
      <c r="E1884">
        <v>10</v>
      </c>
      <c r="F1884">
        <v>186</v>
      </c>
      <c r="G1884">
        <v>1860</v>
      </c>
      <c r="H1884">
        <v>72</v>
      </c>
      <c r="I1884">
        <v>2.6</v>
      </c>
      <c r="J1884">
        <v>1.99</v>
      </c>
      <c r="K1884">
        <v>3701.4</v>
      </c>
    </row>
    <row r="1885" spans="1:11" x14ac:dyDescent="0.2">
      <c r="B1885">
        <v>40086</v>
      </c>
      <c r="C1885" t="s">
        <v>5524</v>
      </c>
      <c r="D1885">
        <v>6</v>
      </c>
      <c r="E1885">
        <v>24</v>
      </c>
      <c r="F1885">
        <v>0</v>
      </c>
      <c r="G1885">
        <v>0</v>
      </c>
      <c r="H1885">
        <v>72</v>
      </c>
      <c r="I1885">
        <v>0</v>
      </c>
      <c r="J1885">
        <v>0.89</v>
      </c>
      <c r="K1885">
        <v>0</v>
      </c>
    </row>
    <row r="1886" spans="1:11" x14ac:dyDescent="0.2">
      <c r="A1886">
        <v>71047</v>
      </c>
      <c r="B1886">
        <v>40225</v>
      </c>
      <c r="C1886" t="s">
        <v>4538</v>
      </c>
      <c r="D1886">
        <v>8</v>
      </c>
      <c r="E1886">
        <v>6</v>
      </c>
      <c r="F1886">
        <v>635</v>
      </c>
      <c r="G1886">
        <v>3811</v>
      </c>
      <c r="H1886">
        <v>125</v>
      </c>
      <c r="I1886">
        <v>5.0999999999999996</v>
      </c>
      <c r="J1886">
        <v>1.49</v>
      </c>
      <c r="K1886">
        <v>5678.39</v>
      </c>
    </row>
    <row r="1887" spans="1:11" x14ac:dyDescent="0.2">
      <c r="B1887">
        <v>40357</v>
      </c>
      <c r="C1887" t="s">
        <v>5525</v>
      </c>
      <c r="D1887">
        <v>11</v>
      </c>
      <c r="E1887">
        <v>1</v>
      </c>
      <c r="F1887">
        <v>0</v>
      </c>
      <c r="G1887">
        <v>0</v>
      </c>
      <c r="H1887">
        <v>56</v>
      </c>
      <c r="I1887">
        <v>0</v>
      </c>
      <c r="J1887">
        <v>4.59</v>
      </c>
      <c r="K1887">
        <v>0</v>
      </c>
    </row>
    <row r="1888" spans="1:11" x14ac:dyDescent="0.2">
      <c r="B1888">
        <v>40370</v>
      </c>
      <c r="C1888" t="s">
        <v>5526</v>
      </c>
      <c r="D1888">
        <v>11</v>
      </c>
      <c r="E1888">
        <v>10</v>
      </c>
      <c r="F1888">
        <v>0</v>
      </c>
      <c r="G1888">
        <v>0</v>
      </c>
      <c r="H1888">
        <v>60</v>
      </c>
      <c r="I1888">
        <v>0</v>
      </c>
      <c r="J1888">
        <v>1.19</v>
      </c>
      <c r="K1888">
        <v>0</v>
      </c>
    </row>
    <row r="1889" spans="1:11" x14ac:dyDescent="0.2">
      <c r="A1889">
        <v>57523</v>
      </c>
      <c r="B1889">
        <v>42879</v>
      </c>
      <c r="C1889" t="s">
        <v>5527</v>
      </c>
      <c r="D1889">
        <v>6</v>
      </c>
      <c r="E1889">
        <v>12</v>
      </c>
      <c r="F1889">
        <v>0</v>
      </c>
      <c r="G1889">
        <v>0</v>
      </c>
      <c r="H1889">
        <v>64</v>
      </c>
      <c r="I1889">
        <v>0</v>
      </c>
      <c r="J1889">
        <v>3.79</v>
      </c>
      <c r="K1889">
        <v>0</v>
      </c>
    </row>
    <row r="1890" spans="1:11" x14ac:dyDescent="0.2">
      <c r="A1890">
        <v>2625</v>
      </c>
      <c r="B1890">
        <v>42917</v>
      </c>
      <c r="C1890" t="s">
        <v>5528</v>
      </c>
      <c r="D1890">
        <v>6</v>
      </c>
      <c r="E1890">
        <v>8</v>
      </c>
      <c r="F1890">
        <v>0</v>
      </c>
      <c r="G1890">
        <v>0</v>
      </c>
      <c r="H1890">
        <v>54</v>
      </c>
      <c r="I1890">
        <v>0</v>
      </c>
      <c r="J1890">
        <v>1.49</v>
      </c>
      <c r="K1890">
        <v>0</v>
      </c>
    </row>
    <row r="1891" spans="1:11" x14ac:dyDescent="0.2">
      <c r="A1891">
        <v>57572</v>
      </c>
      <c r="B1891">
        <v>42951</v>
      </c>
      <c r="C1891" t="s">
        <v>5529</v>
      </c>
      <c r="D1891">
        <v>10</v>
      </c>
      <c r="E1891">
        <v>15</v>
      </c>
      <c r="F1891">
        <v>0</v>
      </c>
      <c r="G1891">
        <v>0</v>
      </c>
      <c r="H1891">
        <v>54</v>
      </c>
      <c r="I1891">
        <v>0</v>
      </c>
      <c r="J1891">
        <v>0.5</v>
      </c>
      <c r="K1891">
        <v>0</v>
      </c>
    </row>
    <row r="1892" spans="1:11" x14ac:dyDescent="0.2">
      <c r="B1892">
        <v>42996</v>
      </c>
      <c r="C1892" t="s">
        <v>5530</v>
      </c>
      <c r="D1892">
        <v>11</v>
      </c>
      <c r="E1892">
        <v>24</v>
      </c>
      <c r="F1892">
        <v>0</v>
      </c>
      <c r="G1892">
        <v>0</v>
      </c>
      <c r="H1892">
        <v>96</v>
      </c>
      <c r="I1892">
        <v>0</v>
      </c>
      <c r="J1892">
        <v>2.19</v>
      </c>
      <c r="K1892">
        <v>0</v>
      </c>
    </row>
    <row r="1893" spans="1:11" x14ac:dyDescent="0.2">
      <c r="A1893">
        <v>57153</v>
      </c>
      <c r="B1893">
        <v>43075</v>
      </c>
      <c r="C1893" t="s">
        <v>5531</v>
      </c>
      <c r="D1893">
        <v>11</v>
      </c>
      <c r="E1893">
        <v>20</v>
      </c>
      <c r="F1893">
        <v>0</v>
      </c>
      <c r="G1893">
        <v>0</v>
      </c>
      <c r="H1893">
        <v>160</v>
      </c>
      <c r="I1893">
        <v>0</v>
      </c>
      <c r="J1893">
        <v>1.5</v>
      </c>
      <c r="K1893">
        <v>0</v>
      </c>
    </row>
    <row r="1894" spans="1:11" x14ac:dyDescent="0.2">
      <c r="A1894">
        <v>57672</v>
      </c>
      <c r="B1894">
        <v>43077</v>
      </c>
      <c r="C1894" t="s">
        <v>5532</v>
      </c>
      <c r="D1894">
        <v>10</v>
      </c>
      <c r="E1894">
        <v>15</v>
      </c>
      <c r="F1894">
        <v>-1</v>
      </c>
      <c r="G1894">
        <v>-11</v>
      </c>
      <c r="H1894">
        <v>28</v>
      </c>
      <c r="I1894">
        <v>0</v>
      </c>
      <c r="J1894">
        <v>1.19</v>
      </c>
      <c r="K1894">
        <v>-13.09</v>
      </c>
    </row>
    <row r="1895" spans="1:11" x14ac:dyDescent="0.2">
      <c r="B1895">
        <v>43126</v>
      </c>
      <c r="C1895" t="s">
        <v>5533</v>
      </c>
      <c r="D1895">
        <v>11</v>
      </c>
      <c r="E1895">
        <v>12</v>
      </c>
      <c r="F1895">
        <v>0</v>
      </c>
      <c r="G1895">
        <v>0</v>
      </c>
      <c r="H1895">
        <v>100</v>
      </c>
      <c r="I1895">
        <v>0</v>
      </c>
      <c r="J1895">
        <v>2.99</v>
      </c>
      <c r="K1895">
        <v>0</v>
      </c>
    </row>
    <row r="1896" spans="1:11" x14ac:dyDescent="0.2">
      <c r="B1896">
        <v>43127</v>
      </c>
      <c r="C1896" t="s">
        <v>5534</v>
      </c>
      <c r="D1896">
        <v>11</v>
      </c>
      <c r="E1896">
        <v>15</v>
      </c>
      <c r="F1896">
        <v>0</v>
      </c>
      <c r="G1896">
        <v>0</v>
      </c>
      <c r="H1896">
        <v>28</v>
      </c>
      <c r="I1896">
        <v>0</v>
      </c>
      <c r="J1896">
        <v>1.49</v>
      </c>
      <c r="K1896">
        <v>0</v>
      </c>
    </row>
    <row r="1897" spans="1:11" x14ac:dyDescent="0.2">
      <c r="A1897">
        <v>4642</v>
      </c>
      <c r="B1897">
        <v>43358</v>
      </c>
      <c r="C1897" t="s">
        <v>5535</v>
      </c>
      <c r="D1897">
        <v>6</v>
      </c>
      <c r="E1897">
        <v>22</v>
      </c>
      <c r="F1897">
        <v>2</v>
      </c>
      <c r="G1897">
        <v>33</v>
      </c>
      <c r="H1897">
        <v>80</v>
      </c>
      <c r="I1897">
        <v>0</v>
      </c>
      <c r="J1897">
        <v>1.49</v>
      </c>
      <c r="K1897">
        <v>49.17</v>
      </c>
    </row>
    <row r="1898" spans="1:11" x14ac:dyDescent="0.2">
      <c r="A1898">
        <v>85254</v>
      </c>
      <c r="B1898">
        <v>43990</v>
      </c>
      <c r="C1898" t="s">
        <v>5536</v>
      </c>
      <c r="D1898">
        <v>10</v>
      </c>
      <c r="E1898">
        <v>12</v>
      </c>
      <c r="F1898">
        <v>0</v>
      </c>
      <c r="G1898">
        <v>0</v>
      </c>
      <c r="H1898">
        <v>272</v>
      </c>
      <c r="I1898">
        <v>0</v>
      </c>
      <c r="J1898">
        <v>0.49</v>
      </c>
      <c r="K1898">
        <v>0</v>
      </c>
    </row>
    <row r="1899" spans="1:11" x14ac:dyDescent="0.2">
      <c r="A1899">
        <v>62248</v>
      </c>
      <c r="B1899">
        <v>44026</v>
      </c>
      <c r="C1899" t="s">
        <v>5537</v>
      </c>
      <c r="D1899">
        <v>8</v>
      </c>
      <c r="E1899">
        <v>12</v>
      </c>
      <c r="F1899">
        <v>431</v>
      </c>
      <c r="G1899">
        <v>5173</v>
      </c>
      <c r="H1899">
        <v>88</v>
      </c>
      <c r="I1899">
        <v>4.9000000000000004</v>
      </c>
      <c r="J1899">
        <v>1.66</v>
      </c>
      <c r="K1899">
        <v>8587.18</v>
      </c>
    </row>
    <row r="1900" spans="1:11" x14ac:dyDescent="0.2">
      <c r="A1900">
        <v>35511</v>
      </c>
      <c r="B1900">
        <v>44220</v>
      </c>
      <c r="C1900" t="s">
        <v>5538</v>
      </c>
      <c r="D1900">
        <v>10</v>
      </c>
      <c r="E1900">
        <v>6</v>
      </c>
      <c r="F1900">
        <v>0</v>
      </c>
      <c r="G1900">
        <v>0</v>
      </c>
      <c r="H1900">
        <v>66</v>
      </c>
      <c r="I1900">
        <v>0</v>
      </c>
      <c r="J1900">
        <v>3.99</v>
      </c>
      <c r="K1900">
        <v>0</v>
      </c>
    </row>
    <row r="1901" spans="1:11" x14ac:dyDescent="0.2">
      <c r="A1901">
        <v>42647</v>
      </c>
      <c r="B1901">
        <v>44740</v>
      </c>
      <c r="C1901" t="s">
        <v>5539</v>
      </c>
      <c r="D1901">
        <v>10</v>
      </c>
      <c r="E1901">
        <v>24</v>
      </c>
      <c r="F1901">
        <v>1</v>
      </c>
      <c r="G1901">
        <v>24</v>
      </c>
      <c r="H1901">
        <v>36</v>
      </c>
      <c r="I1901">
        <v>0</v>
      </c>
      <c r="J1901">
        <v>1.69</v>
      </c>
      <c r="K1901">
        <v>40.56</v>
      </c>
    </row>
    <row r="1902" spans="1:11" x14ac:dyDescent="0.2">
      <c r="A1902">
        <v>57673</v>
      </c>
      <c r="B1902">
        <v>44742</v>
      </c>
      <c r="C1902" t="s">
        <v>5540</v>
      </c>
      <c r="D1902">
        <v>10</v>
      </c>
      <c r="E1902">
        <v>24</v>
      </c>
      <c r="F1902">
        <v>0</v>
      </c>
      <c r="G1902">
        <v>0</v>
      </c>
      <c r="H1902">
        <v>36</v>
      </c>
      <c r="I1902">
        <v>0</v>
      </c>
      <c r="J1902">
        <v>1.19</v>
      </c>
      <c r="K1902">
        <v>0</v>
      </c>
    </row>
    <row r="1903" spans="1:11" x14ac:dyDescent="0.2">
      <c r="A1903">
        <v>4616</v>
      </c>
      <c r="B1903">
        <v>44867</v>
      </c>
      <c r="C1903" t="s">
        <v>5541</v>
      </c>
      <c r="D1903">
        <v>6</v>
      </c>
      <c r="E1903">
        <v>10</v>
      </c>
      <c r="F1903">
        <v>0</v>
      </c>
      <c r="G1903">
        <v>0</v>
      </c>
      <c r="H1903">
        <v>50</v>
      </c>
      <c r="I1903">
        <v>0</v>
      </c>
      <c r="J1903">
        <v>1.49</v>
      </c>
      <c r="K1903">
        <v>0</v>
      </c>
    </row>
    <row r="1904" spans="1:11" x14ac:dyDescent="0.2">
      <c r="A1904">
        <v>57545</v>
      </c>
      <c r="B1904">
        <v>44872</v>
      </c>
      <c r="C1904" t="s">
        <v>5542</v>
      </c>
      <c r="D1904">
        <v>10</v>
      </c>
      <c r="E1904">
        <v>10</v>
      </c>
      <c r="F1904">
        <v>7</v>
      </c>
      <c r="G1904">
        <v>72</v>
      </c>
      <c r="H1904">
        <v>50</v>
      </c>
      <c r="I1904">
        <v>0.1</v>
      </c>
      <c r="J1904">
        <v>1.69</v>
      </c>
      <c r="K1904">
        <v>121.68</v>
      </c>
    </row>
    <row r="1905" spans="1:11" x14ac:dyDescent="0.2">
      <c r="A1905">
        <v>61085</v>
      </c>
      <c r="B1905">
        <v>44976</v>
      </c>
      <c r="C1905" t="s">
        <v>5543</v>
      </c>
      <c r="D1905">
        <v>8</v>
      </c>
      <c r="E1905">
        <v>6</v>
      </c>
      <c r="F1905">
        <v>595</v>
      </c>
      <c r="G1905">
        <v>3570</v>
      </c>
      <c r="H1905">
        <v>105</v>
      </c>
      <c r="I1905">
        <v>5.7</v>
      </c>
      <c r="J1905">
        <v>4.49</v>
      </c>
      <c r="K1905">
        <v>16029.3</v>
      </c>
    </row>
    <row r="1906" spans="1:11" x14ac:dyDescent="0.2">
      <c r="A1906">
        <v>57674</v>
      </c>
      <c r="B1906">
        <v>44977</v>
      </c>
      <c r="C1906" t="s">
        <v>5544</v>
      </c>
      <c r="D1906">
        <v>10</v>
      </c>
      <c r="E1906">
        <v>12</v>
      </c>
      <c r="F1906">
        <v>1</v>
      </c>
      <c r="G1906">
        <v>16</v>
      </c>
      <c r="H1906">
        <v>54</v>
      </c>
      <c r="I1906">
        <v>0</v>
      </c>
      <c r="J1906">
        <v>1.19</v>
      </c>
      <c r="K1906">
        <v>19.04</v>
      </c>
    </row>
    <row r="1907" spans="1:11" x14ac:dyDescent="0.2">
      <c r="A1907">
        <v>73243</v>
      </c>
      <c r="B1907">
        <v>45025</v>
      </c>
      <c r="C1907" t="s">
        <v>5545</v>
      </c>
      <c r="D1907">
        <v>8</v>
      </c>
      <c r="E1907">
        <v>16</v>
      </c>
      <c r="F1907">
        <v>783</v>
      </c>
      <c r="G1907">
        <v>12527</v>
      </c>
      <c r="H1907">
        <v>102</v>
      </c>
      <c r="I1907">
        <v>7.7</v>
      </c>
      <c r="J1907">
        <v>1.39</v>
      </c>
      <c r="K1907">
        <v>17412.53</v>
      </c>
    </row>
    <row r="1908" spans="1:11" x14ac:dyDescent="0.2">
      <c r="A1908">
        <v>93045</v>
      </c>
      <c r="B1908">
        <v>45049</v>
      </c>
      <c r="C1908" t="s">
        <v>5546</v>
      </c>
      <c r="D1908">
        <v>10</v>
      </c>
      <c r="E1908">
        <v>10</v>
      </c>
      <c r="F1908">
        <v>1</v>
      </c>
      <c r="G1908">
        <v>10</v>
      </c>
      <c r="H1908">
        <v>10</v>
      </c>
      <c r="I1908">
        <v>0.1</v>
      </c>
      <c r="J1908">
        <v>16.989999999999998</v>
      </c>
      <c r="K1908">
        <v>169.9</v>
      </c>
    </row>
    <row r="1909" spans="1:11" x14ac:dyDescent="0.2">
      <c r="A1909">
        <v>57189</v>
      </c>
      <c r="B1909">
        <v>45100</v>
      </c>
      <c r="C1909" t="s">
        <v>5547</v>
      </c>
      <c r="D1909">
        <v>11</v>
      </c>
      <c r="E1909">
        <v>10</v>
      </c>
      <c r="F1909">
        <v>0</v>
      </c>
      <c r="G1909">
        <v>0</v>
      </c>
      <c r="H1909">
        <v>90</v>
      </c>
      <c r="I1909">
        <v>0</v>
      </c>
      <c r="J1909">
        <v>1.1000000000000001</v>
      </c>
      <c r="K1909">
        <v>0</v>
      </c>
    </row>
    <row r="1910" spans="1:11" x14ac:dyDescent="0.2">
      <c r="A1910">
        <v>61201</v>
      </c>
      <c r="B1910">
        <v>45112</v>
      </c>
      <c r="C1910" t="s">
        <v>5548</v>
      </c>
      <c r="D1910">
        <v>8</v>
      </c>
      <c r="E1910">
        <v>6</v>
      </c>
      <c r="F1910">
        <v>352</v>
      </c>
      <c r="G1910">
        <v>2110</v>
      </c>
      <c r="H1910">
        <v>105</v>
      </c>
      <c r="I1910">
        <v>3.3</v>
      </c>
      <c r="J1910">
        <v>3.09</v>
      </c>
      <c r="K1910">
        <v>6519.9</v>
      </c>
    </row>
    <row r="1911" spans="1:11" x14ac:dyDescent="0.2">
      <c r="A1911">
        <v>62236</v>
      </c>
      <c r="B1911">
        <v>45336</v>
      </c>
      <c r="C1911" t="s">
        <v>5549</v>
      </c>
      <c r="D1911">
        <v>8</v>
      </c>
      <c r="E1911">
        <v>12</v>
      </c>
      <c r="F1911">
        <v>1235</v>
      </c>
      <c r="G1911">
        <v>14818</v>
      </c>
      <c r="H1911">
        <v>63</v>
      </c>
      <c r="I1911">
        <v>19.600000000000001</v>
      </c>
      <c r="J1911">
        <v>0.95</v>
      </c>
      <c r="K1911">
        <v>14077.1</v>
      </c>
    </row>
    <row r="1912" spans="1:11" x14ac:dyDescent="0.2">
      <c r="A1912">
        <v>62267</v>
      </c>
      <c r="B1912">
        <v>45338</v>
      </c>
      <c r="C1912" t="s">
        <v>5550</v>
      </c>
      <c r="D1912">
        <v>8</v>
      </c>
      <c r="E1912">
        <v>8</v>
      </c>
      <c r="F1912">
        <v>1494</v>
      </c>
      <c r="G1912">
        <v>11949</v>
      </c>
      <c r="H1912">
        <v>144</v>
      </c>
      <c r="I1912">
        <v>10.4</v>
      </c>
      <c r="J1912">
        <v>1.24</v>
      </c>
      <c r="K1912">
        <v>14816.76</v>
      </c>
    </row>
    <row r="1913" spans="1:11" x14ac:dyDescent="0.2">
      <c r="A1913">
        <v>72001</v>
      </c>
      <c r="B1913">
        <v>45386</v>
      </c>
      <c r="C1913" t="s">
        <v>5551</v>
      </c>
      <c r="D1913">
        <v>8</v>
      </c>
      <c r="E1913">
        <v>32</v>
      </c>
      <c r="F1913">
        <v>101</v>
      </c>
      <c r="G1913">
        <v>3232</v>
      </c>
      <c r="H1913">
        <v>88</v>
      </c>
      <c r="I1913">
        <v>1.1000000000000001</v>
      </c>
      <c r="J1913">
        <v>1.39</v>
      </c>
      <c r="K1913">
        <v>4492.4799999999996</v>
      </c>
    </row>
    <row r="1914" spans="1:11" x14ac:dyDescent="0.2">
      <c r="B1914">
        <v>45464</v>
      </c>
      <c r="C1914" t="s">
        <v>5552</v>
      </c>
      <c r="D1914">
        <v>11</v>
      </c>
      <c r="E1914">
        <v>20</v>
      </c>
      <c r="F1914">
        <v>0</v>
      </c>
      <c r="G1914">
        <v>0</v>
      </c>
      <c r="H1914">
        <v>96</v>
      </c>
      <c r="I1914">
        <v>0</v>
      </c>
      <c r="J1914">
        <v>1.49</v>
      </c>
      <c r="K1914">
        <v>0</v>
      </c>
    </row>
    <row r="1915" spans="1:11" x14ac:dyDescent="0.2">
      <c r="A1915">
        <v>0</v>
      </c>
      <c r="B1915">
        <v>45484</v>
      </c>
      <c r="C1915" t="s">
        <v>5553</v>
      </c>
      <c r="D1915">
        <v>10</v>
      </c>
      <c r="E1915">
        <v>10</v>
      </c>
      <c r="F1915">
        <v>0</v>
      </c>
      <c r="G1915">
        <v>0</v>
      </c>
      <c r="H1915">
        <v>112</v>
      </c>
      <c r="I1915">
        <v>0</v>
      </c>
      <c r="J1915">
        <v>0.79</v>
      </c>
      <c r="K1915">
        <v>0</v>
      </c>
    </row>
    <row r="1916" spans="1:11" x14ac:dyDescent="0.2">
      <c r="B1916">
        <v>45943</v>
      </c>
      <c r="C1916" t="s">
        <v>5554</v>
      </c>
      <c r="D1916">
        <v>10</v>
      </c>
      <c r="E1916">
        <v>9</v>
      </c>
      <c r="F1916">
        <v>-8</v>
      </c>
      <c r="G1916">
        <v>-72</v>
      </c>
      <c r="H1916">
        <v>96</v>
      </c>
      <c r="I1916">
        <v>-0.1</v>
      </c>
      <c r="J1916">
        <v>1.99</v>
      </c>
      <c r="K1916">
        <v>-143.28</v>
      </c>
    </row>
    <row r="1917" spans="1:11" x14ac:dyDescent="0.2">
      <c r="A1917">
        <v>66269</v>
      </c>
      <c r="B1917">
        <v>45986</v>
      </c>
      <c r="C1917" t="s">
        <v>5555</v>
      </c>
      <c r="D1917">
        <v>8</v>
      </c>
      <c r="E1917">
        <v>24</v>
      </c>
      <c r="F1917">
        <v>219</v>
      </c>
      <c r="G1917">
        <v>5256</v>
      </c>
      <c r="H1917">
        <v>36</v>
      </c>
      <c r="I1917">
        <v>6.1</v>
      </c>
      <c r="J1917">
        <v>1.69</v>
      </c>
      <c r="K1917">
        <v>8882.64</v>
      </c>
    </row>
    <row r="1918" spans="1:11" x14ac:dyDescent="0.2">
      <c r="A1918">
        <v>46151</v>
      </c>
      <c r="B1918">
        <v>46151</v>
      </c>
      <c r="C1918" t="s">
        <v>5556</v>
      </c>
      <c r="D1918">
        <v>10</v>
      </c>
      <c r="E1918">
        <v>12</v>
      </c>
      <c r="F1918">
        <v>0</v>
      </c>
      <c r="G1918">
        <v>0</v>
      </c>
      <c r="H1918">
        <v>30</v>
      </c>
      <c r="I1918">
        <v>0</v>
      </c>
      <c r="J1918">
        <v>3</v>
      </c>
      <c r="K1918">
        <v>0</v>
      </c>
    </row>
    <row r="1919" spans="1:11" x14ac:dyDescent="0.2">
      <c r="A1919">
        <v>57675</v>
      </c>
      <c r="B1919">
        <v>46501</v>
      </c>
      <c r="C1919" t="s">
        <v>5557</v>
      </c>
      <c r="D1919">
        <v>10</v>
      </c>
      <c r="E1919">
        <v>8</v>
      </c>
      <c r="F1919">
        <v>3</v>
      </c>
      <c r="G1919">
        <v>24</v>
      </c>
      <c r="H1919">
        <v>48</v>
      </c>
      <c r="I1919">
        <v>0.1</v>
      </c>
      <c r="J1919">
        <v>3.79</v>
      </c>
      <c r="K1919">
        <v>90.96</v>
      </c>
    </row>
    <row r="1920" spans="1:11" x14ac:dyDescent="0.2">
      <c r="A1920">
        <v>48602</v>
      </c>
      <c r="B1920">
        <v>47114</v>
      </c>
      <c r="C1920" t="s">
        <v>5558</v>
      </c>
      <c r="D1920">
        <v>10</v>
      </c>
      <c r="E1920">
        <v>20</v>
      </c>
      <c r="F1920">
        <v>-1</v>
      </c>
      <c r="G1920">
        <v>-20</v>
      </c>
      <c r="H1920">
        <v>42</v>
      </c>
      <c r="I1920">
        <v>0</v>
      </c>
      <c r="J1920">
        <v>2.99</v>
      </c>
      <c r="K1920">
        <v>-59.8</v>
      </c>
    </row>
    <row r="1921" spans="1:11" x14ac:dyDescent="0.2">
      <c r="A1921">
        <v>74206</v>
      </c>
      <c r="B1921">
        <v>47349</v>
      </c>
      <c r="C1921" t="s">
        <v>5559</v>
      </c>
      <c r="D1921">
        <v>8</v>
      </c>
      <c r="E1921">
        <v>19</v>
      </c>
      <c r="F1921">
        <v>91</v>
      </c>
      <c r="G1921">
        <v>1729</v>
      </c>
      <c r="H1921">
        <v>90</v>
      </c>
      <c r="I1921">
        <v>1</v>
      </c>
      <c r="J1921">
        <v>0.99</v>
      </c>
      <c r="K1921">
        <v>1711.71</v>
      </c>
    </row>
    <row r="1922" spans="1:11" x14ac:dyDescent="0.2">
      <c r="A1922">
        <v>49663</v>
      </c>
      <c r="B1922">
        <v>47428</v>
      </c>
      <c r="C1922" t="s">
        <v>5560</v>
      </c>
      <c r="D1922">
        <v>10</v>
      </c>
      <c r="E1922">
        <v>12</v>
      </c>
      <c r="F1922">
        <v>4</v>
      </c>
      <c r="G1922">
        <v>45</v>
      </c>
      <c r="H1922">
        <v>168</v>
      </c>
      <c r="I1922">
        <v>0</v>
      </c>
      <c r="J1922">
        <v>1.49</v>
      </c>
      <c r="K1922">
        <v>67.05</v>
      </c>
    </row>
    <row r="1923" spans="1:11" x14ac:dyDescent="0.2">
      <c r="A1923">
        <v>70265</v>
      </c>
      <c r="B1923">
        <v>47439</v>
      </c>
      <c r="C1923" t="s">
        <v>5561</v>
      </c>
      <c r="D1923">
        <v>8</v>
      </c>
      <c r="E1923">
        <v>27</v>
      </c>
      <c r="F1923">
        <v>284</v>
      </c>
      <c r="G1923">
        <v>7668</v>
      </c>
      <c r="H1923">
        <v>96</v>
      </c>
      <c r="I1923">
        <v>3</v>
      </c>
      <c r="J1923">
        <v>2.39</v>
      </c>
      <c r="K1923">
        <v>18326.52</v>
      </c>
    </row>
    <row r="1924" spans="1:11" x14ac:dyDescent="0.2">
      <c r="A1924">
        <v>61267</v>
      </c>
      <c r="B1924">
        <v>47524</v>
      </c>
      <c r="C1924" t="s">
        <v>5562</v>
      </c>
      <c r="D1924">
        <v>8</v>
      </c>
      <c r="E1924">
        <v>6</v>
      </c>
      <c r="F1924">
        <v>772</v>
      </c>
      <c r="G1924">
        <v>4632</v>
      </c>
      <c r="H1924">
        <v>76</v>
      </c>
      <c r="I1924">
        <v>10.199999999999999</v>
      </c>
      <c r="J1924">
        <v>10.69</v>
      </c>
      <c r="K1924">
        <v>49516.08</v>
      </c>
    </row>
    <row r="1925" spans="1:11" x14ac:dyDescent="0.2">
      <c r="A1925">
        <v>41615</v>
      </c>
      <c r="B1925">
        <v>47525</v>
      </c>
      <c r="C1925" t="s">
        <v>5563</v>
      </c>
      <c r="D1925">
        <v>10</v>
      </c>
      <c r="E1925">
        <v>6</v>
      </c>
      <c r="F1925">
        <v>1</v>
      </c>
      <c r="G1925">
        <v>6</v>
      </c>
      <c r="H1925">
        <v>100</v>
      </c>
      <c r="I1925">
        <v>0</v>
      </c>
      <c r="J1925">
        <v>3</v>
      </c>
      <c r="K1925">
        <v>18</v>
      </c>
    </row>
    <row r="1926" spans="1:11" x14ac:dyDescent="0.2">
      <c r="A1926">
        <v>48800</v>
      </c>
      <c r="B1926">
        <v>47680</v>
      </c>
      <c r="C1926" t="s">
        <v>5564</v>
      </c>
      <c r="D1926">
        <v>10</v>
      </c>
      <c r="E1926">
        <v>10</v>
      </c>
      <c r="F1926">
        <v>0</v>
      </c>
      <c r="G1926">
        <v>0</v>
      </c>
      <c r="H1926">
        <v>72</v>
      </c>
      <c r="I1926">
        <v>0</v>
      </c>
      <c r="J1926">
        <v>9.99</v>
      </c>
      <c r="K1926">
        <v>0</v>
      </c>
    </row>
    <row r="1927" spans="1:11" x14ac:dyDescent="0.2">
      <c r="A1927">
        <v>57573</v>
      </c>
      <c r="B1927">
        <v>47706</v>
      </c>
      <c r="C1927" t="s">
        <v>5565</v>
      </c>
      <c r="D1927">
        <v>10</v>
      </c>
      <c r="E1927">
        <v>6</v>
      </c>
      <c r="F1927">
        <v>4</v>
      </c>
      <c r="G1927">
        <v>24</v>
      </c>
      <c r="H1927">
        <v>96</v>
      </c>
      <c r="I1927">
        <v>0</v>
      </c>
      <c r="J1927">
        <v>1</v>
      </c>
      <c r="K1927">
        <v>24</v>
      </c>
    </row>
    <row r="1928" spans="1:11" x14ac:dyDescent="0.2">
      <c r="A1928">
        <v>49163</v>
      </c>
      <c r="B1928">
        <v>47820</v>
      </c>
      <c r="C1928" t="s">
        <v>5566</v>
      </c>
      <c r="D1928">
        <v>10</v>
      </c>
      <c r="E1928">
        <v>10</v>
      </c>
      <c r="F1928">
        <v>0</v>
      </c>
      <c r="G1928">
        <v>0</v>
      </c>
      <c r="H1928">
        <v>100</v>
      </c>
      <c r="I1928">
        <v>0</v>
      </c>
      <c r="J1928">
        <v>9.99</v>
      </c>
      <c r="K1928">
        <v>0</v>
      </c>
    </row>
    <row r="1929" spans="1:11" x14ac:dyDescent="0.2">
      <c r="B1929">
        <v>47947</v>
      </c>
      <c r="C1929" t="s">
        <v>5567</v>
      </c>
      <c r="D1929">
        <v>11</v>
      </c>
      <c r="E1929">
        <v>24</v>
      </c>
      <c r="F1929">
        <v>0</v>
      </c>
      <c r="G1929">
        <v>0</v>
      </c>
      <c r="H1929">
        <v>63</v>
      </c>
      <c r="I1929">
        <v>0</v>
      </c>
      <c r="J1929">
        <v>1.69</v>
      </c>
      <c r="K1929">
        <v>0</v>
      </c>
    </row>
    <row r="1930" spans="1:11" x14ac:dyDescent="0.2">
      <c r="A1930">
        <v>49141</v>
      </c>
      <c r="B1930">
        <v>48050</v>
      </c>
      <c r="C1930" t="s">
        <v>5568</v>
      </c>
      <c r="D1930">
        <v>10</v>
      </c>
      <c r="E1930">
        <v>6</v>
      </c>
      <c r="F1930">
        <v>1</v>
      </c>
      <c r="G1930">
        <v>6</v>
      </c>
      <c r="H1930">
        <v>72</v>
      </c>
      <c r="I1930">
        <v>0</v>
      </c>
      <c r="J1930">
        <v>11.99</v>
      </c>
      <c r="K1930">
        <v>71.94</v>
      </c>
    </row>
    <row r="1931" spans="1:11" x14ac:dyDescent="0.2">
      <c r="A1931">
        <v>75190</v>
      </c>
      <c r="B1931">
        <v>48179</v>
      </c>
      <c r="C1931" t="s">
        <v>5569</v>
      </c>
      <c r="D1931">
        <v>9</v>
      </c>
      <c r="E1931">
        <v>10</v>
      </c>
      <c r="F1931">
        <v>153</v>
      </c>
      <c r="G1931">
        <v>1530</v>
      </c>
      <c r="H1931">
        <v>104</v>
      </c>
      <c r="I1931">
        <v>1.5</v>
      </c>
      <c r="J1931">
        <v>0.89</v>
      </c>
      <c r="K1931">
        <v>1361.7</v>
      </c>
    </row>
    <row r="1932" spans="1:11" x14ac:dyDescent="0.2">
      <c r="A1932">
        <v>73087</v>
      </c>
      <c r="B1932">
        <v>48251</v>
      </c>
      <c r="C1932" t="s">
        <v>5570</v>
      </c>
      <c r="D1932">
        <v>9</v>
      </c>
      <c r="E1932">
        <v>15</v>
      </c>
      <c r="F1932">
        <v>594</v>
      </c>
      <c r="G1932">
        <v>8910</v>
      </c>
      <c r="H1932">
        <v>154</v>
      </c>
      <c r="I1932">
        <v>3.9</v>
      </c>
      <c r="J1932">
        <v>1.29</v>
      </c>
      <c r="K1932">
        <v>11493.9</v>
      </c>
    </row>
    <row r="1933" spans="1:11" x14ac:dyDescent="0.2">
      <c r="B1933">
        <v>48373</v>
      </c>
      <c r="C1933" t="s">
        <v>5571</v>
      </c>
      <c r="D1933">
        <v>11</v>
      </c>
      <c r="E1933">
        <v>1</v>
      </c>
      <c r="F1933">
        <v>0</v>
      </c>
      <c r="G1933">
        <v>0</v>
      </c>
      <c r="H1933">
        <v>160</v>
      </c>
      <c r="I1933">
        <v>0</v>
      </c>
      <c r="J1933">
        <v>2.59</v>
      </c>
      <c r="K1933">
        <v>0</v>
      </c>
    </row>
    <row r="1934" spans="1:11" x14ac:dyDescent="0.2">
      <c r="A1934">
        <v>99255</v>
      </c>
      <c r="B1934">
        <v>48376</v>
      </c>
      <c r="C1934" t="s">
        <v>5572</v>
      </c>
      <c r="D1934">
        <v>10</v>
      </c>
      <c r="E1934">
        <v>10</v>
      </c>
      <c r="F1934">
        <v>0</v>
      </c>
      <c r="G1934">
        <v>0</v>
      </c>
      <c r="H1934">
        <v>54</v>
      </c>
      <c r="I1934">
        <v>0</v>
      </c>
      <c r="J1934">
        <v>3.19</v>
      </c>
      <c r="K1934">
        <v>0</v>
      </c>
    </row>
    <row r="1935" spans="1:11" x14ac:dyDescent="0.2">
      <c r="A1935">
        <v>4617</v>
      </c>
      <c r="B1935">
        <v>48404</v>
      </c>
      <c r="C1935" t="s">
        <v>5573</v>
      </c>
      <c r="D1935">
        <v>6</v>
      </c>
      <c r="E1935">
        <v>16</v>
      </c>
      <c r="F1935">
        <v>0</v>
      </c>
      <c r="G1935">
        <v>0</v>
      </c>
      <c r="H1935">
        <v>90</v>
      </c>
      <c r="I1935">
        <v>0</v>
      </c>
      <c r="J1935">
        <v>1.49</v>
      </c>
      <c r="K1935">
        <v>0</v>
      </c>
    </row>
    <row r="1936" spans="1:11" x14ac:dyDescent="0.2">
      <c r="A1936">
        <v>2626</v>
      </c>
      <c r="B1936">
        <v>48519</v>
      </c>
      <c r="C1936" t="s">
        <v>5574</v>
      </c>
      <c r="D1936">
        <v>6</v>
      </c>
      <c r="E1936">
        <v>3</v>
      </c>
      <c r="F1936">
        <v>660</v>
      </c>
      <c r="G1936">
        <v>1980</v>
      </c>
      <c r="H1936">
        <v>60</v>
      </c>
      <c r="I1936">
        <v>11</v>
      </c>
      <c r="J1936">
        <v>6.99</v>
      </c>
      <c r="K1936">
        <v>13840.2</v>
      </c>
    </row>
    <row r="1937" spans="1:11" x14ac:dyDescent="0.2">
      <c r="B1937">
        <v>48567</v>
      </c>
      <c r="C1937" t="s">
        <v>5575</v>
      </c>
      <c r="D1937">
        <v>11</v>
      </c>
      <c r="E1937">
        <v>20</v>
      </c>
      <c r="F1937">
        <v>0</v>
      </c>
      <c r="G1937">
        <v>0</v>
      </c>
      <c r="H1937">
        <v>294</v>
      </c>
      <c r="I1937">
        <v>0</v>
      </c>
      <c r="J1937">
        <v>1.29</v>
      </c>
      <c r="K1937">
        <v>0</v>
      </c>
    </row>
    <row r="1938" spans="1:11" x14ac:dyDescent="0.2">
      <c r="A1938">
        <v>81030</v>
      </c>
      <c r="B1938">
        <v>48618</v>
      </c>
      <c r="C1938" t="s">
        <v>5576</v>
      </c>
      <c r="D1938">
        <v>8</v>
      </c>
      <c r="E1938">
        <v>12</v>
      </c>
      <c r="F1938">
        <v>167</v>
      </c>
      <c r="G1938">
        <v>2004</v>
      </c>
      <c r="H1938">
        <v>112</v>
      </c>
      <c r="I1938">
        <v>1.5</v>
      </c>
      <c r="J1938">
        <v>1.1299999999999999</v>
      </c>
      <c r="K1938">
        <v>2264.52</v>
      </c>
    </row>
    <row r="1939" spans="1:11" x14ac:dyDescent="0.2">
      <c r="A1939">
        <v>76224</v>
      </c>
      <c r="B1939">
        <v>49702</v>
      </c>
      <c r="C1939" t="s">
        <v>5577</v>
      </c>
      <c r="D1939">
        <v>8</v>
      </c>
      <c r="E1939">
        <v>5</v>
      </c>
      <c r="F1939">
        <v>913</v>
      </c>
      <c r="G1939">
        <v>4565</v>
      </c>
      <c r="H1939">
        <v>68</v>
      </c>
      <c r="I1939">
        <v>13.4</v>
      </c>
      <c r="J1939">
        <v>1.45</v>
      </c>
      <c r="K1939">
        <v>6619.25</v>
      </c>
    </row>
    <row r="1940" spans="1:11" x14ac:dyDescent="0.2">
      <c r="A1940">
        <v>62252</v>
      </c>
      <c r="B1940">
        <v>49818</v>
      </c>
      <c r="C1940" t="s">
        <v>5578</v>
      </c>
      <c r="D1940">
        <v>8</v>
      </c>
      <c r="E1940">
        <v>12</v>
      </c>
      <c r="F1940">
        <v>859</v>
      </c>
      <c r="G1940">
        <v>10308</v>
      </c>
      <c r="H1940">
        <v>108</v>
      </c>
      <c r="I1940">
        <v>8</v>
      </c>
      <c r="J1940">
        <v>1.59</v>
      </c>
      <c r="K1940">
        <v>16389.72</v>
      </c>
    </row>
    <row r="1941" spans="1:11" x14ac:dyDescent="0.2">
      <c r="A1941">
        <v>99003</v>
      </c>
      <c r="B1941">
        <v>51008</v>
      </c>
      <c r="C1941" t="s">
        <v>5579</v>
      </c>
      <c r="D1941">
        <v>10</v>
      </c>
      <c r="E1941">
        <v>3</v>
      </c>
      <c r="F1941">
        <v>0</v>
      </c>
      <c r="G1941">
        <v>0</v>
      </c>
      <c r="H1941">
        <v>72</v>
      </c>
      <c r="I1941">
        <v>0</v>
      </c>
      <c r="J1941">
        <v>2.59</v>
      </c>
      <c r="K1941">
        <v>0</v>
      </c>
    </row>
    <row r="1942" spans="1:11" x14ac:dyDescent="0.2">
      <c r="A1942">
        <v>70113</v>
      </c>
      <c r="B1942">
        <v>51047</v>
      </c>
      <c r="C1942" t="s">
        <v>5580</v>
      </c>
      <c r="D1942">
        <v>8</v>
      </c>
      <c r="E1942">
        <v>12</v>
      </c>
      <c r="F1942">
        <v>348</v>
      </c>
      <c r="G1942">
        <v>4176</v>
      </c>
      <c r="H1942">
        <v>330</v>
      </c>
      <c r="I1942">
        <v>1.1000000000000001</v>
      </c>
      <c r="J1942">
        <v>2.99</v>
      </c>
      <c r="K1942">
        <v>12486.24</v>
      </c>
    </row>
    <row r="1943" spans="1:11" x14ac:dyDescent="0.2">
      <c r="A1943">
        <v>70151</v>
      </c>
      <c r="B1943">
        <v>51048</v>
      </c>
      <c r="C1943" t="s">
        <v>5581</v>
      </c>
      <c r="D1943">
        <v>8</v>
      </c>
      <c r="E1943">
        <v>12</v>
      </c>
      <c r="F1943">
        <v>123</v>
      </c>
      <c r="G1943">
        <v>1476</v>
      </c>
      <c r="H1943">
        <v>330</v>
      </c>
      <c r="I1943">
        <v>0.4</v>
      </c>
      <c r="J1943">
        <v>2.99</v>
      </c>
      <c r="K1943">
        <v>4413.24</v>
      </c>
    </row>
    <row r="1944" spans="1:11" x14ac:dyDescent="0.2">
      <c r="A1944">
        <v>70226</v>
      </c>
      <c r="B1944">
        <v>51058</v>
      </c>
      <c r="C1944" t="s">
        <v>5582</v>
      </c>
      <c r="D1944">
        <v>8</v>
      </c>
      <c r="E1944">
        <v>12</v>
      </c>
      <c r="F1944">
        <v>571</v>
      </c>
      <c r="G1944">
        <v>6852</v>
      </c>
      <c r="H1944">
        <v>330</v>
      </c>
      <c r="I1944">
        <v>1.7</v>
      </c>
      <c r="J1944">
        <v>2.99</v>
      </c>
      <c r="K1944">
        <v>20487.48</v>
      </c>
    </row>
    <row r="1945" spans="1:11" x14ac:dyDescent="0.2">
      <c r="A1945">
        <v>86004</v>
      </c>
      <c r="B1945">
        <v>51100</v>
      </c>
      <c r="C1945" t="s">
        <v>5583</v>
      </c>
      <c r="D1945">
        <v>8</v>
      </c>
      <c r="E1945">
        <v>75</v>
      </c>
      <c r="F1945">
        <v>24</v>
      </c>
      <c r="G1945">
        <v>1800</v>
      </c>
      <c r="H1945">
        <v>24</v>
      </c>
      <c r="I1945">
        <v>1</v>
      </c>
      <c r="J1945">
        <v>0.28999999999999998</v>
      </c>
      <c r="K1945">
        <v>522</v>
      </c>
    </row>
    <row r="1946" spans="1:11" x14ac:dyDescent="0.2">
      <c r="A1946">
        <v>2504</v>
      </c>
      <c r="B1946">
        <v>51104</v>
      </c>
      <c r="C1946" t="s">
        <v>5584</v>
      </c>
      <c r="D1946">
        <v>6</v>
      </c>
      <c r="E1946">
        <v>6</v>
      </c>
      <c r="F1946">
        <v>0</v>
      </c>
      <c r="G1946">
        <v>0</v>
      </c>
      <c r="H1946">
        <v>80</v>
      </c>
      <c r="I1946">
        <v>0</v>
      </c>
      <c r="J1946">
        <v>5.99</v>
      </c>
      <c r="K1946">
        <v>0</v>
      </c>
    </row>
    <row r="1947" spans="1:11" x14ac:dyDescent="0.2">
      <c r="A1947">
        <v>69219</v>
      </c>
      <c r="B1947">
        <v>51106</v>
      </c>
      <c r="C1947" t="s">
        <v>5585</v>
      </c>
      <c r="D1947">
        <v>8</v>
      </c>
      <c r="E1947">
        <v>5</v>
      </c>
      <c r="F1947">
        <v>3341</v>
      </c>
      <c r="G1947">
        <v>16705</v>
      </c>
      <c r="H1947">
        <v>117</v>
      </c>
      <c r="I1947">
        <v>28.6</v>
      </c>
      <c r="J1947">
        <v>1.65</v>
      </c>
      <c r="K1947">
        <v>27563.25</v>
      </c>
    </row>
    <row r="1948" spans="1:11" x14ac:dyDescent="0.2">
      <c r="A1948">
        <v>57285</v>
      </c>
      <c r="B1948">
        <v>51135</v>
      </c>
      <c r="C1948" t="s">
        <v>5586</v>
      </c>
      <c r="D1948">
        <v>11</v>
      </c>
      <c r="E1948">
        <v>25</v>
      </c>
      <c r="F1948">
        <v>0</v>
      </c>
      <c r="G1948">
        <v>0</v>
      </c>
      <c r="H1948">
        <v>40</v>
      </c>
      <c r="I1948">
        <v>0</v>
      </c>
      <c r="J1948">
        <v>0.7</v>
      </c>
      <c r="K1948">
        <v>0</v>
      </c>
    </row>
    <row r="1949" spans="1:11" x14ac:dyDescent="0.2">
      <c r="A1949">
        <v>26660</v>
      </c>
      <c r="B1949">
        <v>51161</v>
      </c>
      <c r="C1949" t="s">
        <v>5587</v>
      </c>
      <c r="D1949">
        <v>10</v>
      </c>
      <c r="E1949">
        <v>10</v>
      </c>
      <c r="F1949">
        <v>17</v>
      </c>
      <c r="G1949">
        <v>170</v>
      </c>
      <c r="H1949">
        <v>96</v>
      </c>
      <c r="I1949">
        <v>0.2</v>
      </c>
      <c r="J1949">
        <v>6.99</v>
      </c>
      <c r="K1949">
        <v>1188.3</v>
      </c>
    </row>
    <row r="1950" spans="1:11" x14ac:dyDescent="0.2">
      <c r="A1950">
        <v>95701</v>
      </c>
      <c r="B1950">
        <v>51183</v>
      </c>
      <c r="C1950" t="s">
        <v>5588</v>
      </c>
      <c r="D1950">
        <v>8</v>
      </c>
      <c r="E1950">
        <v>12</v>
      </c>
      <c r="F1950">
        <v>807</v>
      </c>
      <c r="G1950">
        <v>9678</v>
      </c>
      <c r="H1950">
        <v>16</v>
      </c>
      <c r="I1950">
        <v>50.4</v>
      </c>
      <c r="J1950">
        <v>1.55</v>
      </c>
      <c r="K1950">
        <v>15000.9</v>
      </c>
    </row>
    <row r="1951" spans="1:11" x14ac:dyDescent="0.2">
      <c r="A1951">
        <v>69199</v>
      </c>
      <c r="B1951">
        <v>51202</v>
      </c>
      <c r="C1951" t="s">
        <v>5589</v>
      </c>
      <c r="D1951">
        <v>8</v>
      </c>
      <c r="E1951">
        <v>6</v>
      </c>
      <c r="F1951">
        <v>1767</v>
      </c>
      <c r="G1951">
        <v>10602</v>
      </c>
      <c r="H1951">
        <v>105</v>
      </c>
      <c r="I1951">
        <v>16.8</v>
      </c>
      <c r="J1951">
        <v>1.17</v>
      </c>
      <c r="K1951">
        <v>12404.34</v>
      </c>
    </row>
    <row r="1952" spans="1:11" x14ac:dyDescent="0.2">
      <c r="A1952">
        <v>93201</v>
      </c>
      <c r="B1952">
        <v>51214</v>
      </c>
      <c r="C1952" t="s">
        <v>5590</v>
      </c>
      <c r="D1952">
        <v>10</v>
      </c>
      <c r="E1952">
        <v>8</v>
      </c>
      <c r="F1952">
        <v>0</v>
      </c>
      <c r="G1952">
        <v>0</v>
      </c>
      <c r="H1952">
        <v>16</v>
      </c>
      <c r="I1952">
        <v>0</v>
      </c>
      <c r="J1952">
        <v>3.99</v>
      </c>
      <c r="K1952">
        <v>0</v>
      </c>
    </row>
    <row r="1953" spans="1:11" x14ac:dyDescent="0.2">
      <c r="A1953">
        <v>93249</v>
      </c>
      <c r="B1953">
        <v>51220</v>
      </c>
      <c r="C1953" t="s">
        <v>5591</v>
      </c>
      <c r="D1953">
        <v>10</v>
      </c>
      <c r="E1953">
        <v>6</v>
      </c>
      <c r="F1953">
        <v>0</v>
      </c>
      <c r="G1953">
        <v>0</v>
      </c>
      <c r="H1953">
        <v>24</v>
      </c>
      <c r="I1953">
        <v>0</v>
      </c>
      <c r="J1953">
        <v>3.99</v>
      </c>
      <c r="K1953">
        <v>0</v>
      </c>
    </row>
    <row r="1954" spans="1:11" x14ac:dyDescent="0.2">
      <c r="A1954">
        <v>93801</v>
      </c>
      <c r="B1954">
        <v>51236</v>
      </c>
      <c r="C1954" t="s">
        <v>5592</v>
      </c>
      <c r="D1954">
        <v>10</v>
      </c>
      <c r="E1954">
        <v>78</v>
      </c>
      <c r="F1954">
        <v>0</v>
      </c>
      <c r="G1954">
        <v>0</v>
      </c>
      <c r="H1954">
        <v>28</v>
      </c>
      <c r="I1954">
        <v>0</v>
      </c>
      <c r="J1954">
        <v>2.99</v>
      </c>
      <c r="K1954">
        <v>0</v>
      </c>
    </row>
    <row r="1955" spans="1:11" x14ac:dyDescent="0.2">
      <c r="A1955">
        <v>93041</v>
      </c>
      <c r="B1955">
        <v>51238</v>
      </c>
      <c r="C1955" t="s">
        <v>5593</v>
      </c>
      <c r="D1955">
        <v>10</v>
      </c>
      <c r="E1955">
        <v>1</v>
      </c>
      <c r="F1955">
        <v>0</v>
      </c>
      <c r="G1955">
        <v>0</v>
      </c>
      <c r="H1955">
        <v>24</v>
      </c>
      <c r="I1955">
        <v>0</v>
      </c>
      <c r="J1955">
        <v>16.989999999999998</v>
      </c>
      <c r="K1955">
        <v>0</v>
      </c>
    </row>
    <row r="1956" spans="1:11" x14ac:dyDescent="0.2">
      <c r="A1956">
        <v>93293</v>
      </c>
      <c r="B1956">
        <v>51240</v>
      </c>
      <c r="C1956" t="s">
        <v>5594</v>
      </c>
      <c r="D1956">
        <v>10</v>
      </c>
      <c r="E1956">
        <v>56</v>
      </c>
      <c r="F1956">
        <v>0</v>
      </c>
      <c r="G1956">
        <v>0</v>
      </c>
      <c r="H1956">
        <v>1</v>
      </c>
      <c r="I1956">
        <v>0</v>
      </c>
      <c r="J1956">
        <v>2.29</v>
      </c>
      <c r="K1956">
        <v>0</v>
      </c>
    </row>
    <row r="1957" spans="1:11" x14ac:dyDescent="0.2">
      <c r="A1957">
        <v>93500</v>
      </c>
      <c r="B1957">
        <v>51248</v>
      </c>
      <c r="C1957" t="s">
        <v>5595</v>
      </c>
      <c r="D1957">
        <v>10</v>
      </c>
      <c r="E1957">
        <v>18</v>
      </c>
      <c r="F1957">
        <v>0</v>
      </c>
      <c r="G1957">
        <v>0</v>
      </c>
      <c r="H1957">
        <v>24</v>
      </c>
      <c r="I1957">
        <v>0</v>
      </c>
      <c r="J1957">
        <v>1.99</v>
      </c>
      <c r="K1957">
        <v>0</v>
      </c>
    </row>
    <row r="1958" spans="1:11" x14ac:dyDescent="0.2">
      <c r="A1958">
        <v>93279</v>
      </c>
      <c r="B1958">
        <v>51260</v>
      </c>
      <c r="C1958" t="s">
        <v>5596</v>
      </c>
      <c r="D1958">
        <v>10</v>
      </c>
      <c r="E1958">
        <v>16</v>
      </c>
      <c r="F1958">
        <v>0</v>
      </c>
      <c r="G1958">
        <v>0</v>
      </c>
      <c r="H1958">
        <v>20</v>
      </c>
      <c r="I1958">
        <v>0</v>
      </c>
      <c r="J1958">
        <v>1.99</v>
      </c>
      <c r="K1958">
        <v>0</v>
      </c>
    </row>
    <row r="1959" spans="1:11" x14ac:dyDescent="0.2">
      <c r="A1959">
        <v>93371</v>
      </c>
      <c r="B1959">
        <v>51261</v>
      </c>
      <c r="C1959" t="s">
        <v>5597</v>
      </c>
      <c r="D1959">
        <v>10</v>
      </c>
      <c r="E1959">
        <v>3</v>
      </c>
      <c r="F1959">
        <v>0</v>
      </c>
      <c r="G1959">
        <v>0</v>
      </c>
      <c r="H1959">
        <v>16</v>
      </c>
      <c r="I1959">
        <v>0</v>
      </c>
      <c r="J1959">
        <v>12.99</v>
      </c>
      <c r="K1959">
        <v>0</v>
      </c>
    </row>
    <row r="1960" spans="1:11" x14ac:dyDescent="0.2">
      <c r="A1960">
        <v>93358</v>
      </c>
      <c r="B1960">
        <v>51261</v>
      </c>
      <c r="C1960" t="s">
        <v>5597</v>
      </c>
      <c r="D1960">
        <v>12</v>
      </c>
      <c r="E1960">
        <v>6</v>
      </c>
      <c r="F1960">
        <v>4</v>
      </c>
      <c r="G1960">
        <v>24</v>
      </c>
      <c r="H1960">
        <v>24</v>
      </c>
      <c r="I1960">
        <v>0.2</v>
      </c>
      <c r="J1960">
        <v>12.99</v>
      </c>
      <c r="K1960">
        <v>311.76</v>
      </c>
    </row>
    <row r="1961" spans="1:11" x14ac:dyDescent="0.2">
      <c r="A1961">
        <v>93195</v>
      </c>
      <c r="B1961">
        <v>51261</v>
      </c>
      <c r="C1961" t="s">
        <v>5597</v>
      </c>
      <c r="D1961">
        <v>12</v>
      </c>
      <c r="E1961">
        <v>10</v>
      </c>
      <c r="F1961">
        <v>0</v>
      </c>
      <c r="G1961">
        <v>0</v>
      </c>
      <c r="H1961">
        <v>16</v>
      </c>
      <c r="I1961">
        <v>0</v>
      </c>
      <c r="J1961">
        <v>12.99</v>
      </c>
      <c r="K1961">
        <v>0</v>
      </c>
    </row>
    <row r="1962" spans="1:11" x14ac:dyDescent="0.2">
      <c r="A1962">
        <v>93354</v>
      </c>
      <c r="B1962">
        <v>51266</v>
      </c>
      <c r="C1962" t="s">
        <v>5598</v>
      </c>
      <c r="D1962">
        <v>10</v>
      </c>
      <c r="E1962">
        <v>11</v>
      </c>
      <c r="F1962">
        <v>0</v>
      </c>
      <c r="G1962">
        <v>0</v>
      </c>
      <c r="H1962">
        <v>20</v>
      </c>
      <c r="I1962">
        <v>0</v>
      </c>
      <c r="J1962">
        <v>2.99</v>
      </c>
      <c r="K1962">
        <v>0</v>
      </c>
    </row>
    <row r="1963" spans="1:11" x14ac:dyDescent="0.2">
      <c r="A1963">
        <v>93205</v>
      </c>
      <c r="B1963">
        <v>51274</v>
      </c>
      <c r="C1963" t="s">
        <v>5599</v>
      </c>
      <c r="D1963">
        <v>10</v>
      </c>
      <c r="E1963">
        <v>12</v>
      </c>
      <c r="F1963">
        <v>27</v>
      </c>
      <c r="G1963">
        <v>324</v>
      </c>
      <c r="H1963">
        <v>24</v>
      </c>
      <c r="I1963">
        <v>1.1000000000000001</v>
      </c>
      <c r="J1963">
        <v>1.79</v>
      </c>
      <c r="K1963">
        <v>579.96</v>
      </c>
    </row>
    <row r="1964" spans="1:11" x14ac:dyDescent="0.2">
      <c r="A1964">
        <v>93106</v>
      </c>
      <c r="B1964">
        <v>51276</v>
      </c>
      <c r="C1964" t="s">
        <v>5600</v>
      </c>
      <c r="D1964">
        <v>10</v>
      </c>
      <c r="E1964">
        <v>4</v>
      </c>
      <c r="F1964">
        <v>0</v>
      </c>
      <c r="G1964">
        <v>0</v>
      </c>
      <c r="H1964">
        <v>24</v>
      </c>
      <c r="I1964">
        <v>0</v>
      </c>
      <c r="J1964">
        <v>3.29</v>
      </c>
      <c r="K1964">
        <v>0</v>
      </c>
    </row>
    <row r="1965" spans="1:11" x14ac:dyDescent="0.2">
      <c r="A1965">
        <v>93264</v>
      </c>
      <c r="B1965">
        <v>51289</v>
      </c>
      <c r="C1965" t="s">
        <v>5601</v>
      </c>
      <c r="D1965">
        <v>10</v>
      </c>
      <c r="E1965">
        <v>162</v>
      </c>
      <c r="F1965">
        <v>0</v>
      </c>
      <c r="G1965">
        <v>0</v>
      </c>
      <c r="H1965">
        <v>1</v>
      </c>
      <c r="I1965">
        <v>0</v>
      </c>
      <c r="J1965">
        <v>1.99</v>
      </c>
      <c r="K1965">
        <v>0</v>
      </c>
    </row>
    <row r="1966" spans="1:11" x14ac:dyDescent="0.2">
      <c r="A1966">
        <v>93346</v>
      </c>
      <c r="B1966">
        <v>51292</v>
      </c>
      <c r="C1966" t="s">
        <v>5602</v>
      </c>
      <c r="D1966">
        <v>10</v>
      </c>
      <c r="E1966">
        <v>144</v>
      </c>
      <c r="F1966">
        <v>0</v>
      </c>
      <c r="G1966">
        <v>0</v>
      </c>
      <c r="H1966">
        <v>1</v>
      </c>
      <c r="I1966">
        <v>0</v>
      </c>
      <c r="J1966">
        <v>1.99</v>
      </c>
      <c r="K1966">
        <v>0</v>
      </c>
    </row>
    <row r="1967" spans="1:11" x14ac:dyDescent="0.2">
      <c r="A1967">
        <v>93110</v>
      </c>
      <c r="B1967">
        <v>51294</v>
      </c>
      <c r="C1967" t="s">
        <v>5603</v>
      </c>
      <c r="D1967">
        <v>6</v>
      </c>
      <c r="E1967">
        <v>12</v>
      </c>
      <c r="F1967">
        <v>2</v>
      </c>
      <c r="G1967">
        <v>24</v>
      </c>
      <c r="H1967">
        <v>24</v>
      </c>
      <c r="I1967">
        <v>0.1</v>
      </c>
      <c r="J1967">
        <v>1.99</v>
      </c>
      <c r="K1967">
        <v>47.76</v>
      </c>
    </row>
    <row r="1968" spans="1:11" x14ac:dyDescent="0.2">
      <c r="A1968">
        <v>93333</v>
      </c>
      <c r="B1968">
        <v>51295</v>
      </c>
      <c r="C1968" t="s">
        <v>5604</v>
      </c>
      <c r="D1968">
        <v>10</v>
      </c>
      <c r="E1968">
        <v>9</v>
      </c>
      <c r="F1968">
        <v>0</v>
      </c>
      <c r="G1968">
        <v>0</v>
      </c>
      <c r="H1968">
        <v>28</v>
      </c>
      <c r="I1968">
        <v>0</v>
      </c>
      <c r="J1968">
        <v>2.99</v>
      </c>
      <c r="K1968">
        <v>0</v>
      </c>
    </row>
    <row r="1969" spans="1:11" x14ac:dyDescent="0.2">
      <c r="A1969">
        <v>93307</v>
      </c>
      <c r="B1969">
        <v>51297</v>
      </c>
      <c r="C1969" t="s">
        <v>5605</v>
      </c>
      <c r="D1969">
        <v>6</v>
      </c>
      <c r="E1969">
        <v>48</v>
      </c>
      <c r="F1969">
        <v>2</v>
      </c>
      <c r="G1969">
        <v>96</v>
      </c>
      <c r="H1969">
        <v>100</v>
      </c>
      <c r="I1969">
        <v>0</v>
      </c>
      <c r="J1969">
        <v>2.99</v>
      </c>
      <c r="K1969">
        <v>287.04000000000002</v>
      </c>
    </row>
    <row r="1970" spans="1:11" x14ac:dyDescent="0.2">
      <c r="A1970">
        <v>93111</v>
      </c>
      <c r="B1970">
        <v>51299</v>
      </c>
      <c r="C1970" t="s">
        <v>5606</v>
      </c>
      <c r="D1970">
        <v>10</v>
      </c>
      <c r="E1970">
        <v>16</v>
      </c>
      <c r="F1970">
        <v>0</v>
      </c>
      <c r="G1970">
        <v>0</v>
      </c>
      <c r="H1970">
        <v>24</v>
      </c>
      <c r="I1970">
        <v>0</v>
      </c>
      <c r="J1970">
        <v>1.59</v>
      </c>
      <c r="K1970">
        <v>0</v>
      </c>
    </row>
    <row r="1971" spans="1:11" x14ac:dyDescent="0.2">
      <c r="A1971">
        <v>93323</v>
      </c>
      <c r="B1971">
        <v>51306</v>
      </c>
      <c r="C1971" t="s">
        <v>5607</v>
      </c>
      <c r="D1971">
        <v>10</v>
      </c>
      <c r="E1971">
        <v>8</v>
      </c>
      <c r="F1971">
        <v>1</v>
      </c>
      <c r="G1971">
        <v>8</v>
      </c>
      <c r="H1971">
        <v>20</v>
      </c>
      <c r="I1971">
        <v>0.1</v>
      </c>
      <c r="J1971">
        <v>3.19</v>
      </c>
      <c r="K1971">
        <v>25.52</v>
      </c>
    </row>
    <row r="1972" spans="1:11" x14ac:dyDescent="0.2">
      <c r="A1972">
        <v>93326</v>
      </c>
      <c r="B1972">
        <v>51307</v>
      </c>
      <c r="C1972" t="s">
        <v>5608</v>
      </c>
      <c r="D1972">
        <v>10</v>
      </c>
      <c r="E1972">
        <v>22</v>
      </c>
      <c r="F1972">
        <v>0</v>
      </c>
      <c r="G1972">
        <v>0</v>
      </c>
      <c r="H1972">
        <v>20</v>
      </c>
      <c r="I1972">
        <v>0</v>
      </c>
      <c r="J1972">
        <v>1.29</v>
      </c>
      <c r="K1972">
        <v>0</v>
      </c>
    </row>
    <row r="1973" spans="1:11" x14ac:dyDescent="0.2">
      <c r="A1973">
        <v>93297</v>
      </c>
      <c r="B1973">
        <v>51309</v>
      </c>
      <c r="C1973" t="s">
        <v>5609</v>
      </c>
      <c r="D1973">
        <v>10</v>
      </c>
      <c r="E1973">
        <v>11</v>
      </c>
      <c r="F1973">
        <v>0</v>
      </c>
      <c r="G1973">
        <v>0</v>
      </c>
      <c r="H1973">
        <v>24</v>
      </c>
      <c r="I1973">
        <v>0</v>
      </c>
      <c r="J1973">
        <v>2.99</v>
      </c>
      <c r="K1973">
        <v>0</v>
      </c>
    </row>
    <row r="1974" spans="1:11" x14ac:dyDescent="0.2">
      <c r="A1974">
        <v>93042</v>
      </c>
      <c r="B1974">
        <v>51310</v>
      </c>
      <c r="C1974" t="s">
        <v>5610</v>
      </c>
      <c r="D1974">
        <v>10</v>
      </c>
      <c r="E1974">
        <v>12</v>
      </c>
      <c r="F1974">
        <v>4</v>
      </c>
      <c r="G1974">
        <v>48</v>
      </c>
      <c r="H1974">
        <v>24</v>
      </c>
      <c r="I1974">
        <v>0.2</v>
      </c>
      <c r="J1974">
        <v>2.29</v>
      </c>
      <c r="K1974">
        <v>109.92</v>
      </c>
    </row>
    <row r="1975" spans="1:11" x14ac:dyDescent="0.2">
      <c r="A1975">
        <v>93117</v>
      </c>
      <c r="B1975">
        <v>51313</v>
      </c>
      <c r="C1975" t="s">
        <v>5611</v>
      </c>
      <c r="D1975">
        <v>10</v>
      </c>
      <c r="E1975">
        <v>10</v>
      </c>
      <c r="F1975">
        <v>0</v>
      </c>
      <c r="G1975">
        <v>0</v>
      </c>
      <c r="H1975">
        <v>24</v>
      </c>
      <c r="I1975">
        <v>0</v>
      </c>
      <c r="J1975">
        <v>2.99</v>
      </c>
      <c r="K1975">
        <v>0</v>
      </c>
    </row>
    <row r="1976" spans="1:11" x14ac:dyDescent="0.2">
      <c r="A1976">
        <v>93257</v>
      </c>
      <c r="B1976">
        <v>51323</v>
      </c>
      <c r="C1976" t="s">
        <v>5612</v>
      </c>
      <c r="D1976">
        <v>6</v>
      </c>
      <c r="E1976">
        <v>40</v>
      </c>
      <c r="F1976">
        <v>0</v>
      </c>
      <c r="G1976">
        <v>0</v>
      </c>
      <c r="H1976">
        <v>36</v>
      </c>
      <c r="I1976">
        <v>0</v>
      </c>
      <c r="J1976">
        <v>1.99</v>
      </c>
      <c r="K1976">
        <v>0</v>
      </c>
    </row>
    <row r="1977" spans="1:11" x14ac:dyDescent="0.2">
      <c r="A1977">
        <v>93258</v>
      </c>
      <c r="B1977">
        <v>51325</v>
      </c>
      <c r="C1977" t="s">
        <v>5613</v>
      </c>
      <c r="D1977">
        <v>6</v>
      </c>
      <c r="E1977">
        <v>40</v>
      </c>
      <c r="F1977">
        <v>0</v>
      </c>
      <c r="G1977">
        <v>0</v>
      </c>
      <c r="H1977">
        <v>36</v>
      </c>
      <c r="I1977">
        <v>0</v>
      </c>
      <c r="J1977">
        <v>1.39</v>
      </c>
      <c r="K1977">
        <v>0</v>
      </c>
    </row>
    <row r="1978" spans="1:11" x14ac:dyDescent="0.2">
      <c r="A1978">
        <v>2621</v>
      </c>
      <c r="B1978">
        <v>51464</v>
      </c>
      <c r="C1978" t="s">
        <v>5614</v>
      </c>
      <c r="D1978">
        <v>6</v>
      </c>
      <c r="E1978">
        <v>1</v>
      </c>
      <c r="F1978">
        <v>-10</v>
      </c>
      <c r="G1978">
        <v>-10</v>
      </c>
      <c r="H1978">
        <v>80</v>
      </c>
      <c r="I1978">
        <v>-0.1</v>
      </c>
      <c r="J1978">
        <v>5.29</v>
      </c>
      <c r="K1978">
        <v>-52.9</v>
      </c>
    </row>
    <row r="1979" spans="1:11" x14ac:dyDescent="0.2">
      <c r="A1979">
        <v>99982</v>
      </c>
      <c r="B1979">
        <v>51579</v>
      </c>
      <c r="C1979" t="s">
        <v>5615</v>
      </c>
      <c r="D1979">
        <v>6</v>
      </c>
      <c r="E1979">
        <v>8</v>
      </c>
      <c r="F1979">
        <v>0</v>
      </c>
      <c r="G1979">
        <v>0</v>
      </c>
      <c r="H1979">
        <v>60</v>
      </c>
      <c r="I1979">
        <v>0</v>
      </c>
      <c r="J1979">
        <v>1.99</v>
      </c>
      <c r="K1979">
        <v>0</v>
      </c>
    </row>
    <row r="1980" spans="1:11" x14ac:dyDescent="0.2">
      <c r="A1980">
        <v>71102</v>
      </c>
      <c r="B1980">
        <v>51655</v>
      </c>
      <c r="C1980" t="s">
        <v>5616</v>
      </c>
      <c r="D1980">
        <v>8</v>
      </c>
      <c r="E1980">
        <v>3</v>
      </c>
      <c r="F1980">
        <v>630</v>
      </c>
      <c r="G1980">
        <v>1889</v>
      </c>
      <c r="H1980">
        <v>120</v>
      </c>
      <c r="I1980">
        <v>5.2</v>
      </c>
      <c r="J1980">
        <v>1.99</v>
      </c>
      <c r="K1980">
        <v>3759.11</v>
      </c>
    </row>
    <row r="1981" spans="1:11" x14ac:dyDescent="0.2">
      <c r="A1981">
        <v>4622</v>
      </c>
      <c r="B1981">
        <v>51724</v>
      </c>
      <c r="C1981" t="s">
        <v>5617</v>
      </c>
      <c r="D1981">
        <v>6</v>
      </c>
      <c r="E1981">
        <v>90</v>
      </c>
      <c r="F1981">
        <v>0</v>
      </c>
      <c r="G1981">
        <v>0</v>
      </c>
      <c r="H1981">
        <v>4</v>
      </c>
      <c r="I1981">
        <v>0</v>
      </c>
      <c r="J1981">
        <v>0.95</v>
      </c>
      <c r="K1981">
        <v>0</v>
      </c>
    </row>
    <row r="1982" spans="1:11" x14ac:dyDescent="0.2">
      <c r="A1982">
        <v>57676</v>
      </c>
      <c r="B1982">
        <v>51762</v>
      </c>
      <c r="C1982" t="s">
        <v>5618</v>
      </c>
      <c r="D1982">
        <v>10</v>
      </c>
      <c r="E1982">
        <v>12</v>
      </c>
      <c r="F1982">
        <v>0</v>
      </c>
      <c r="G1982">
        <v>-4</v>
      </c>
      <c r="H1982">
        <v>88</v>
      </c>
      <c r="I1982">
        <v>0</v>
      </c>
      <c r="J1982">
        <v>2.4900000000000002</v>
      </c>
      <c r="K1982">
        <v>-9.9600000000000009</v>
      </c>
    </row>
    <row r="1983" spans="1:11" x14ac:dyDescent="0.2">
      <c r="A1983">
        <v>86037</v>
      </c>
      <c r="B1983">
        <v>51816</v>
      </c>
      <c r="C1983" t="s">
        <v>5619</v>
      </c>
      <c r="D1983">
        <v>8</v>
      </c>
      <c r="E1983">
        <v>112</v>
      </c>
      <c r="F1983">
        <v>100</v>
      </c>
      <c r="G1983">
        <v>11200</v>
      </c>
      <c r="H1983">
        <v>20</v>
      </c>
      <c r="I1983">
        <v>5</v>
      </c>
      <c r="J1983">
        <v>0.39</v>
      </c>
      <c r="K1983">
        <v>4368</v>
      </c>
    </row>
    <row r="1984" spans="1:11" x14ac:dyDescent="0.2">
      <c r="B1984">
        <v>51853</v>
      </c>
      <c r="C1984" t="s">
        <v>5620</v>
      </c>
      <c r="D1984">
        <v>11</v>
      </c>
      <c r="E1984">
        <v>4</v>
      </c>
      <c r="F1984">
        <v>0</v>
      </c>
      <c r="G1984">
        <v>0</v>
      </c>
      <c r="H1984">
        <v>70</v>
      </c>
      <c r="I1984">
        <v>0</v>
      </c>
      <c r="J1984">
        <v>2.57</v>
      </c>
      <c r="K1984">
        <v>0</v>
      </c>
    </row>
    <row r="1985" spans="1:11" x14ac:dyDescent="0.2">
      <c r="A1985">
        <v>62197</v>
      </c>
      <c r="B1985">
        <v>51855</v>
      </c>
      <c r="C1985" t="s">
        <v>5621</v>
      </c>
      <c r="D1985">
        <v>8</v>
      </c>
      <c r="E1985">
        <v>6</v>
      </c>
      <c r="F1985">
        <v>1786</v>
      </c>
      <c r="G1985">
        <v>10715</v>
      </c>
      <c r="H1985">
        <v>45</v>
      </c>
      <c r="I1985">
        <v>39.700000000000003</v>
      </c>
      <c r="J1985">
        <v>3.75</v>
      </c>
      <c r="K1985">
        <v>40181.25</v>
      </c>
    </row>
    <row r="1986" spans="1:11" x14ac:dyDescent="0.2">
      <c r="A1986">
        <v>72148</v>
      </c>
      <c r="B1986">
        <v>52200</v>
      </c>
      <c r="C1986" t="s">
        <v>5622</v>
      </c>
      <c r="D1986">
        <v>8</v>
      </c>
      <c r="E1986">
        <v>15</v>
      </c>
      <c r="F1986">
        <v>1277</v>
      </c>
      <c r="G1986">
        <v>19160</v>
      </c>
      <c r="H1986">
        <v>154</v>
      </c>
      <c r="I1986">
        <v>8.3000000000000007</v>
      </c>
      <c r="J1986">
        <v>1.05</v>
      </c>
      <c r="K1986">
        <v>20118</v>
      </c>
    </row>
    <row r="1987" spans="1:11" x14ac:dyDescent="0.2">
      <c r="A1987">
        <v>99021</v>
      </c>
      <c r="B1987">
        <v>52368</v>
      </c>
      <c r="C1987" t="s">
        <v>5623</v>
      </c>
      <c r="D1987">
        <v>10</v>
      </c>
      <c r="E1987">
        <v>4</v>
      </c>
      <c r="F1987">
        <v>0</v>
      </c>
      <c r="G1987">
        <v>0</v>
      </c>
      <c r="H1987">
        <v>66</v>
      </c>
      <c r="I1987">
        <v>0</v>
      </c>
      <c r="J1987">
        <v>2.09</v>
      </c>
      <c r="K1987">
        <v>0</v>
      </c>
    </row>
    <row r="1988" spans="1:11" x14ac:dyDescent="0.2">
      <c r="B1988">
        <v>52372</v>
      </c>
      <c r="C1988" t="s">
        <v>5624</v>
      </c>
      <c r="D1988">
        <v>6</v>
      </c>
      <c r="E1988">
        <v>120</v>
      </c>
      <c r="F1988">
        <v>160</v>
      </c>
      <c r="G1988">
        <v>19200</v>
      </c>
      <c r="H1988">
        <v>32</v>
      </c>
      <c r="I1988">
        <v>5</v>
      </c>
      <c r="J1988">
        <v>0.49</v>
      </c>
      <c r="K1988">
        <v>9408</v>
      </c>
    </row>
    <row r="1989" spans="1:11" x14ac:dyDescent="0.2">
      <c r="A1989">
        <v>57346</v>
      </c>
      <c r="B1989">
        <v>52438</v>
      </c>
      <c r="C1989" t="s">
        <v>5625</v>
      </c>
      <c r="D1989">
        <v>10</v>
      </c>
      <c r="E1989">
        <v>12</v>
      </c>
      <c r="F1989">
        <v>0</v>
      </c>
      <c r="G1989">
        <v>0</v>
      </c>
      <c r="H1989">
        <v>120</v>
      </c>
      <c r="I1989">
        <v>0</v>
      </c>
      <c r="J1989">
        <v>4.99</v>
      </c>
      <c r="K1989">
        <v>0</v>
      </c>
    </row>
    <row r="1990" spans="1:11" x14ac:dyDescent="0.2">
      <c r="A1990">
        <v>69179</v>
      </c>
      <c r="B1990">
        <v>52468</v>
      </c>
      <c r="C1990" t="s">
        <v>5626</v>
      </c>
      <c r="D1990">
        <v>8</v>
      </c>
      <c r="E1990">
        <v>4</v>
      </c>
      <c r="F1990">
        <v>389</v>
      </c>
      <c r="G1990">
        <v>1554</v>
      </c>
      <c r="H1990">
        <v>60</v>
      </c>
      <c r="I1990">
        <v>6.5</v>
      </c>
      <c r="J1990">
        <v>3.89</v>
      </c>
      <c r="K1990">
        <v>6045.06</v>
      </c>
    </row>
    <row r="1991" spans="1:11" x14ac:dyDescent="0.2">
      <c r="A1991">
        <v>99502</v>
      </c>
      <c r="B1991">
        <v>52500</v>
      </c>
      <c r="C1991" t="s">
        <v>5627</v>
      </c>
      <c r="D1991">
        <v>10</v>
      </c>
      <c r="E1991">
        <v>12</v>
      </c>
      <c r="F1991">
        <v>0</v>
      </c>
      <c r="G1991">
        <v>0</v>
      </c>
      <c r="H1991">
        <v>54</v>
      </c>
      <c r="I1991">
        <v>0</v>
      </c>
      <c r="J1991">
        <v>1</v>
      </c>
      <c r="K1991">
        <v>0</v>
      </c>
    </row>
    <row r="1992" spans="1:11" x14ac:dyDescent="0.2">
      <c r="B1992">
        <v>52592</v>
      </c>
      <c r="C1992" t="s">
        <v>5628</v>
      </c>
      <c r="D1992">
        <v>11</v>
      </c>
      <c r="E1992">
        <v>9</v>
      </c>
      <c r="F1992">
        <v>0</v>
      </c>
      <c r="G1992">
        <v>0</v>
      </c>
      <c r="H1992">
        <v>18</v>
      </c>
      <c r="I1992">
        <v>0</v>
      </c>
      <c r="J1992">
        <v>14.99</v>
      </c>
      <c r="K1992">
        <v>0</v>
      </c>
    </row>
    <row r="1993" spans="1:11" x14ac:dyDescent="0.2">
      <c r="A1993">
        <v>52637</v>
      </c>
      <c r="B1993">
        <v>52658</v>
      </c>
      <c r="C1993" t="s">
        <v>5629</v>
      </c>
      <c r="D1993">
        <v>6</v>
      </c>
      <c r="E1993">
        <v>1</v>
      </c>
      <c r="F1993">
        <v>14280</v>
      </c>
      <c r="G1993">
        <v>14280</v>
      </c>
      <c r="H1993">
        <v>168</v>
      </c>
      <c r="I1993">
        <v>85</v>
      </c>
      <c r="J1993">
        <v>1.99</v>
      </c>
      <c r="K1993">
        <v>28417.200000000001</v>
      </c>
    </row>
    <row r="1994" spans="1:11" x14ac:dyDescent="0.2">
      <c r="B1994">
        <v>52729</v>
      </c>
      <c r="C1994" t="s">
        <v>5630</v>
      </c>
      <c r="D1994">
        <v>6</v>
      </c>
      <c r="E1994">
        <v>8</v>
      </c>
      <c r="F1994">
        <v>0</v>
      </c>
      <c r="G1994">
        <v>0</v>
      </c>
      <c r="H1994">
        <v>144</v>
      </c>
      <c r="I1994">
        <v>0</v>
      </c>
      <c r="J1994">
        <v>1.79</v>
      </c>
      <c r="K1994">
        <v>0</v>
      </c>
    </row>
    <row r="1995" spans="1:11" x14ac:dyDescent="0.2">
      <c r="A1995">
        <v>91024</v>
      </c>
      <c r="B1995">
        <v>52863</v>
      </c>
      <c r="C1995" t="s">
        <v>5631</v>
      </c>
      <c r="D1995">
        <v>8</v>
      </c>
      <c r="E1995">
        <v>1</v>
      </c>
      <c r="F1995">
        <v>473</v>
      </c>
      <c r="G1995">
        <v>473</v>
      </c>
      <c r="H1995">
        <v>56</v>
      </c>
      <c r="I1995">
        <v>8.4</v>
      </c>
      <c r="J1995">
        <v>3.99</v>
      </c>
      <c r="K1995">
        <v>1887.27</v>
      </c>
    </row>
    <row r="1996" spans="1:11" x14ac:dyDescent="0.2">
      <c r="A1996">
        <v>61228</v>
      </c>
      <c r="B1996">
        <v>52900</v>
      </c>
      <c r="C1996" t="s">
        <v>5632</v>
      </c>
      <c r="D1996">
        <v>8</v>
      </c>
      <c r="E1996">
        <v>6</v>
      </c>
      <c r="F1996">
        <v>620</v>
      </c>
      <c r="G1996">
        <v>3720</v>
      </c>
      <c r="H1996">
        <v>105</v>
      </c>
      <c r="I1996">
        <v>5.9</v>
      </c>
      <c r="J1996">
        <v>2.4900000000000002</v>
      </c>
      <c r="K1996">
        <v>9262.7999999999993</v>
      </c>
    </row>
    <row r="1997" spans="1:11" x14ac:dyDescent="0.2">
      <c r="A1997">
        <v>57524</v>
      </c>
      <c r="B1997">
        <v>52950</v>
      </c>
      <c r="C1997" t="s">
        <v>5633</v>
      </c>
      <c r="D1997">
        <v>11</v>
      </c>
      <c r="E1997">
        <v>12</v>
      </c>
      <c r="F1997">
        <v>0</v>
      </c>
      <c r="G1997">
        <v>0</v>
      </c>
      <c r="H1997">
        <v>60</v>
      </c>
      <c r="I1997">
        <v>0</v>
      </c>
      <c r="J1997">
        <v>1.59</v>
      </c>
      <c r="K1997">
        <v>0</v>
      </c>
    </row>
    <row r="1998" spans="1:11" x14ac:dyDescent="0.2">
      <c r="A1998">
        <v>57525</v>
      </c>
      <c r="B1998">
        <v>52968</v>
      </c>
      <c r="C1998" t="s">
        <v>5634</v>
      </c>
      <c r="D1998">
        <v>11</v>
      </c>
      <c r="E1998">
        <v>12</v>
      </c>
      <c r="F1998">
        <v>0</v>
      </c>
      <c r="G1998">
        <v>0</v>
      </c>
      <c r="H1998">
        <v>60</v>
      </c>
      <c r="I1998">
        <v>0</v>
      </c>
      <c r="J1998">
        <v>1.0900000000000001</v>
      </c>
      <c r="K1998">
        <v>0</v>
      </c>
    </row>
    <row r="1999" spans="1:11" x14ac:dyDescent="0.2">
      <c r="A1999">
        <v>99743</v>
      </c>
      <c r="B1999">
        <v>52987</v>
      </c>
      <c r="C1999" t="s">
        <v>5635</v>
      </c>
      <c r="D1999">
        <v>10</v>
      </c>
      <c r="E1999">
        <v>12</v>
      </c>
      <c r="F1999">
        <v>0</v>
      </c>
      <c r="G1999">
        <v>0</v>
      </c>
      <c r="H1999">
        <v>70</v>
      </c>
      <c r="I1999">
        <v>0</v>
      </c>
      <c r="J1999">
        <v>1.89</v>
      </c>
      <c r="K1999">
        <v>0</v>
      </c>
    </row>
    <row r="2000" spans="1:11" x14ac:dyDescent="0.2">
      <c r="A2000">
        <v>99558</v>
      </c>
      <c r="B2000">
        <v>52999</v>
      </c>
      <c r="C2000" t="s">
        <v>5636</v>
      </c>
      <c r="D2000">
        <v>10</v>
      </c>
      <c r="E2000">
        <v>12</v>
      </c>
      <c r="F2000">
        <v>0</v>
      </c>
      <c r="G2000">
        <v>0</v>
      </c>
      <c r="H2000">
        <v>90</v>
      </c>
      <c r="I2000">
        <v>0</v>
      </c>
      <c r="J2000">
        <v>2.19</v>
      </c>
      <c r="K2000">
        <v>0</v>
      </c>
    </row>
    <row r="2001" spans="1:11" x14ac:dyDescent="0.2">
      <c r="A2001">
        <v>32604</v>
      </c>
      <c r="B2001">
        <v>54611</v>
      </c>
      <c r="C2001" t="s">
        <v>5637</v>
      </c>
      <c r="D2001">
        <v>10</v>
      </c>
      <c r="E2001">
        <v>6</v>
      </c>
      <c r="F2001">
        <v>0</v>
      </c>
      <c r="G2001">
        <v>0</v>
      </c>
      <c r="H2001">
        <v>105</v>
      </c>
      <c r="I2001">
        <v>0</v>
      </c>
      <c r="J2001">
        <v>5</v>
      </c>
      <c r="K2001">
        <v>0</v>
      </c>
    </row>
    <row r="2002" spans="1:11" x14ac:dyDescent="0.2">
      <c r="A2002">
        <v>2627</v>
      </c>
      <c r="B2002">
        <v>54681</v>
      </c>
      <c r="C2002" t="s">
        <v>5638</v>
      </c>
      <c r="D2002">
        <v>6</v>
      </c>
      <c r="E2002">
        <v>24</v>
      </c>
      <c r="F2002">
        <v>140</v>
      </c>
      <c r="G2002">
        <v>3360</v>
      </c>
      <c r="H2002">
        <v>140</v>
      </c>
      <c r="I2002">
        <v>1</v>
      </c>
      <c r="J2002">
        <v>1.49</v>
      </c>
      <c r="K2002">
        <v>5006.3999999999996</v>
      </c>
    </row>
    <row r="2003" spans="1:11" x14ac:dyDescent="0.2">
      <c r="B2003">
        <v>54742</v>
      </c>
      <c r="C2003" t="s">
        <v>5639</v>
      </c>
      <c r="D2003">
        <v>12</v>
      </c>
      <c r="E2003">
        <v>8</v>
      </c>
      <c r="F2003">
        <v>0</v>
      </c>
      <c r="G2003">
        <v>0</v>
      </c>
      <c r="H2003">
        <v>72</v>
      </c>
      <c r="I2003">
        <v>0</v>
      </c>
      <c r="J2003">
        <v>1.59</v>
      </c>
      <c r="K2003">
        <v>0</v>
      </c>
    </row>
    <row r="2004" spans="1:11" x14ac:dyDescent="0.2">
      <c r="A2004">
        <v>89039</v>
      </c>
      <c r="B2004">
        <v>54742</v>
      </c>
      <c r="C2004" t="s">
        <v>5639</v>
      </c>
      <c r="D2004">
        <v>8</v>
      </c>
      <c r="E2004">
        <v>10</v>
      </c>
      <c r="F2004">
        <v>0</v>
      </c>
      <c r="G2004">
        <v>0</v>
      </c>
      <c r="H2004">
        <v>66</v>
      </c>
      <c r="I2004">
        <v>0</v>
      </c>
      <c r="J2004">
        <v>1.59</v>
      </c>
      <c r="K2004">
        <v>0</v>
      </c>
    </row>
    <row r="2005" spans="1:11" x14ac:dyDescent="0.2">
      <c r="A2005">
        <v>2628</v>
      </c>
      <c r="B2005">
        <v>54780</v>
      </c>
      <c r="C2005" t="s">
        <v>5640</v>
      </c>
      <c r="D2005">
        <v>6</v>
      </c>
      <c r="E2005">
        <v>16</v>
      </c>
      <c r="F2005">
        <v>0</v>
      </c>
      <c r="G2005">
        <v>0</v>
      </c>
      <c r="H2005">
        <v>84</v>
      </c>
      <c r="I2005">
        <v>0</v>
      </c>
      <c r="J2005">
        <v>4.99</v>
      </c>
      <c r="K2005">
        <v>0</v>
      </c>
    </row>
    <row r="2006" spans="1:11" x14ac:dyDescent="0.2">
      <c r="A2006">
        <v>34631</v>
      </c>
      <c r="B2006">
        <v>54826</v>
      </c>
      <c r="C2006" t="s">
        <v>5641</v>
      </c>
      <c r="D2006">
        <v>10</v>
      </c>
      <c r="E2006">
        <v>12</v>
      </c>
      <c r="F2006">
        <v>0</v>
      </c>
      <c r="G2006">
        <v>0</v>
      </c>
      <c r="H2006">
        <v>48</v>
      </c>
      <c r="I2006">
        <v>0</v>
      </c>
      <c r="J2006">
        <v>4.9000000000000004</v>
      </c>
      <c r="K2006">
        <v>0</v>
      </c>
    </row>
    <row r="2007" spans="1:11" x14ac:dyDescent="0.2">
      <c r="A2007">
        <v>54845</v>
      </c>
      <c r="B2007">
        <v>54845</v>
      </c>
      <c r="C2007" t="s">
        <v>5642</v>
      </c>
      <c r="D2007">
        <v>10</v>
      </c>
      <c r="E2007">
        <v>16</v>
      </c>
      <c r="F2007">
        <v>0</v>
      </c>
      <c r="G2007">
        <v>0</v>
      </c>
      <c r="H2007">
        <v>28</v>
      </c>
      <c r="I2007">
        <v>0</v>
      </c>
      <c r="J2007">
        <v>0.89</v>
      </c>
      <c r="K2007">
        <v>0</v>
      </c>
    </row>
    <row r="2008" spans="1:11" x14ac:dyDescent="0.2">
      <c r="B2008">
        <v>54955</v>
      </c>
      <c r="C2008" t="s">
        <v>5643</v>
      </c>
      <c r="D2008">
        <v>11</v>
      </c>
      <c r="E2008">
        <v>15</v>
      </c>
      <c r="F2008">
        <v>0</v>
      </c>
      <c r="G2008">
        <v>0</v>
      </c>
      <c r="H2008">
        <v>105</v>
      </c>
      <c r="I2008">
        <v>0</v>
      </c>
      <c r="J2008">
        <v>1.49</v>
      </c>
      <c r="K2008">
        <v>0</v>
      </c>
    </row>
    <row r="2009" spans="1:11" x14ac:dyDescent="0.2">
      <c r="A2009">
        <v>69039</v>
      </c>
      <c r="B2009">
        <v>55076</v>
      </c>
      <c r="C2009" t="s">
        <v>5644</v>
      </c>
      <c r="D2009">
        <v>8</v>
      </c>
      <c r="E2009">
        <v>14</v>
      </c>
      <c r="F2009">
        <v>545</v>
      </c>
      <c r="G2009">
        <v>7627</v>
      </c>
      <c r="H2009">
        <v>45</v>
      </c>
      <c r="I2009">
        <v>12.1</v>
      </c>
      <c r="J2009">
        <v>2.99</v>
      </c>
      <c r="K2009">
        <v>22804.73</v>
      </c>
    </row>
    <row r="2010" spans="1:11" x14ac:dyDescent="0.2">
      <c r="A2010">
        <v>57472</v>
      </c>
      <c r="B2010">
        <v>55145</v>
      </c>
      <c r="C2010" t="s">
        <v>5645</v>
      </c>
      <c r="D2010">
        <v>10</v>
      </c>
      <c r="E2010">
        <v>8</v>
      </c>
      <c r="F2010">
        <v>85</v>
      </c>
      <c r="G2010">
        <v>679</v>
      </c>
      <c r="H2010">
        <v>64</v>
      </c>
      <c r="I2010">
        <v>1.3</v>
      </c>
      <c r="J2010">
        <v>0.6</v>
      </c>
      <c r="K2010">
        <v>407.4</v>
      </c>
    </row>
    <row r="2011" spans="1:11" x14ac:dyDescent="0.2">
      <c r="B2011">
        <v>55158</v>
      </c>
      <c r="C2011" t="s">
        <v>5646</v>
      </c>
      <c r="D2011">
        <v>12</v>
      </c>
      <c r="E2011">
        <v>10</v>
      </c>
      <c r="F2011">
        <v>-38</v>
      </c>
      <c r="G2011">
        <v>-380</v>
      </c>
      <c r="H2011">
        <v>112</v>
      </c>
      <c r="I2011">
        <v>-0.3</v>
      </c>
      <c r="J2011">
        <v>1.42</v>
      </c>
      <c r="K2011">
        <v>-539.6</v>
      </c>
    </row>
    <row r="2012" spans="1:11" x14ac:dyDescent="0.2">
      <c r="A2012">
        <v>81149</v>
      </c>
      <c r="B2012">
        <v>55158</v>
      </c>
      <c r="C2012" t="s">
        <v>5646</v>
      </c>
      <c r="D2012">
        <v>8</v>
      </c>
      <c r="E2012">
        <v>16</v>
      </c>
      <c r="F2012">
        <v>1364</v>
      </c>
      <c r="G2012">
        <v>21824</v>
      </c>
      <c r="H2012">
        <v>80</v>
      </c>
      <c r="I2012">
        <v>17.100000000000001</v>
      </c>
      <c r="J2012">
        <v>1.42</v>
      </c>
      <c r="K2012">
        <v>30990.080000000002</v>
      </c>
    </row>
    <row r="2013" spans="1:11" x14ac:dyDescent="0.2">
      <c r="A2013">
        <v>93308</v>
      </c>
      <c r="B2013">
        <v>55249</v>
      </c>
      <c r="C2013" t="s">
        <v>5647</v>
      </c>
      <c r="D2013">
        <v>10</v>
      </c>
      <c r="E2013">
        <v>56</v>
      </c>
      <c r="F2013">
        <v>1</v>
      </c>
      <c r="G2013">
        <v>30</v>
      </c>
      <c r="H2013">
        <v>1</v>
      </c>
      <c r="I2013">
        <v>0.5</v>
      </c>
      <c r="J2013">
        <v>3.99</v>
      </c>
      <c r="K2013">
        <v>119.7</v>
      </c>
    </row>
    <row r="2014" spans="1:11" x14ac:dyDescent="0.2">
      <c r="A2014">
        <v>93157</v>
      </c>
      <c r="B2014">
        <v>55251</v>
      </c>
      <c r="C2014" t="s">
        <v>5648</v>
      </c>
      <c r="D2014">
        <v>10</v>
      </c>
      <c r="E2014">
        <v>8</v>
      </c>
      <c r="F2014">
        <v>0</v>
      </c>
      <c r="G2014">
        <v>0</v>
      </c>
      <c r="H2014">
        <v>24</v>
      </c>
      <c r="I2014">
        <v>0</v>
      </c>
      <c r="J2014">
        <v>3.99</v>
      </c>
      <c r="K2014">
        <v>0</v>
      </c>
    </row>
    <row r="2015" spans="1:11" x14ac:dyDescent="0.2">
      <c r="A2015">
        <v>93355</v>
      </c>
      <c r="B2015">
        <v>55282</v>
      </c>
      <c r="C2015" t="s">
        <v>5649</v>
      </c>
      <c r="D2015">
        <v>10</v>
      </c>
      <c r="E2015">
        <v>12</v>
      </c>
      <c r="F2015">
        <v>0</v>
      </c>
      <c r="G2015">
        <v>0</v>
      </c>
      <c r="H2015">
        <v>24</v>
      </c>
      <c r="I2015">
        <v>0</v>
      </c>
      <c r="J2015">
        <v>3.39</v>
      </c>
      <c r="K2015">
        <v>0</v>
      </c>
    </row>
    <row r="2016" spans="1:11" x14ac:dyDescent="0.2">
      <c r="A2016">
        <v>93364</v>
      </c>
      <c r="B2016">
        <v>55312</v>
      </c>
      <c r="C2016" t="s">
        <v>5650</v>
      </c>
      <c r="D2016">
        <v>10</v>
      </c>
      <c r="E2016">
        <v>40</v>
      </c>
      <c r="F2016">
        <v>1</v>
      </c>
      <c r="G2016">
        <v>40</v>
      </c>
      <c r="H2016">
        <v>1</v>
      </c>
      <c r="I2016">
        <v>1</v>
      </c>
      <c r="J2016">
        <v>4.99</v>
      </c>
      <c r="K2016">
        <v>199.6</v>
      </c>
    </row>
    <row r="2017" spans="1:11" x14ac:dyDescent="0.2">
      <c r="A2017">
        <v>93359</v>
      </c>
      <c r="B2017">
        <v>55314</v>
      </c>
      <c r="C2017" t="s">
        <v>5651</v>
      </c>
      <c r="D2017">
        <v>10</v>
      </c>
      <c r="E2017">
        <v>12</v>
      </c>
      <c r="F2017">
        <v>0</v>
      </c>
      <c r="G2017">
        <v>0</v>
      </c>
      <c r="H2017">
        <v>20</v>
      </c>
      <c r="I2017">
        <v>0</v>
      </c>
      <c r="J2017">
        <v>2.69</v>
      </c>
      <c r="K2017">
        <v>0</v>
      </c>
    </row>
    <row r="2018" spans="1:11" x14ac:dyDescent="0.2">
      <c r="A2018">
        <v>93372</v>
      </c>
      <c r="B2018">
        <v>55317</v>
      </c>
      <c r="C2018" t="s">
        <v>5652</v>
      </c>
      <c r="D2018">
        <v>10</v>
      </c>
      <c r="E2018">
        <v>24</v>
      </c>
      <c r="F2018">
        <v>0</v>
      </c>
      <c r="G2018">
        <v>0</v>
      </c>
      <c r="H2018">
        <v>12</v>
      </c>
      <c r="I2018">
        <v>0</v>
      </c>
      <c r="J2018">
        <v>19.989999999999998</v>
      </c>
      <c r="K2018">
        <v>0</v>
      </c>
    </row>
    <row r="2019" spans="1:11" x14ac:dyDescent="0.2">
      <c r="A2019">
        <v>93385</v>
      </c>
      <c r="B2019">
        <v>55339</v>
      </c>
      <c r="C2019" t="s">
        <v>5653</v>
      </c>
      <c r="D2019">
        <v>10</v>
      </c>
      <c r="E2019">
        <v>8</v>
      </c>
      <c r="F2019">
        <v>0</v>
      </c>
      <c r="G2019">
        <v>0</v>
      </c>
      <c r="H2019">
        <v>20</v>
      </c>
      <c r="I2019">
        <v>0</v>
      </c>
      <c r="J2019">
        <v>4.99</v>
      </c>
      <c r="K2019">
        <v>0</v>
      </c>
    </row>
    <row r="2020" spans="1:11" x14ac:dyDescent="0.2">
      <c r="A2020">
        <v>93351</v>
      </c>
      <c r="B2020">
        <v>55348</v>
      </c>
      <c r="C2020" t="s">
        <v>5654</v>
      </c>
      <c r="D2020">
        <v>10</v>
      </c>
      <c r="E2020">
        <v>24</v>
      </c>
      <c r="F2020">
        <v>8</v>
      </c>
      <c r="G2020">
        <v>192</v>
      </c>
      <c r="H2020">
        <v>32</v>
      </c>
      <c r="I2020">
        <v>0.3</v>
      </c>
      <c r="J2020">
        <v>1.79</v>
      </c>
      <c r="K2020">
        <v>343.68</v>
      </c>
    </row>
    <row r="2021" spans="1:11" x14ac:dyDescent="0.2">
      <c r="A2021">
        <v>93352</v>
      </c>
      <c r="B2021">
        <v>55354</v>
      </c>
      <c r="C2021" t="s">
        <v>5655</v>
      </c>
      <c r="D2021">
        <v>6</v>
      </c>
      <c r="E2021">
        <v>10</v>
      </c>
      <c r="F2021">
        <v>5</v>
      </c>
      <c r="G2021">
        <v>50</v>
      </c>
      <c r="H2021">
        <v>12</v>
      </c>
      <c r="I2021">
        <v>0.4</v>
      </c>
      <c r="J2021">
        <v>5.99</v>
      </c>
      <c r="K2021">
        <v>299.5</v>
      </c>
    </row>
    <row r="2022" spans="1:11" x14ac:dyDescent="0.2">
      <c r="A2022">
        <v>93047</v>
      </c>
      <c r="B2022">
        <v>55362</v>
      </c>
      <c r="C2022" t="s">
        <v>5656</v>
      </c>
      <c r="D2022">
        <v>10</v>
      </c>
      <c r="E2022">
        <v>12</v>
      </c>
      <c r="F2022">
        <v>-1</v>
      </c>
      <c r="G2022">
        <v>-12</v>
      </c>
      <c r="H2022">
        <v>32</v>
      </c>
      <c r="I2022">
        <v>0</v>
      </c>
      <c r="J2022">
        <v>2.99</v>
      </c>
      <c r="K2022">
        <v>-35.880000000000003</v>
      </c>
    </row>
    <row r="2023" spans="1:11" x14ac:dyDescent="0.2">
      <c r="B2023">
        <v>55365</v>
      </c>
      <c r="C2023" t="s">
        <v>5657</v>
      </c>
      <c r="D2023">
        <v>10</v>
      </c>
      <c r="E2023">
        <v>24</v>
      </c>
      <c r="F2023">
        <v>0</v>
      </c>
      <c r="G2023">
        <v>0</v>
      </c>
      <c r="H2023">
        <v>32</v>
      </c>
      <c r="I2023">
        <v>0</v>
      </c>
      <c r="J2023">
        <v>1.49</v>
      </c>
      <c r="K2023">
        <v>0</v>
      </c>
    </row>
    <row r="2024" spans="1:11" x14ac:dyDescent="0.2">
      <c r="A2024">
        <v>93365</v>
      </c>
      <c r="B2024">
        <v>55373</v>
      </c>
      <c r="C2024" t="s">
        <v>5658</v>
      </c>
      <c r="D2024">
        <v>10</v>
      </c>
      <c r="E2024">
        <v>4</v>
      </c>
      <c r="F2024">
        <v>0</v>
      </c>
      <c r="G2024">
        <v>0</v>
      </c>
      <c r="H2024">
        <v>24</v>
      </c>
      <c r="I2024">
        <v>0</v>
      </c>
      <c r="J2024">
        <v>14.99</v>
      </c>
      <c r="K2024">
        <v>0</v>
      </c>
    </row>
    <row r="2025" spans="1:11" x14ac:dyDescent="0.2">
      <c r="A2025">
        <v>93383</v>
      </c>
      <c r="B2025">
        <v>55376</v>
      </c>
      <c r="C2025" t="s">
        <v>5659</v>
      </c>
      <c r="D2025">
        <v>10</v>
      </c>
      <c r="E2025">
        <v>7</v>
      </c>
      <c r="F2025">
        <v>2</v>
      </c>
      <c r="G2025">
        <v>14</v>
      </c>
      <c r="H2025">
        <v>24</v>
      </c>
      <c r="I2025">
        <v>0.1</v>
      </c>
      <c r="J2025">
        <v>4.99</v>
      </c>
      <c r="K2025">
        <v>69.86</v>
      </c>
    </row>
    <row r="2026" spans="1:11" x14ac:dyDescent="0.2">
      <c r="A2026">
        <v>93386</v>
      </c>
      <c r="B2026">
        <v>55377</v>
      </c>
      <c r="C2026" t="s">
        <v>5660</v>
      </c>
      <c r="D2026">
        <v>10</v>
      </c>
      <c r="E2026">
        <v>10</v>
      </c>
      <c r="F2026">
        <v>13</v>
      </c>
      <c r="G2026">
        <v>130</v>
      </c>
      <c r="H2026">
        <v>24</v>
      </c>
      <c r="I2026">
        <v>0.5</v>
      </c>
      <c r="J2026">
        <v>5.99</v>
      </c>
      <c r="K2026">
        <v>778.7</v>
      </c>
    </row>
    <row r="2027" spans="1:11" x14ac:dyDescent="0.2">
      <c r="A2027">
        <v>93048</v>
      </c>
      <c r="B2027">
        <v>55405</v>
      </c>
      <c r="C2027" t="s">
        <v>5661</v>
      </c>
      <c r="D2027">
        <v>10</v>
      </c>
      <c r="E2027">
        <v>6</v>
      </c>
      <c r="F2027">
        <v>0</v>
      </c>
      <c r="G2027">
        <v>0</v>
      </c>
      <c r="H2027">
        <v>8</v>
      </c>
      <c r="I2027">
        <v>0</v>
      </c>
      <c r="J2027">
        <v>22.99</v>
      </c>
      <c r="K2027">
        <v>0</v>
      </c>
    </row>
    <row r="2028" spans="1:11" x14ac:dyDescent="0.2">
      <c r="A2028">
        <v>93317</v>
      </c>
      <c r="B2028">
        <v>55412</v>
      </c>
      <c r="C2028" t="s">
        <v>5662</v>
      </c>
      <c r="D2028">
        <v>6</v>
      </c>
      <c r="E2028">
        <v>40</v>
      </c>
      <c r="F2028">
        <v>5</v>
      </c>
      <c r="G2028">
        <v>208</v>
      </c>
      <c r="H2028">
        <v>100</v>
      </c>
      <c r="I2028">
        <v>0.1</v>
      </c>
      <c r="J2028">
        <v>2.99</v>
      </c>
      <c r="K2028">
        <v>621.91999999999996</v>
      </c>
    </row>
    <row r="2029" spans="1:11" x14ac:dyDescent="0.2">
      <c r="A2029">
        <v>93328</v>
      </c>
      <c r="B2029">
        <v>55413</v>
      </c>
      <c r="C2029" t="s">
        <v>5663</v>
      </c>
      <c r="D2029">
        <v>10</v>
      </c>
      <c r="E2029">
        <v>12</v>
      </c>
      <c r="F2029">
        <v>0</v>
      </c>
      <c r="G2029">
        <v>0</v>
      </c>
      <c r="H2029">
        <v>24</v>
      </c>
      <c r="I2029">
        <v>0</v>
      </c>
      <c r="J2029">
        <v>2.19</v>
      </c>
      <c r="K2029">
        <v>0</v>
      </c>
    </row>
    <row r="2030" spans="1:11" x14ac:dyDescent="0.2">
      <c r="A2030">
        <v>93393</v>
      </c>
      <c r="B2030">
        <v>55418</v>
      </c>
      <c r="C2030" t="s">
        <v>5664</v>
      </c>
      <c r="D2030">
        <v>10</v>
      </c>
      <c r="E2030">
        <v>12</v>
      </c>
      <c r="F2030">
        <v>0</v>
      </c>
      <c r="G2030">
        <v>0</v>
      </c>
      <c r="H2030">
        <v>24</v>
      </c>
      <c r="I2030">
        <v>0</v>
      </c>
      <c r="K2030">
        <v>0</v>
      </c>
    </row>
    <row r="2031" spans="1:11" x14ac:dyDescent="0.2">
      <c r="A2031">
        <v>93067</v>
      </c>
      <c r="B2031">
        <v>55440</v>
      </c>
      <c r="C2031" t="s">
        <v>5665</v>
      </c>
      <c r="D2031">
        <v>10</v>
      </c>
      <c r="E2031">
        <v>14</v>
      </c>
      <c r="F2031">
        <v>8</v>
      </c>
      <c r="G2031">
        <v>112</v>
      </c>
      <c r="H2031">
        <v>100</v>
      </c>
      <c r="I2031">
        <v>0.1</v>
      </c>
      <c r="J2031">
        <v>6.99</v>
      </c>
      <c r="K2031">
        <v>782.88</v>
      </c>
    </row>
    <row r="2032" spans="1:11" x14ac:dyDescent="0.2">
      <c r="A2032">
        <v>2505</v>
      </c>
      <c r="B2032">
        <v>55501</v>
      </c>
      <c r="C2032" t="s">
        <v>5666</v>
      </c>
      <c r="D2032">
        <v>6</v>
      </c>
      <c r="E2032">
        <v>6</v>
      </c>
      <c r="F2032">
        <v>0</v>
      </c>
      <c r="G2032">
        <v>0</v>
      </c>
      <c r="H2032">
        <v>105</v>
      </c>
      <c r="I2032">
        <v>0</v>
      </c>
      <c r="J2032">
        <v>1.19</v>
      </c>
      <c r="K2032">
        <v>0</v>
      </c>
    </row>
    <row r="2033" spans="1:11" x14ac:dyDescent="0.2">
      <c r="A2033">
        <v>74083</v>
      </c>
      <c r="B2033">
        <v>55526</v>
      </c>
      <c r="C2033" t="s">
        <v>5667</v>
      </c>
      <c r="D2033">
        <v>8</v>
      </c>
      <c r="E2033">
        <v>15</v>
      </c>
      <c r="F2033">
        <v>129</v>
      </c>
      <c r="G2033">
        <v>1935</v>
      </c>
      <c r="H2033">
        <v>63</v>
      </c>
      <c r="I2033">
        <v>2</v>
      </c>
      <c r="J2033">
        <v>1.69</v>
      </c>
      <c r="K2033">
        <v>3270.15</v>
      </c>
    </row>
    <row r="2034" spans="1:11" x14ac:dyDescent="0.2">
      <c r="A2034">
        <v>2629</v>
      </c>
      <c r="B2034">
        <v>55571</v>
      </c>
      <c r="C2034" t="s">
        <v>5668</v>
      </c>
      <c r="D2034">
        <v>6</v>
      </c>
      <c r="E2034">
        <v>3</v>
      </c>
      <c r="F2034">
        <v>1330</v>
      </c>
      <c r="G2034">
        <v>3990</v>
      </c>
      <c r="H2034">
        <v>70</v>
      </c>
      <c r="I2034">
        <v>19</v>
      </c>
      <c r="J2034">
        <v>6.39</v>
      </c>
      <c r="K2034">
        <v>25496.1</v>
      </c>
    </row>
    <row r="2035" spans="1:11" x14ac:dyDescent="0.2">
      <c r="A2035">
        <v>57276</v>
      </c>
      <c r="B2035">
        <v>55584</v>
      </c>
      <c r="C2035" t="s">
        <v>5669</v>
      </c>
      <c r="D2035">
        <v>10</v>
      </c>
      <c r="E2035">
        <v>10</v>
      </c>
      <c r="F2035">
        <v>0</v>
      </c>
      <c r="G2035">
        <v>0</v>
      </c>
      <c r="H2035">
        <v>78</v>
      </c>
      <c r="I2035">
        <v>0</v>
      </c>
      <c r="J2035">
        <v>0.99</v>
      </c>
      <c r="K2035">
        <v>0</v>
      </c>
    </row>
    <row r="2036" spans="1:11" x14ac:dyDescent="0.2">
      <c r="A2036">
        <v>2630</v>
      </c>
      <c r="B2036">
        <v>55585</v>
      </c>
      <c r="C2036" t="s">
        <v>5670</v>
      </c>
      <c r="D2036">
        <v>6</v>
      </c>
      <c r="E2036">
        <v>20</v>
      </c>
      <c r="F2036">
        <v>0</v>
      </c>
      <c r="G2036">
        <v>0</v>
      </c>
      <c r="H2036">
        <v>66</v>
      </c>
      <c r="I2036">
        <v>0</v>
      </c>
      <c r="J2036">
        <v>2.99</v>
      </c>
      <c r="K2036">
        <v>0</v>
      </c>
    </row>
    <row r="2037" spans="1:11" x14ac:dyDescent="0.2">
      <c r="A2037">
        <v>48603</v>
      </c>
      <c r="B2037">
        <v>55668</v>
      </c>
      <c r="C2037" t="s">
        <v>5671</v>
      </c>
      <c r="D2037">
        <v>10</v>
      </c>
      <c r="E2037">
        <v>25</v>
      </c>
      <c r="F2037">
        <v>1</v>
      </c>
      <c r="G2037">
        <v>25</v>
      </c>
      <c r="H2037">
        <v>64</v>
      </c>
      <c r="I2037">
        <v>0</v>
      </c>
      <c r="J2037">
        <v>1.79</v>
      </c>
      <c r="K2037">
        <v>44.75</v>
      </c>
    </row>
    <row r="2038" spans="1:11" x14ac:dyDescent="0.2">
      <c r="B2038">
        <v>55673</v>
      </c>
      <c r="C2038" t="s">
        <v>5672</v>
      </c>
      <c r="D2038">
        <v>11</v>
      </c>
      <c r="E2038">
        <v>12</v>
      </c>
      <c r="F2038">
        <v>0</v>
      </c>
      <c r="G2038">
        <v>0</v>
      </c>
      <c r="H2038">
        <v>84</v>
      </c>
      <c r="I2038">
        <v>0</v>
      </c>
      <c r="J2038">
        <v>2.89</v>
      </c>
      <c r="K2038">
        <v>0</v>
      </c>
    </row>
    <row r="2039" spans="1:11" x14ac:dyDescent="0.2">
      <c r="A2039">
        <v>2631</v>
      </c>
      <c r="B2039">
        <v>55866</v>
      </c>
      <c r="C2039" t="s">
        <v>5673</v>
      </c>
      <c r="D2039">
        <v>6</v>
      </c>
      <c r="E2039">
        <v>8</v>
      </c>
      <c r="F2039">
        <v>672</v>
      </c>
      <c r="G2039">
        <v>5376</v>
      </c>
      <c r="H2039">
        <v>56</v>
      </c>
      <c r="I2039">
        <v>12</v>
      </c>
      <c r="J2039">
        <v>2.76</v>
      </c>
      <c r="K2039">
        <v>14837.76</v>
      </c>
    </row>
    <row r="2040" spans="1:11" x14ac:dyDescent="0.2">
      <c r="B2040">
        <v>55876</v>
      </c>
      <c r="C2040" t="s">
        <v>5324</v>
      </c>
      <c r="D2040">
        <v>11</v>
      </c>
      <c r="E2040">
        <v>32</v>
      </c>
      <c r="F2040">
        <v>0</v>
      </c>
      <c r="G2040">
        <v>0</v>
      </c>
      <c r="H2040">
        <v>180</v>
      </c>
      <c r="I2040">
        <v>0</v>
      </c>
      <c r="J2040">
        <v>0.99</v>
      </c>
      <c r="K2040">
        <v>0</v>
      </c>
    </row>
    <row r="2041" spans="1:11" x14ac:dyDescent="0.2">
      <c r="A2041">
        <v>45602</v>
      </c>
      <c r="B2041">
        <v>55877</v>
      </c>
      <c r="C2041" t="s">
        <v>5324</v>
      </c>
      <c r="D2041">
        <v>10</v>
      </c>
      <c r="E2041">
        <v>32</v>
      </c>
      <c r="F2041">
        <v>0</v>
      </c>
      <c r="G2041">
        <v>0</v>
      </c>
      <c r="H2041">
        <v>180</v>
      </c>
      <c r="I2041">
        <v>0</v>
      </c>
      <c r="J2041">
        <v>0.69</v>
      </c>
      <c r="K2041">
        <v>0</v>
      </c>
    </row>
    <row r="2042" spans="1:11" x14ac:dyDescent="0.2">
      <c r="A2042">
        <v>69104</v>
      </c>
      <c r="B2042">
        <v>55891</v>
      </c>
      <c r="C2042" t="s">
        <v>5674</v>
      </c>
      <c r="D2042">
        <v>8</v>
      </c>
      <c r="E2042">
        <v>70</v>
      </c>
      <c r="F2042">
        <v>231</v>
      </c>
      <c r="G2042">
        <v>16167</v>
      </c>
      <c r="H2042">
        <v>80</v>
      </c>
      <c r="I2042">
        <v>2.9</v>
      </c>
      <c r="J2042">
        <v>1.39</v>
      </c>
      <c r="K2042">
        <v>22472.13</v>
      </c>
    </row>
    <row r="2043" spans="1:11" x14ac:dyDescent="0.2">
      <c r="A2043">
        <v>82063</v>
      </c>
      <c r="B2043">
        <v>56157</v>
      </c>
      <c r="C2043" t="s">
        <v>5675</v>
      </c>
      <c r="D2043">
        <v>8</v>
      </c>
      <c r="E2043">
        <v>36</v>
      </c>
      <c r="F2043">
        <v>98</v>
      </c>
      <c r="G2043">
        <v>3528</v>
      </c>
      <c r="H2043">
        <v>72</v>
      </c>
      <c r="I2043">
        <v>1.4</v>
      </c>
      <c r="J2043">
        <v>1.65</v>
      </c>
      <c r="K2043">
        <v>5821.2</v>
      </c>
    </row>
    <row r="2044" spans="1:11" x14ac:dyDescent="0.2">
      <c r="B2044">
        <v>56303</v>
      </c>
      <c r="C2044" t="s">
        <v>5676</v>
      </c>
      <c r="D2044">
        <v>11</v>
      </c>
      <c r="E2044">
        <v>12</v>
      </c>
      <c r="F2044">
        <v>0</v>
      </c>
      <c r="G2044">
        <v>0</v>
      </c>
      <c r="H2044">
        <v>156</v>
      </c>
      <c r="I2044">
        <v>0</v>
      </c>
      <c r="J2044">
        <v>0.89</v>
      </c>
      <c r="K2044">
        <v>0</v>
      </c>
    </row>
    <row r="2045" spans="1:11" x14ac:dyDescent="0.2">
      <c r="A2045">
        <v>99022</v>
      </c>
      <c r="B2045">
        <v>56781</v>
      </c>
      <c r="C2045" t="s">
        <v>5677</v>
      </c>
      <c r="D2045">
        <v>10</v>
      </c>
      <c r="E2045">
        <v>10</v>
      </c>
      <c r="F2045">
        <v>0</v>
      </c>
      <c r="G2045">
        <v>0</v>
      </c>
      <c r="H2045">
        <v>54</v>
      </c>
      <c r="I2045">
        <v>0</v>
      </c>
      <c r="J2045">
        <v>2.19</v>
      </c>
      <c r="K2045">
        <v>0</v>
      </c>
    </row>
    <row r="2046" spans="1:11" x14ac:dyDescent="0.2">
      <c r="A2046">
        <v>57175</v>
      </c>
      <c r="B2046">
        <v>57175</v>
      </c>
      <c r="C2046" t="s">
        <v>5678</v>
      </c>
      <c r="D2046">
        <v>11</v>
      </c>
      <c r="E2046">
        <v>10</v>
      </c>
      <c r="F2046">
        <v>0</v>
      </c>
      <c r="G2046">
        <v>0</v>
      </c>
      <c r="H2046">
        <v>72</v>
      </c>
      <c r="I2046">
        <v>0</v>
      </c>
      <c r="J2046">
        <v>3</v>
      </c>
      <c r="K2046">
        <v>0</v>
      </c>
    </row>
    <row r="2047" spans="1:11" x14ac:dyDescent="0.2">
      <c r="A2047">
        <v>57191</v>
      </c>
      <c r="B2047">
        <v>57191</v>
      </c>
      <c r="C2047" t="s">
        <v>5679</v>
      </c>
      <c r="D2047">
        <v>11</v>
      </c>
      <c r="E2047">
        <v>15</v>
      </c>
      <c r="F2047">
        <v>0</v>
      </c>
      <c r="G2047">
        <v>0</v>
      </c>
      <c r="H2047">
        <v>60</v>
      </c>
      <c r="I2047">
        <v>0</v>
      </c>
      <c r="J2047">
        <v>1.99</v>
      </c>
      <c r="K2047">
        <v>0</v>
      </c>
    </row>
    <row r="2048" spans="1:11" x14ac:dyDescent="0.2">
      <c r="A2048">
        <v>28604</v>
      </c>
      <c r="B2048">
        <v>57601</v>
      </c>
      <c r="C2048" t="s">
        <v>5680</v>
      </c>
      <c r="D2048">
        <v>10</v>
      </c>
      <c r="E2048">
        <v>6</v>
      </c>
      <c r="F2048">
        <v>0</v>
      </c>
      <c r="G2048">
        <v>0</v>
      </c>
      <c r="H2048">
        <v>80</v>
      </c>
      <c r="I2048">
        <v>0</v>
      </c>
      <c r="J2048">
        <v>1.0900000000000001</v>
      </c>
      <c r="K2048">
        <v>0</v>
      </c>
    </row>
    <row r="2049" spans="1:11" x14ac:dyDescent="0.2">
      <c r="A2049">
        <v>2632</v>
      </c>
      <c r="B2049">
        <v>57602</v>
      </c>
      <c r="C2049" t="s">
        <v>5681</v>
      </c>
      <c r="D2049">
        <v>6</v>
      </c>
      <c r="E2049">
        <v>7</v>
      </c>
      <c r="F2049">
        <v>0</v>
      </c>
      <c r="G2049">
        <v>0</v>
      </c>
      <c r="H2049">
        <v>88</v>
      </c>
      <c r="I2049">
        <v>0</v>
      </c>
      <c r="J2049">
        <v>1.49</v>
      </c>
      <c r="K2049">
        <v>0</v>
      </c>
    </row>
    <row r="2050" spans="1:11" x14ac:dyDescent="0.2">
      <c r="B2050">
        <v>57631</v>
      </c>
      <c r="C2050" t="s">
        <v>5682</v>
      </c>
      <c r="D2050">
        <v>11</v>
      </c>
      <c r="E2050">
        <v>12</v>
      </c>
      <c r="F2050">
        <v>-2</v>
      </c>
      <c r="G2050">
        <v>-24</v>
      </c>
      <c r="H2050">
        <v>64</v>
      </c>
      <c r="I2050">
        <v>0</v>
      </c>
      <c r="J2050">
        <v>2.29</v>
      </c>
      <c r="K2050">
        <v>-54.96</v>
      </c>
    </row>
    <row r="2051" spans="1:11" x14ac:dyDescent="0.2">
      <c r="A2051">
        <v>72005</v>
      </c>
      <c r="B2051">
        <v>57680</v>
      </c>
      <c r="C2051" t="s">
        <v>5683</v>
      </c>
      <c r="D2051">
        <v>8</v>
      </c>
      <c r="E2051">
        <v>36</v>
      </c>
      <c r="F2051">
        <v>545</v>
      </c>
      <c r="G2051">
        <v>19620</v>
      </c>
      <c r="H2051">
        <v>72</v>
      </c>
      <c r="I2051">
        <v>7.6</v>
      </c>
      <c r="J2051">
        <v>1.0900000000000001</v>
      </c>
      <c r="K2051">
        <v>21385.8</v>
      </c>
    </row>
    <row r="2052" spans="1:11" x14ac:dyDescent="0.2">
      <c r="A2052">
        <v>86039</v>
      </c>
      <c r="B2052">
        <v>57733</v>
      </c>
      <c r="C2052" t="s">
        <v>5684</v>
      </c>
      <c r="D2052">
        <v>8</v>
      </c>
      <c r="E2052">
        <v>72</v>
      </c>
      <c r="F2052">
        <v>288</v>
      </c>
      <c r="G2052">
        <v>20736</v>
      </c>
      <c r="H2052">
        <v>48</v>
      </c>
      <c r="I2052">
        <v>6</v>
      </c>
      <c r="J2052">
        <v>0.59</v>
      </c>
      <c r="K2052">
        <v>12234.24</v>
      </c>
    </row>
    <row r="2053" spans="1:11" x14ac:dyDescent="0.2">
      <c r="B2053">
        <v>58153</v>
      </c>
      <c r="C2053" t="s">
        <v>4008</v>
      </c>
      <c r="D2053">
        <v>11</v>
      </c>
      <c r="E2053">
        <v>12</v>
      </c>
      <c r="F2053">
        <v>0</v>
      </c>
      <c r="G2053">
        <v>0</v>
      </c>
      <c r="H2053">
        <v>96</v>
      </c>
      <c r="I2053">
        <v>0</v>
      </c>
      <c r="J2053">
        <v>0.99</v>
      </c>
      <c r="K2053">
        <v>0</v>
      </c>
    </row>
    <row r="2054" spans="1:11" x14ac:dyDescent="0.2">
      <c r="B2054">
        <v>58232</v>
      </c>
      <c r="C2054" t="s">
        <v>5685</v>
      </c>
      <c r="D2054">
        <v>10</v>
      </c>
      <c r="E2054">
        <v>16</v>
      </c>
      <c r="F2054">
        <v>-1</v>
      </c>
      <c r="G2054">
        <v>-16</v>
      </c>
      <c r="H2054">
        <v>32</v>
      </c>
      <c r="I2054">
        <v>0</v>
      </c>
      <c r="J2054">
        <v>2.39</v>
      </c>
      <c r="K2054">
        <v>-38.24</v>
      </c>
    </row>
    <row r="2055" spans="1:11" x14ac:dyDescent="0.2">
      <c r="A2055">
        <v>93227</v>
      </c>
      <c r="B2055">
        <v>58233</v>
      </c>
      <c r="C2055" t="s">
        <v>5686</v>
      </c>
      <c r="D2055">
        <v>6</v>
      </c>
      <c r="E2055">
        <v>12</v>
      </c>
      <c r="F2055">
        <v>0</v>
      </c>
      <c r="G2055">
        <v>0</v>
      </c>
      <c r="H2055">
        <v>28</v>
      </c>
      <c r="I2055">
        <v>0</v>
      </c>
      <c r="J2055">
        <v>3.49</v>
      </c>
      <c r="K2055">
        <v>0</v>
      </c>
    </row>
    <row r="2056" spans="1:11" x14ac:dyDescent="0.2">
      <c r="A2056">
        <v>93071</v>
      </c>
      <c r="B2056">
        <v>58234</v>
      </c>
      <c r="C2056" t="s">
        <v>5687</v>
      </c>
      <c r="D2056">
        <v>10</v>
      </c>
      <c r="E2056">
        <v>12</v>
      </c>
      <c r="F2056">
        <v>0</v>
      </c>
      <c r="G2056">
        <v>0</v>
      </c>
      <c r="H2056">
        <v>24</v>
      </c>
      <c r="I2056">
        <v>0</v>
      </c>
      <c r="J2056">
        <v>1.59</v>
      </c>
      <c r="K2056">
        <v>0</v>
      </c>
    </row>
    <row r="2057" spans="1:11" x14ac:dyDescent="0.2">
      <c r="A2057">
        <v>93079</v>
      </c>
      <c r="B2057">
        <v>58235</v>
      </c>
      <c r="C2057" t="s">
        <v>5688</v>
      </c>
      <c r="D2057">
        <v>10</v>
      </c>
      <c r="E2057">
        <v>12</v>
      </c>
      <c r="F2057">
        <v>0</v>
      </c>
      <c r="G2057">
        <v>0</v>
      </c>
      <c r="H2057">
        <v>24</v>
      </c>
      <c r="I2057">
        <v>0</v>
      </c>
      <c r="J2057">
        <v>1.59</v>
      </c>
      <c r="K2057">
        <v>0</v>
      </c>
    </row>
    <row r="2058" spans="1:11" x14ac:dyDescent="0.2">
      <c r="A2058">
        <v>93072</v>
      </c>
      <c r="B2058">
        <v>58241</v>
      </c>
      <c r="C2058" t="s">
        <v>5689</v>
      </c>
      <c r="D2058">
        <v>6</v>
      </c>
      <c r="E2058">
        <v>144</v>
      </c>
      <c r="F2058">
        <v>0</v>
      </c>
      <c r="G2058">
        <v>0</v>
      </c>
      <c r="H2058">
        <v>1</v>
      </c>
      <c r="I2058">
        <v>0</v>
      </c>
      <c r="J2058">
        <v>1.59</v>
      </c>
      <c r="K2058">
        <v>0</v>
      </c>
    </row>
    <row r="2059" spans="1:11" x14ac:dyDescent="0.2">
      <c r="A2059">
        <v>93115</v>
      </c>
      <c r="B2059">
        <v>58242</v>
      </c>
      <c r="C2059" t="s">
        <v>5690</v>
      </c>
      <c r="D2059">
        <v>10</v>
      </c>
      <c r="E2059">
        <v>4</v>
      </c>
      <c r="F2059">
        <v>2</v>
      </c>
      <c r="G2059">
        <v>8</v>
      </c>
      <c r="H2059">
        <v>24</v>
      </c>
      <c r="I2059">
        <v>0.1</v>
      </c>
      <c r="K2059">
        <v>0</v>
      </c>
    </row>
    <row r="2060" spans="1:11" x14ac:dyDescent="0.2">
      <c r="A2060">
        <v>93150</v>
      </c>
      <c r="B2060">
        <v>58245</v>
      </c>
      <c r="C2060" t="s">
        <v>5691</v>
      </c>
      <c r="D2060">
        <v>10</v>
      </c>
      <c r="E2060">
        <v>12</v>
      </c>
      <c r="F2060">
        <v>0</v>
      </c>
      <c r="G2060">
        <v>0</v>
      </c>
      <c r="H2060">
        <v>24</v>
      </c>
      <c r="I2060">
        <v>0</v>
      </c>
      <c r="J2060">
        <v>3.29</v>
      </c>
      <c r="K2060">
        <v>0</v>
      </c>
    </row>
    <row r="2061" spans="1:11" x14ac:dyDescent="0.2">
      <c r="B2061">
        <v>58249</v>
      </c>
      <c r="C2061" t="s">
        <v>5692</v>
      </c>
      <c r="D2061">
        <v>10</v>
      </c>
      <c r="E2061">
        <v>12</v>
      </c>
      <c r="F2061">
        <v>0</v>
      </c>
      <c r="G2061">
        <v>0</v>
      </c>
      <c r="H2061">
        <v>16</v>
      </c>
      <c r="I2061">
        <v>0</v>
      </c>
      <c r="J2061">
        <v>6.99</v>
      </c>
      <c r="K2061">
        <v>0</v>
      </c>
    </row>
    <row r="2062" spans="1:11" x14ac:dyDescent="0.2">
      <c r="A2062">
        <v>93353</v>
      </c>
      <c r="B2062">
        <v>58254</v>
      </c>
      <c r="C2062" t="s">
        <v>5693</v>
      </c>
      <c r="D2062">
        <v>10</v>
      </c>
      <c r="E2062">
        <v>16</v>
      </c>
      <c r="F2062">
        <v>0</v>
      </c>
      <c r="G2062">
        <v>0</v>
      </c>
      <c r="H2062">
        <v>20</v>
      </c>
      <c r="I2062">
        <v>0</v>
      </c>
      <c r="J2062">
        <v>2.99</v>
      </c>
      <c r="K2062">
        <v>0</v>
      </c>
    </row>
    <row r="2063" spans="1:11" x14ac:dyDescent="0.2">
      <c r="A2063">
        <v>93261</v>
      </c>
      <c r="B2063">
        <v>58257</v>
      </c>
      <c r="C2063" t="s">
        <v>5694</v>
      </c>
      <c r="D2063">
        <v>10</v>
      </c>
      <c r="E2063">
        <v>12</v>
      </c>
      <c r="F2063">
        <v>1</v>
      </c>
      <c r="G2063">
        <v>12</v>
      </c>
      <c r="H2063">
        <v>24</v>
      </c>
      <c r="I2063">
        <v>0</v>
      </c>
      <c r="J2063">
        <v>2.89</v>
      </c>
      <c r="K2063">
        <v>34.68</v>
      </c>
    </row>
    <row r="2064" spans="1:11" x14ac:dyDescent="0.2">
      <c r="B2064">
        <v>58269</v>
      </c>
      <c r="C2064" t="s">
        <v>5695</v>
      </c>
      <c r="D2064">
        <v>11</v>
      </c>
      <c r="E2064">
        <v>80</v>
      </c>
      <c r="F2064">
        <v>0</v>
      </c>
      <c r="G2064">
        <v>0</v>
      </c>
      <c r="H2064">
        <v>1</v>
      </c>
      <c r="I2064">
        <v>0</v>
      </c>
      <c r="J2064">
        <v>1.19</v>
      </c>
      <c r="K2064">
        <v>0</v>
      </c>
    </row>
    <row r="2065" spans="1:12" x14ac:dyDescent="0.2">
      <c r="A2065">
        <v>93147</v>
      </c>
      <c r="B2065">
        <v>58272</v>
      </c>
      <c r="C2065" t="s">
        <v>5696</v>
      </c>
      <c r="D2065">
        <v>11</v>
      </c>
      <c r="E2065">
        <v>132</v>
      </c>
      <c r="F2065">
        <v>0</v>
      </c>
      <c r="G2065">
        <v>0</v>
      </c>
      <c r="H2065">
        <v>132</v>
      </c>
      <c r="I2065">
        <v>0</v>
      </c>
      <c r="J2065">
        <v>1.59</v>
      </c>
      <c r="K2065">
        <v>0</v>
      </c>
      <c r="L2065" t="s">
        <v>3699</v>
      </c>
    </row>
    <row r="2066" spans="1:12" x14ac:dyDescent="0.2">
      <c r="A2066">
        <v>93102</v>
      </c>
      <c r="B2066">
        <v>58285</v>
      </c>
      <c r="C2066" t="s">
        <v>5697</v>
      </c>
      <c r="D2066">
        <v>10</v>
      </c>
      <c r="E2066">
        <v>162</v>
      </c>
      <c r="F2066">
        <v>0</v>
      </c>
      <c r="G2066">
        <v>0</v>
      </c>
      <c r="H2066">
        <v>1</v>
      </c>
      <c r="I2066">
        <v>0</v>
      </c>
      <c r="J2066">
        <v>0.01</v>
      </c>
      <c r="K2066">
        <v>0</v>
      </c>
    </row>
    <row r="2067" spans="1:12" x14ac:dyDescent="0.2">
      <c r="B2067">
        <v>58287</v>
      </c>
      <c r="C2067" t="s">
        <v>5698</v>
      </c>
      <c r="D2067">
        <v>12</v>
      </c>
      <c r="E2067">
        <v>112</v>
      </c>
      <c r="F2067">
        <v>0</v>
      </c>
      <c r="G2067">
        <v>0</v>
      </c>
      <c r="H2067">
        <v>24</v>
      </c>
      <c r="I2067">
        <v>0</v>
      </c>
      <c r="J2067">
        <v>0.01</v>
      </c>
      <c r="K2067">
        <v>0</v>
      </c>
    </row>
    <row r="2068" spans="1:12" x14ac:dyDescent="0.2">
      <c r="A2068">
        <v>93043</v>
      </c>
      <c r="B2068">
        <v>58289</v>
      </c>
      <c r="C2068" t="s">
        <v>5610</v>
      </c>
      <c r="D2068">
        <v>10</v>
      </c>
      <c r="E2068">
        <v>12</v>
      </c>
      <c r="F2068">
        <v>0</v>
      </c>
      <c r="G2068">
        <v>0</v>
      </c>
      <c r="H2068">
        <v>24</v>
      </c>
      <c r="I2068">
        <v>0</v>
      </c>
      <c r="J2068">
        <v>1.69</v>
      </c>
      <c r="K2068">
        <v>0</v>
      </c>
    </row>
    <row r="2069" spans="1:12" x14ac:dyDescent="0.2">
      <c r="A2069">
        <v>93389</v>
      </c>
      <c r="B2069">
        <v>58296</v>
      </c>
      <c r="C2069" t="s">
        <v>5699</v>
      </c>
      <c r="D2069">
        <v>10</v>
      </c>
      <c r="E2069">
        <v>12</v>
      </c>
      <c r="F2069">
        <v>0</v>
      </c>
      <c r="G2069">
        <v>0</v>
      </c>
      <c r="H2069">
        <v>24</v>
      </c>
      <c r="I2069">
        <v>0</v>
      </c>
      <c r="K2069">
        <v>0</v>
      </c>
    </row>
    <row r="2070" spans="1:12" x14ac:dyDescent="0.2">
      <c r="A2070">
        <v>93134</v>
      </c>
      <c r="B2070">
        <v>58302</v>
      </c>
      <c r="C2070" t="s">
        <v>5700</v>
      </c>
      <c r="D2070">
        <v>10</v>
      </c>
      <c r="E2070">
        <v>48</v>
      </c>
      <c r="F2070">
        <v>0</v>
      </c>
      <c r="G2070">
        <v>0</v>
      </c>
      <c r="H2070">
        <v>1</v>
      </c>
      <c r="I2070">
        <v>0</v>
      </c>
      <c r="J2070">
        <v>1.99</v>
      </c>
      <c r="K2070">
        <v>0</v>
      </c>
    </row>
    <row r="2071" spans="1:12" x14ac:dyDescent="0.2">
      <c r="A2071">
        <v>93330</v>
      </c>
      <c r="B2071">
        <v>58308</v>
      </c>
      <c r="C2071" t="s">
        <v>5701</v>
      </c>
      <c r="D2071">
        <v>10</v>
      </c>
      <c r="E2071">
        <v>8</v>
      </c>
      <c r="F2071">
        <v>0</v>
      </c>
      <c r="G2071">
        <v>0</v>
      </c>
      <c r="H2071">
        <v>12</v>
      </c>
      <c r="I2071">
        <v>0</v>
      </c>
      <c r="J2071">
        <v>39.99</v>
      </c>
      <c r="K2071">
        <v>0</v>
      </c>
    </row>
    <row r="2072" spans="1:12" x14ac:dyDescent="0.2">
      <c r="B2072">
        <v>58325</v>
      </c>
      <c r="C2072" t="s">
        <v>5702</v>
      </c>
      <c r="D2072">
        <v>10</v>
      </c>
      <c r="E2072">
        <v>56</v>
      </c>
      <c r="F2072">
        <v>0</v>
      </c>
      <c r="G2072">
        <v>0</v>
      </c>
      <c r="H2072">
        <v>1</v>
      </c>
      <c r="I2072">
        <v>0</v>
      </c>
      <c r="J2072">
        <v>2.99</v>
      </c>
      <c r="K2072">
        <v>0</v>
      </c>
    </row>
    <row r="2073" spans="1:12" x14ac:dyDescent="0.2">
      <c r="A2073">
        <v>93075</v>
      </c>
      <c r="B2073">
        <v>58326</v>
      </c>
      <c r="C2073" t="s">
        <v>5703</v>
      </c>
      <c r="D2073">
        <v>10</v>
      </c>
      <c r="E2073">
        <v>21</v>
      </c>
      <c r="F2073">
        <v>0</v>
      </c>
      <c r="G2073">
        <v>0</v>
      </c>
      <c r="H2073">
        <v>1</v>
      </c>
      <c r="I2073">
        <v>0</v>
      </c>
      <c r="J2073">
        <v>6.99</v>
      </c>
      <c r="K2073">
        <v>0</v>
      </c>
    </row>
    <row r="2074" spans="1:12" x14ac:dyDescent="0.2">
      <c r="A2074">
        <v>93286</v>
      </c>
      <c r="B2074">
        <v>58347</v>
      </c>
      <c r="C2074" t="s">
        <v>5704</v>
      </c>
      <c r="D2074">
        <v>10</v>
      </c>
      <c r="E2074">
        <v>12</v>
      </c>
      <c r="F2074">
        <v>0</v>
      </c>
      <c r="G2074">
        <v>0</v>
      </c>
      <c r="H2074">
        <v>20</v>
      </c>
      <c r="I2074">
        <v>0</v>
      </c>
      <c r="J2074">
        <v>5.99</v>
      </c>
      <c r="K2074">
        <v>0</v>
      </c>
    </row>
    <row r="2075" spans="1:12" x14ac:dyDescent="0.2">
      <c r="A2075">
        <v>93163</v>
      </c>
      <c r="B2075">
        <v>58353</v>
      </c>
      <c r="C2075" t="s">
        <v>5705</v>
      </c>
      <c r="D2075">
        <v>6</v>
      </c>
      <c r="E2075">
        <v>12</v>
      </c>
      <c r="F2075">
        <v>0</v>
      </c>
      <c r="G2075">
        <v>0</v>
      </c>
      <c r="H2075">
        <v>24</v>
      </c>
      <c r="I2075">
        <v>0</v>
      </c>
      <c r="J2075">
        <v>4.29</v>
      </c>
      <c r="K2075">
        <v>0</v>
      </c>
    </row>
    <row r="2076" spans="1:12" x14ac:dyDescent="0.2">
      <c r="A2076">
        <v>93009</v>
      </c>
      <c r="B2076">
        <v>58368</v>
      </c>
      <c r="C2076" t="s">
        <v>5706</v>
      </c>
      <c r="D2076">
        <v>10</v>
      </c>
      <c r="E2076">
        <v>30</v>
      </c>
      <c r="F2076">
        <v>0</v>
      </c>
      <c r="G2076">
        <v>0</v>
      </c>
      <c r="H2076">
        <v>40</v>
      </c>
      <c r="I2076">
        <v>0</v>
      </c>
      <c r="J2076">
        <v>0.99</v>
      </c>
      <c r="K2076">
        <v>0</v>
      </c>
    </row>
    <row r="2077" spans="1:12" x14ac:dyDescent="0.2">
      <c r="A2077">
        <v>93223</v>
      </c>
      <c r="B2077">
        <v>58371</v>
      </c>
      <c r="C2077" t="s">
        <v>5707</v>
      </c>
      <c r="D2077">
        <v>6</v>
      </c>
      <c r="E2077">
        <v>4</v>
      </c>
      <c r="F2077">
        <v>0</v>
      </c>
      <c r="G2077">
        <v>0</v>
      </c>
      <c r="H2077">
        <v>18</v>
      </c>
      <c r="I2077">
        <v>0</v>
      </c>
      <c r="J2077">
        <v>13.99</v>
      </c>
      <c r="K2077">
        <v>0</v>
      </c>
    </row>
    <row r="2078" spans="1:12" x14ac:dyDescent="0.2">
      <c r="A2078">
        <v>92964</v>
      </c>
      <c r="B2078">
        <v>58377</v>
      </c>
      <c r="C2078" t="s">
        <v>5708</v>
      </c>
      <c r="D2078">
        <v>10</v>
      </c>
      <c r="E2078">
        <v>12</v>
      </c>
      <c r="F2078">
        <v>0</v>
      </c>
      <c r="G2078">
        <v>0</v>
      </c>
      <c r="H2078">
        <v>32</v>
      </c>
      <c r="I2078">
        <v>0</v>
      </c>
      <c r="J2078">
        <v>3.49</v>
      </c>
      <c r="K2078">
        <v>0</v>
      </c>
    </row>
    <row r="2079" spans="1:12" x14ac:dyDescent="0.2">
      <c r="A2079">
        <v>92967</v>
      </c>
      <c r="B2079">
        <v>58379</v>
      </c>
      <c r="C2079" t="s">
        <v>5709</v>
      </c>
      <c r="D2079">
        <v>6</v>
      </c>
      <c r="E2079">
        <v>8</v>
      </c>
      <c r="F2079">
        <v>0</v>
      </c>
      <c r="G2079">
        <v>0</v>
      </c>
      <c r="H2079">
        <v>24</v>
      </c>
      <c r="I2079">
        <v>0</v>
      </c>
      <c r="J2079">
        <v>3.99</v>
      </c>
      <c r="K2079">
        <v>0</v>
      </c>
    </row>
    <row r="2080" spans="1:12" x14ac:dyDescent="0.2">
      <c r="A2080">
        <v>93164</v>
      </c>
      <c r="B2080">
        <v>58380</v>
      </c>
      <c r="C2080" t="s">
        <v>5710</v>
      </c>
      <c r="D2080">
        <v>10</v>
      </c>
      <c r="E2080">
        <v>22</v>
      </c>
      <c r="F2080">
        <v>0</v>
      </c>
      <c r="G2080">
        <v>0</v>
      </c>
      <c r="H2080">
        <v>28</v>
      </c>
      <c r="I2080">
        <v>0</v>
      </c>
      <c r="J2080">
        <v>1.49</v>
      </c>
      <c r="K2080">
        <v>0</v>
      </c>
    </row>
    <row r="2081" spans="1:11" x14ac:dyDescent="0.2">
      <c r="A2081">
        <v>92968</v>
      </c>
      <c r="B2081">
        <v>58382</v>
      </c>
      <c r="C2081" t="s">
        <v>5711</v>
      </c>
      <c r="D2081">
        <v>10</v>
      </c>
      <c r="E2081">
        <v>12</v>
      </c>
      <c r="F2081">
        <v>0</v>
      </c>
      <c r="G2081">
        <v>0</v>
      </c>
      <c r="H2081">
        <v>20</v>
      </c>
      <c r="I2081">
        <v>0</v>
      </c>
      <c r="J2081">
        <v>3.99</v>
      </c>
      <c r="K2081">
        <v>0</v>
      </c>
    </row>
    <row r="2082" spans="1:11" x14ac:dyDescent="0.2">
      <c r="B2082">
        <v>58397</v>
      </c>
      <c r="C2082" t="s">
        <v>5712</v>
      </c>
      <c r="D2082">
        <v>11</v>
      </c>
      <c r="E2082">
        <v>40</v>
      </c>
      <c r="F2082">
        <v>0</v>
      </c>
      <c r="G2082">
        <v>0</v>
      </c>
      <c r="H2082">
        <v>36</v>
      </c>
      <c r="I2082">
        <v>0</v>
      </c>
      <c r="J2082">
        <v>1</v>
      </c>
      <c r="K2082">
        <v>0</v>
      </c>
    </row>
    <row r="2083" spans="1:11" x14ac:dyDescent="0.2">
      <c r="A2083">
        <v>93146</v>
      </c>
      <c r="B2083">
        <v>58400</v>
      </c>
      <c r="C2083" t="s">
        <v>5713</v>
      </c>
      <c r="D2083">
        <v>10</v>
      </c>
      <c r="E2083">
        <v>8</v>
      </c>
      <c r="F2083">
        <v>0</v>
      </c>
      <c r="G2083">
        <v>0</v>
      </c>
      <c r="H2083">
        <v>12</v>
      </c>
      <c r="I2083">
        <v>0</v>
      </c>
      <c r="J2083">
        <v>7.99</v>
      </c>
      <c r="K2083">
        <v>0</v>
      </c>
    </row>
    <row r="2084" spans="1:11" x14ac:dyDescent="0.2">
      <c r="A2084">
        <v>93141</v>
      </c>
      <c r="B2084">
        <v>58401</v>
      </c>
      <c r="C2084" t="s">
        <v>5714</v>
      </c>
      <c r="D2084">
        <v>10</v>
      </c>
      <c r="E2084">
        <v>10</v>
      </c>
      <c r="F2084">
        <v>0</v>
      </c>
      <c r="G2084">
        <v>0</v>
      </c>
      <c r="H2084">
        <v>32</v>
      </c>
      <c r="I2084">
        <v>0</v>
      </c>
      <c r="J2084">
        <v>2.99</v>
      </c>
      <c r="K2084">
        <v>0</v>
      </c>
    </row>
    <row r="2085" spans="1:11" x14ac:dyDescent="0.2">
      <c r="A2085">
        <v>4603</v>
      </c>
      <c r="B2085">
        <v>58577</v>
      </c>
      <c r="C2085" t="s">
        <v>5715</v>
      </c>
      <c r="D2085">
        <v>6</v>
      </c>
      <c r="E2085">
        <v>12</v>
      </c>
      <c r="F2085">
        <v>0</v>
      </c>
      <c r="G2085">
        <v>0</v>
      </c>
      <c r="H2085">
        <v>70</v>
      </c>
      <c r="I2085">
        <v>0</v>
      </c>
      <c r="J2085">
        <v>3.99</v>
      </c>
      <c r="K2085">
        <v>0</v>
      </c>
    </row>
    <row r="2086" spans="1:11" x14ac:dyDescent="0.2">
      <c r="A2086">
        <v>84204</v>
      </c>
      <c r="B2086">
        <v>58658</v>
      </c>
      <c r="C2086" t="s">
        <v>5716</v>
      </c>
      <c r="D2086">
        <v>8</v>
      </c>
      <c r="E2086">
        <v>20</v>
      </c>
      <c r="F2086">
        <v>232</v>
      </c>
      <c r="G2086">
        <v>4640</v>
      </c>
      <c r="H2086">
        <v>96</v>
      </c>
      <c r="I2086">
        <v>2.4</v>
      </c>
      <c r="J2086">
        <v>0.79</v>
      </c>
      <c r="K2086">
        <v>3665.6</v>
      </c>
    </row>
    <row r="2087" spans="1:11" x14ac:dyDescent="0.2">
      <c r="A2087">
        <v>93265</v>
      </c>
      <c r="B2087">
        <v>59077</v>
      </c>
      <c r="C2087" t="s">
        <v>5717</v>
      </c>
      <c r="D2087">
        <v>10</v>
      </c>
      <c r="E2087">
        <v>40</v>
      </c>
      <c r="F2087">
        <v>0</v>
      </c>
      <c r="G2087">
        <v>0</v>
      </c>
      <c r="H2087">
        <v>36</v>
      </c>
      <c r="I2087">
        <v>0</v>
      </c>
      <c r="J2087">
        <v>1.99</v>
      </c>
      <c r="K2087">
        <v>0</v>
      </c>
    </row>
    <row r="2088" spans="1:11" x14ac:dyDescent="0.2">
      <c r="A2088">
        <v>93259</v>
      </c>
      <c r="B2088">
        <v>59080</v>
      </c>
      <c r="C2088" t="s">
        <v>5718</v>
      </c>
      <c r="D2088">
        <v>6</v>
      </c>
      <c r="E2088">
        <v>40</v>
      </c>
      <c r="F2088">
        <v>0</v>
      </c>
      <c r="G2088">
        <v>0</v>
      </c>
      <c r="H2088">
        <v>36</v>
      </c>
      <c r="I2088">
        <v>0</v>
      </c>
      <c r="J2088">
        <v>1.99</v>
      </c>
      <c r="K2088">
        <v>0</v>
      </c>
    </row>
    <row r="2089" spans="1:11" x14ac:dyDescent="0.2">
      <c r="B2089">
        <v>59234</v>
      </c>
      <c r="C2089" t="s">
        <v>5719</v>
      </c>
      <c r="D2089">
        <v>11</v>
      </c>
      <c r="E2089">
        <v>6</v>
      </c>
      <c r="F2089">
        <v>0</v>
      </c>
      <c r="G2089">
        <v>0</v>
      </c>
      <c r="H2089">
        <v>76</v>
      </c>
      <c r="I2089">
        <v>0</v>
      </c>
      <c r="J2089">
        <v>11</v>
      </c>
      <c r="K2089">
        <v>0</v>
      </c>
    </row>
    <row r="2090" spans="1:11" x14ac:dyDescent="0.2">
      <c r="A2090">
        <v>99623</v>
      </c>
      <c r="B2090">
        <v>59252</v>
      </c>
      <c r="C2090" t="s">
        <v>5720</v>
      </c>
      <c r="D2090">
        <v>10</v>
      </c>
      <c r="E2090">
        <v>12</v>
      </c>
      <c r="F2090">
        <v>0</v>
      </c>
      <c r="G2090">
        <v>0</v>
      </c>
      <c r="H2090">
        <v>84</v>
      </c>
      <c r="I2090">
        <v>0</v>
      </c>
      <c r="J2090">
        <v>2.4900000000000002</v>
      </c>
      <c r="K2090">
        <v>0</v>
      </c>
    </row>
    <row r="2091" spans="1:11" x14ac:dyDescent="0.2">
      <c r="B2091">
        <v>59293</v>
      </c>
      <c r="C2091" t="s">
        <v>5721</v>
      </c>
      <c r="D2091">
        <v>11</v>
      </c>
      <c r="E2091">
        <v>6</v>
      </c>
      <c r="F2091">
        <v>0</v>
      </c>
      <c r="G2091">
        <v>0</v>
      </c>
      <c r="H2091">
        <v>88</v>
      </c>
      <c r="I2091">
        <v>0</v>
      </c>
      <c r="J2091">
        <v>2.29</v>
      </c>
      <c r="K2091">
        <v>0</v>
      </c>
    </row>
    <row r="2092" spans="1:11" x14ac:dyDescent="0.2">
      <c r="A2092">
        <v>37510</v>
      </c>
      <c r="B2092">
        <v>59362</v>
      </c>
      <c r="C2092" t="s">
        <v>5722</v>
      </c>
      <c r="D2092">
        <v>10</v>
      </c>
      <c r="E2092">
        <v>8</v>
      </c>
      <c r="F2092">
        <v>0</v>
      </c>
      <c r="G2092">
        <v>0</v>
      </c>
      <c r="H2092">
        <v>84</v>
      </c>
      <c r="I2092">
        <v>0</v>
      </c>
      <c r="J2092">
        <v>4.49</v>
      </c>
      <c r="K2092">
        <v>0</v>
      </c>
    </row>
    <row r="2093" spans="1:11" x14ac:dyDescent="0.2">
      <c r="A2093">
        <v>93802</v>
      </c>
      <c r="B2093">
        <v>59375</v>
      </c>
      <c r="C2093" t="s">
        <v>5723</v>
      </c>
      <c r="D2093">
        <v>10</v>
      </c>
      <c r="E2093">
        <v>4</v>
      </c>
      <c r="F2093">
        <v>0</v>
      </c>
      <c r="G2093">
        <v>0</v>
      </c>
      <c r="H2093">
        <v>28</v>
      </c>
      <c r="I2093">
        <v>0</v>
      </c>
      <c r="J2093">
        <v>4.99</v>
      </c>
      <c r="K2093">
        <v>0</v>
      </c>
    </row>
    <row r="2094" spans="1:11" x14ac:dyDescent="0.2">
      <c r="A2094">
        <v>93311</v>
      </c>
      <c r="B2094">
        <v>59400</v>
      </c>
      <c r="C2094" t="s">
        <v>5724</v>
      </c>
      <c r="D2094">
        <v>10</v>
      </c>
      <c r="E2094">
        <v>15</v>
      </c>
      <c r="F2094">
        <v>1</v>
      </c>
      <c r="G2094">
        <v>15</v>
      </c>
      <c r="H2094">
        <v>1</v>
      </c>
      <c r="I2094">
        <v>1</v>
      </c>
      <c r="J2094">
        <v>7.99</v>
      </c>
      <c r="K2094">
        <v>119.85</v>
      </c>
    </row>
    <row r="2095" spans="1:11" x14ac:dyDescent="0.2">
      <c r="A2095">
        <v>73052</v>
      </c>
      <c r="B2095">
        <v>59542</v>
      </c>
      <c r="C2095" t="s">
        <v>5725</v>
      </c>
      <c r="D2095">
        <v>8</v>
      </c>
      <c r="E2095">
        <v>10</v>
      </c>
      <c r="F2095">
        <v>81</v>
      </c>
      <c r="G2095">
        <v>810</v>
      </c>
      <c r="H2095">
        <v>66</v>
      </c>
      <c r="I2095">
        <v>1.2</v>
      </c>
      <c r="J2095">
        <v>12</v>
      </c>
      <c r="K2095">
        <v>9720</v>
      </c>
    </row>
    <row r="2096" spans="1:11" x14ac:dyDescent="0.2">
      <c r="A2096">
        <v>66162</v>
      </c>
      <c r="B2096">
        <v>59688</v>
      </c>
      <c r="C2096" t="s">
        <v>5726</v>
      </c>
      <c r="D2096">
        <v>8</v>
      </c>
      <c r="E2096">
        <v>14</v>
      </c>
      <c r="F2096">
        <v>411</v>
      </c>
      <c r="G2096">
        <v>5754</v>
      </c>
      <c r="H2096">
        <v>54</v>
      </c>
      <c r="I2096">
        <v>7.6</v>
      </c>
      <c r="J2096">
        <v>0.73</v>
      </c>
      <c r="K2096">
        <v>4200.42</v>
      </c>
    </row>
    <row r="2097" spans="1:11" x14ac:dyDescent="0.2">
      <c r="A2097">
        <v>57255</v>
      </c>
      <c r="B2097">
        <v>59695</v>
      </c>
      <c r="C2097" t="s">
        <v>5727</v>
      </c>
      <c r="D2097">
        <v>10</v>
      </c>
      <c r="E2097">
        <v>12</v>
      </c>
      <c r="F2097">
        <v>0</v>
      </c>
      <c r="G2097">
        <v>0</v>
      </c>
      <c r="H2097">
        <v>72</v>
      </c>
      <c r="I2097">
        <v>0</v>
      </c>
      <c r="J2097">
        <v>1.5</v>
      </c>
      <c r="K2097">
        <v>0</v>
      </c>
    </row>
    <row r="2098" spans="1:11" x14ac:dyDescent="0.2">
      <c r="A2098">
        <v>76081</v>
      </c>
      <c r="B2098">
        <v>59697</v>
      </c>
      <c r="C2098" t="s">
        <v>5728</v>
      </c>
      <c r="D2098">
        <v>8</v>
      </c>
      <c r="E2098">
        <v>10</v>
      </c>
      <c r="F2098">
        <v>128</v>
      </c>
      <c r="G2098">
        <v>1280</v>
      </c>
      <c r="H2098">
        <v>28</v>
      </c>
      <c r="I2098">
        <v>4.5999999999999996</v>
      </c>
      <c r="J2098">
        <v>3.05</v>
      </c>
      <c r="K2098">
        <v>3904</v>
      </c>
    </row>
    <row r="2099" spans="1:11" x14ac:dyDescent="0.2">
      <c r="A2099">
        <v>93334</v>
      </c>
      <c r="B2099">
        <v>59731</v>
      </c>
      <c r="C2099" t="s">
        <v>5729</v>
      </c>
      <c r="D2099">
        <v>10</v>
      </c>
      <c r="E2099">
        <v>8</v>
      </c>
      <c r="F2099">
        <v>0</v>
      </c>
      <c r="G2099">
        <v>0</v>
      </c>
      <c r="H2099">
        <v>24</v>
      </c>
      <c r="I2099">
        <v>0</v>
      </c>
      <c r="J2099">
        <v>3.99</v>
      </c>
      <c r="K2099">
        <v>0</v>
      </c>
    </row>
    <row r="2100" spans="1:11" x14ac:dyDescent="0.2">
      <c r="A2100">
        <v>74045</v>
      </c>
      <c r="B2100">
        <v>59786</v>
      </c>
      <c r="C2100" t="s">
        <v>5730</v>
      </c>
      <c r="D2100">
        <v>8</v>
      </c>
      <c r="E2100">
        <v>12</v>
      </c>
      <c r="F2100">
        <v>278</v>
      </c>
      <c r="G2100">
        <v>3336</v>
      </c>
      <c r="H2100">
        <v>112</v>
      </c>
      <c r="I2100">
        <v>2.5</v>
      </c>
      <c r="J2100">
        <v>0.99</v>
      </c>
      <c r="K2100">
        <v>3302.64</v>
      </c>
    </row>
    <row r="2101" spans="1:11" x14ac:dyDescent="0.2">
      <c r="A2101">
        <v>57312</v>
      </c>
      <c r="B2101">
        <v>59849</v>
      </c>
      <c r="C2101" t="s">
        <v>5731</v>
      </c>
      <c r="D2101">
        <v>10</v>
      </c>
      <c r="E2101">
        <v>12</v>
      </c>
      <c r="F2101">
        <v>0</v>
      </c>
      <c r="G2101">
        <v>0</v>
      </c>
      <c r="H2101">
        <v>140</v>
      </c>
      <c r="I2101">
        <v>0</v>
      </c>
      <c r="J2101">
        <v>1.89</v>
      </c>
      <c r="K2101">
        <v>0</v>
      </c>
    </row>
    <row r="2102" spans="1:11" x14ac:dyDescent="0.2">
      <c r="A2102">
        <v>99981</v>
      </c>
      <c r="B2102">
        <v>59859</v>
      </c>
      <c r="C2102" t="s">
        <v>5732</v>
      </c>
      <c r="D2102">
        <v>6</v>
      </c>
      <c r="E2102">
        <v>8</v>
      </c>
      <c r="F2102">
        <v>0</v>
      </c>
      <c r="G2102">
        <v>0</v>
      </c>
      <c r="H2102">
        <v>60</v>
      </c>
      <c r="I2102">
        <v>0</v>
      </c>
      <c r="J2102">
        <v>1.99</v>
      </c>
      <c r="K2102">
        <v>0</v>
      </c>
    </row>
    <row r="2103" spans="1:11" x14ac:dyDescent="0.2">
      <c r="B2103">
        <v>60172</v>
      </c>
      <c r="C2103" t="s">
        <v>5733</v>
      </c>
      <c r="D2103">
        <v>6</v>
      </c>
      <c r="E2103">
        <v>8</v>
      </c>
      <c r="F2103">
        <v>0</v>
      </c>
      <c r="G2103">
        <v>0</v>
      </c>
      <c r="H2103">
        <v>48</v>
      </c>
      <c r="I2103">
        <v>0</v>
      </c>
      <c r="J2103">
        <v>5.99</v>
      </c>
      <c r="K2103">
        <v>0</v>
      </c>
    </row>
    <row r="2104" spans="1:11" x14ac:dyDescent="0.2">
      <c r="A2104">
        <v>93155</v>
      </c>
      <c r="B2104">
        <v>60173</v>
      </c>
      <c r="C2104" t="s">
        <v>5734</v>
      </c>
      <c r="D2104">
        <v>6</v>
      </c>
      <c r="E2104">
        <v>8</v>
      </c>
      <c r="F2104">
        <v>0</v>
      </c>
      <c r="G2104">
        <v>0</v>
      </c>
      <c r="H2104">
        <v>30</v>
      </c>
      <c r="I2104">
        <v>0</v>
      </c>
      <c r="J2104">
        <v>3.99</v>
      </c>
      <c r="K2104">
        <v>0</v>
      </c>
    </row>
    <row r="2105" spans="1:11" x14ac:dyDescent="0.2">
      <c r="B2105">
        <v>60374</v>
      </c>
      <c r="C2105" t="s">
        <v>5735</v>
      </c>
      <c r="D2105">
        <v>11</v>
      </c>
      <c r="E2105">
        <v>15</v>
      </c>
      <c r="F2105">
        <v>0</v>
      </c>
      <c r="G2105">
        <v>0</v>
      </c>
      <c r="H2105">
        <v>81</v>
      </c>
      <c r="I2105">
        <v>0</v>
      </c>
      <c r="J2105">
        <v>0.79</v>
      </c>
      <c r="K2105">
        <v>0</v>
      </c>
    </row>
    <row r="2106" spans="1:11" x14ac:dyDescent="0.2">
      <c r="A2106">
        <v>70058</v>
      </c>
      <c r="B2106">
        <v>60375</v>
      </c>
      <c r="C2106" t="s">
        <v>5736</v>
      </c>
      <c r="D2106">
        <v>8</v>
      </c>
      <c r="E2106">
        <v>15</v>
      </c>
      <c r="F2106">
        <v>916</v>
      </c>
      <c r="G2106">
        <v>13741</v>
      </c>
      <c r="H2106">
        <v>81</v>
      </c>
      <c r="I2106">
        <v>11.3</v>
      </c>
      <c r="J2106">
        <v>0.85</v>
      </c>
      <c r="K2106">
        <v>11679.85</v>
      </c>
    </row>
    <row r="2107" spans="1:11" x14ac:dyDescent="0.2">
      <c r="A2107">
        <v>52634</v>
      </c>
      <c r="B2107">
        <v>60378</v>
      </c>
      <c r="C2107" t="s">
        <v>5737</v>
      </c>
      <c r="D2107">
        <v>6</v>
      </c>
      <c r="E2107">
        <v>6</v>
      </c>
      <c r="F2107">
        <v>704</v>
      </c>
      <c r="G2107">
        <v>4224</v>
      </c>
      <c r="H2107">
        <v>44</v>
      </c>
      <c r="I2107">
        <v>16</v>
      </c>
      <c r="J2107">
        <v>1.95</v>
      </c>
      <c r="K2107">
        <v>8236.7999999999993</v>
      </c>
    </row>
    <row r="2108" spans="1:11" x14ac:dyDescent="0.2">
      <c r="A2108">
        <v>69034</v>
      </c>
      <c r="B2108">
        <v>60424</v>
      </c>
      <c r="C2108" t="s">
        <v>5738</v>
      </c>
      <c r="D2108">
        <v>8</v>
      </c>
      <c r="E2108">
        <v>16</v>
      </c>
      <c r="F2108">
        <v>1540</v>
      </c>
      <c r="G2108">
        <v>24634</v>
      </c>
      <c r="H2108">
        <v>168</v>
      </c>
      <c r="I2108">
        <v>9.1999999999999993</v>
      </c>
      <c r="J2108">
        <v>0.99</v>
      </c>
      <c r="K2108">
        <v>24387.66</v>
      </c>
    </row>
    <row r="2109" spans="1:11" x14ac:dyDescent="0.2">
      <c r="A2109">
        <v>35800</v>
      </c>
      <c r="B2109">
        <v>60493</v>
      </c>
      <c r="C2109" t="s">
        <v>5739</v>
      </c>
      <c r="D2109">
        <v>10</v>
      </c>
      <c r="E2109">
        <v>2</v>
      </c>
      <c r="F2109">
        <v>0</v>
      </c>
      <c r="G2109">
        <v>0</v>
      </c>
      <c r="H2109">
        <v>44</v>
      </c>
      <c r="I2109">
        <v>0</v>
      </c>
      <c r="J2109">
        <v>23.99</v>
      </c>
      <c r="K2109">
        <v>0</v>
      </c>
    </row>
    <row r="2110" spans="1:11" x14ac:dyDescent="0.2">
      <c r="A2110">
        <v>57013</v>
      </c>
      <c r="B2110">
        <v>60553</v>
      </c>
      <c r="C2110" t="s">
        <v>5740</v>
      </c>
      <c r="D2110">
        <v>11</v>
      </c>
      <c r="E2110">
        <v>45</v>
      </c>
      <c r="F2110">
        <v>0</v>
      </c>
      <c r="G2110">
        <v>0</v>
      </c>
      <c r="H2110">
        <v>54</v>
      </c>
      <c r="I2110">
        <v>0</v>
      </c>
      <c r="J2110">
        <v>1</v>
      </c>
      <c r="K2110">
        <v>0</v>
      </c>
    </row>
    <row r="2111" spans="1:11" x14ac:dyDescent="0.2">
      <c r="A2111">
        <v>65190</v>
      </c>
      <c r="B2111">
        <v>60634</v>
      </c>
      <c r="C2111" t="s">
        <v>5741</v>
      </c>
      <c r="D2111">
        <v>8</v>
      </c>
      <c r="E2111">
        <v>15</v>
      </c>
      <c r="F2111">
        <v>612</v>
      </c>
      <c r="G2111">
        <v>9180</v>
      </c>
      <c r="H2111">
        <v>50</v>
      </c>
      <c r="I2111">
        <v>12.2</v>
      </c>
      <c r="J2111">
        <v>1.99</v>
      </c>
      <c r="K2111">
        <v>18268.2</v>
      </c>
    </row>
    <row r="2112" spans="1:11" x14ac:dyDescent="0.2">
      <c r="B2112">
        <v>60674</v>
      </c>
      <c r="C2112" t="s">
        <v>5742</v>
      </c>
      <c r="D2112">
        <v>11</v>
      </c>
      <c r="E2112">
        <v>24</v>
      </c>
      <c r="F2112">
        <v>0</v>
      </c>
      <c r="G2112">
        <v>0</v>
      </c>
      <c r="H2112">
        <v>170</v>
      </c>
      <c r="I2112">
        <v>0</v>
      </c>
      <c r="J2112">
        <v>0.79</v>
      </c>
      <c r="K2112">
        <v>0</v>
      </c>
    </row>
    <row r="2113" spans="1:11" x14ac:dyDescent="0.2">
      <c r="B2113">
        <v>60678</v>
      </c>
      <c r="C2113" t="s">
        <v>5743</v>
      </c>
      <c r="D2113">
        <v>11</v>
      </c>
      <c r="E2113">
        <v>24</v>
      </c>
      <c r="F2113">
        <v>0</v>
      </c>
      <c r="G2113">
        <v>0</v>
      </c>
      <c r="H2113">
        <v>147</v>
      </c>
      <c r="I2113">
        <v>0</v>
      </c>
      <c r="J2113">
        <v>1.29</v>
      </c>
      <c r="K2113">
        <v>0</v>
      </c>
    </row>
    <row r="2114" spans="1:11" x14ac:dyDescent="0.2">
      <c r="A2114">
        <v>0</v>
      </c>
      <c r="B2114">
        <v>60710</v>
      </c>
      <c r="C2114" t="s">
        <v>5744</v>
      </c>
      <c r="D2114">
        <v>11</v>
      </c>
      <c r="E2114">
        <v>6</v>
      </c>
      <c r="F2114">
        <v>0</v>
      </c>
      <c r="G2114">
        <v>0</v>
      </c>
      <c r="H2114">
        <v>100</v>
      </c>
      <c r="I2114">
        <v>0</v>
      </c>
      <c r="J2114">
        <v>5.99</v>
      </c>
      <c r="K2114">
        <v>0</v>
      </c>
    </row>
    <row r="2115" spans="1:11" x14ac:dyDescent="0.2">
      <c r="A2115">
        <v>57347</v>
      </c>
      <c r="B2115">
        <v>60717</v>
      </c>
      <c r="C2115" t="s">
        <v>5745</v>
      </c>
      <c r="D2115">
        <v>10</v>
      </c>
      <c r="E2115">
        <v>12</v>
      </c>
      <c r="F2115">
        <v>0</v>
      </c>
      <c r="G2115">
        <v>0</v>
      </c>
      <c r="H2115">
        <v>120</v>
      </c>
      <c r="I2115">
        <v>0</v>
      </c>
      <c r="J2115">
        <v>2.7</v>
      </c>
      <c r="K2115">
        <v>0</v>
      </c>
    </row>
    <row r="2116" spans="1:11" x14ac:dyDescent="0.2">
      <c r="B2116">
        <v>60721</v>
      </c>
      <c r="C2116" t="s">
        <v>5746</v>
      </c>
      <c r="D2116">
        <v>12</v>
      </c>
      <c r="E2116">
        <v>36</v>
      </c>
      <c r="F2116">
        <v>0</v>
      </c>
      <c r="G2116">
        <v>0</v>
      </c>
      <c r="H2116">
        <v>80</v>
      </c>
      <c r="I2116">
        <v>0</v>
      </c>
      <c r="J2116">
        <v>0.99</v>
      </c>
      <c r="K2116">
        <v>0</v>
      </c>
    </row>
    <row r="2117" spans="1:11" x14ac:dyDescent="0.2">
      <c r="A2117">
        <v>74016</v>
      </c>
      <c r="B2117">
        <v>60762</v>
      </c>
      <c r="C2117" t="s">
        <v>5311</v>
      </c>
      <c r="D2117">
        <v>8</v>
      </c>
      <c r="E2117">
        <v>8</v>
      </c>
      <c r="F2117">
        <v>383</v>
      </c>
      <c r="G2117">
        <v>3062</v>
      </c>
      <c r="H2117">
        <v>132</v>
      </c>
      <c r="I2117">
        <v>2.9</v>
      </c>
      <c r="J2117">
        <v>2.25</v>
      </c>
      <c r="K2117">
        <v>6889.5</v>
      </c>
    </row>
    <row r="2118" spans="1:11" x14ac:dyDescent="0.2">
      <c r="A2118">
        <v>66124</v>
      </c>
      <c r="B2118">
        <v>60804</v>
      </c>
      <c r="C2118" t="s">
        <v>4203</v>
      </c>
      <c r="D2118">
        <v>8</v>
      </c>
      <c r="E2118">
        <v>25</v>
      </c>
      <c r="F2118">
        <v>767</v>
      </c>
      <c r="G2118">
        <v>19175</v>
      </c>
      <c r="H2118">
        <v>42</v>
      </c>
      <c r="I2118">
        <v>18.3</v>
      </c>
      <c r="J2118">
        <v>1.0900000000000001</v>
      </c>
      <c r="K2118">
        <v>20900.75</v>
      </c>
    </row>
    <row r="2119" spans="1:11" x14ac:dyDescent="0.2">
      <c r="A2119">
        <v>99024</v>
      </c>
      <c r="B2119">
        <v>60812</v>
      </c>
      <c r="C2119" t="s">
        <v>5747</v>
      </c>
      <c r="D2119">
        <v>6</v>
      </c>
      <c r="E2119">
        <v>4</v>
      </c>
      <c r="F2119">
        <v>0</v>
      </c>
      <c r="G2119">
        <v>0</v>
      </c>
      <c r="H2119">
        <v>66</v>
      </c>
      <c r="I2119">
        <v>0</v>
      </c>
      <c r="J2119">
        <v>3.49</v>
      </c>
      <c r="K2119">
        <v>0</v>
      </c>
    </row>
    <row r="2120" spans="1:11" x14ac:dyDescent="0.2">
      <c r="A2120">
        <v>2633</v>
      </c>
      <c r="B2120">
        <v>60999</v>
      </c>
      <c r="C2120" t="s">
        <v>5748</v>
      </c>
      <c r="D2120">
        <v>6</v>
      </c>
      <c r="E2120">
        <v>9</v>
      </c>
      <c r="F2120">
        <v>0</v>
      </c>
      <c r="G2120">
        <v>0</v>
      </c>
      <c r="H2120">
        <v>40</v>
      </c>
      <c r="I2120">
        <v>0</v>
      </c>
      <c r="J2120">
        <v>1.55</v>
      </c>
      <c r="K2120">
        <v>0</v>
      </c>
    </row>
    <row r="2121" spans="1:11" x14ac:dyDescent="0.2">
      <c r="A2121">
        <v>57677</v>
      </c>
      <c r="B2121">
        <v>61617</v>
      </c>
      <c r="C2121" t="s">
        <v>5749</v>
      </c>
      <c r="D2121">
        <v>10</v>
      </c>
      <c r="E2121">
        <v>12</v>
      </c>
      <c r="F2121">
        <v>4</v>
      </c>
      <c r="G2121">
        <v>53</v>
      </c>
      <c r="H2121">
        <v>210</v>
      </c>
      <c r="I2121">
        <v>0</v>
      </c>
      <c r="J2121">
        <v>0.99</v>
      </c>
      <c r="K2121">
        <v>52.47</v>
      </c>
    </row>
    <row r="2122" spans="1:11" x14ac:dyDescent="0.2">
      <c r="A2122">
        <v>93125</v>
      </c>
      <c r="B2122">
        <v>62263</v>
      </c>
      <c r="C2122" t="s">
        <v>5750</v>
      </c>
      <c r="D2122">
        <v>10</v>
      </c>
      <c r="E2122">
        <v>15</v>
      </c>
      <c r="F2122">
        <v>0</v>
      </c>
      <c r="G2122">
        <v>0</v>
      </c>
      <c r="H2122">
        <v>12</v>
      </c>
      <c r="I2122">
        <v>0</v>
      </c>
      <c r="J2122">
        <v>6.99</v>
      </c>
      <c r="K2122">
        <v>0</v>
      </c>
    </row>
    <row r="2123" spans="1:11" x14ac:dyDescent="0.2">
      <c r="A2123">
        <v>49501</v>
      </c>
      <c r="B2123">
        <v>62325</v>
      </c>
      <c r="C2123" t="s">
        <v>5751</v>
      </c>
      <c r="D2123">
        <v>10</v>
      </c>
      <c r="E2123">
        <v>15</v>
      </c>
      <c r="F2123">
        <v>3</v>
      </c>
      <c r="G2123">
        <v>45</v>
      </c>
      <c r="H2123">
        <v>105</v>
      </c>
      <c r="I2123">
        <v>0</v>
      </c>
      <c r="J2123">
        <v>1.99</v>
      </c>
      <c r="K2123">
        <v>89.55</v>
      </c>
    </row>
    <row r="2124" spans="1:11" x14ac:dyDescent="0.2">
      <c r="A2124">
        <v>82082</v>
      </c>
      <c r="B2124">
        <v>62384</v>
      </c>
      <c r="C2124" t="s">
        <v>5752</v>
      </c>
      <c r="D2124">
        <v>8</v>
      </c>
      <c r="E2124">
        <v>12</v>
      </c>
      <c r="F2124">
        <v>362</v>
      </c>
      <c r="G2124">
        <v>4344</v>
      </c>
      <c r="H2124">
        <v>288</v>
      </c>
      <c r="I2124">
        <v>1.3</v>
      </c>
      <c r="J2124">
        <v>1.0900000000000001</v>
      </c>
      <c r="K2124">
        <v>4734.96</v>
      </c>
    </row>
    <row r="2125" spans="1:11" x14ac:dyDescent="0.2">
      <c r="A2125">
        <v>88039</v>
      </c>
      <c r="B2125">
        <v>62527</v>
      </c>
      <c r="C2125" t="s">
        <v>5753</v>
      </c>
      <c r="D2125">
        <v>8</v>
      </c>
      <c r="E2125">
        <v>10</v>
      </c>
      <c r="F2125">
        <v>216</v>
      </c>
      <c r="G2125">
        <v>2160</v>
      </c>
      <c r="H2125">
        <v>72</v>
      </c>
      <c r="I2125">
        <v>3</v>
      </c>
      <c r="J2125">
        <v>4.79</v>
      </c>
      <c r="K2125">
        <v>10346.4</v>
      </c>
    </row>
    <row r="2126" spans="1:11" x14ac:dyDescent="0.2">
      <c r="A2126">
        <v>41628</v>
      </c>
      <c r="B2126">
        <v>62554</v>
      </c>
      <c r="C2126" t="s">
        <v>5754</v>
      </c>
      <c r="D2126">
        <v>10</v>
      </c>
      <c r="E2126">
        <v>1</v>
      </c>
      <c r="F2126">
        <v>90</v>
      </c>
      <c r="G2126">
        <v>90</v>
      </c>
      <c r="H2126">
        <v>90</v>
      </c>
      <c r="I2126">
        <v>1</v>
      </c>
      <c r="J2126">
        <v>4.78</v>
      </c>
      <c r="K2126">
        <v>430.2</v>
      </c>
    </row>
    <row r="2127" spans="1:11" x14ac:dyDescent="0.2">
      <c r="A2127">
        <v>93181</v>
      </c>
      <c r="B2127">
        <v>62597</v>
      </c>
      <c r="C2127" t="s">
        <v>5755</v>
      </c>
      <c r="D2127">
        <v>10</v>
      </c>
      <c r="E2127">
        <v>56</v>
      </c>
      <c r="F2127">
        <v>0</v>
      </c>
      <c r="G2127">
        <v>0</v>
      </c>
      <c r="H2127">
        <v>1</v>
      </c>
      <c r="I2127">
        <v>0</v>
      </c>
      <c r="J2127">
        <v>3.59</v>
      </c>
      <c r="K2127">
        <v>0</v>
      </c>
    </row>
    <row r="2128" spans="1:11" x14ac:dyDescent="0.2">
      <c r="A2128">
        <v>93185</v>
      </c>
      <c r="B2128">
        <v>62611</v>
      </c>
      <c r="C2128" t="s">
        <v>5756</v>
      </c>
      <c r="D2128">
        <v>10</v>
      </c>
      <c r="E2128">
        <v>90</v>
      </c>
      <c r="F2128">
        <v>0</v>
      </c>
      <c r="G2128">
        <v>0</v>
      </c>
      <c r="H2128">
        <v>1</v>
      </c>
      <c r="I2128">
        <v>0</v>
      </c>
      <c r="J2128">
        <v>2.19</v>
      </c>
      <c r="K2128">
        <v>0</v>
      </c>
    </row>
    <row r="2129" spans="1:11" x14ac:dyDescent="0.2">
      <c r="B2129">
        <v>62637</v>
      </c>
      <c r="C2129" t="s">
        <v>5757</v>
      </c>
      <c r="D2129">
        <v>12</v>
      </c>
      <c r="E2129">
        <v>8</v>
      </c>
      <c r="F2129">
        <v>0</v>
      </c>
      <c r="G2129">
        <v>0</v>
      </c>
      <c r="H2129">
        <v>16</v>
      </c>
      <c r="I2129">
        <v>0</v>
      </c>
      <c r="J2129">
        <v>6.99</v>
      </c>
      <c r="K2129">
        <v>0</v>
      </c>
    </row>
    <row r="2130" spans="1:11" x14ac:dyDescent="0.2">
      <c r="A2130">
        <v>93038</v>
      </c>
      <c r="B2130">
        <v>62637</v>
      </c>
      <c r="C2130" t="s">
        <v>5757</v>
      </c>
      <c r="D2130">
        <v>10</v>
      </c>
      <c r="E2130">
        <v>12</v>
      </c>
      <c r="F2130">
        <v>5</v>
      </c>
      <c r="G2130">
        <v>60</v>
      </c>
      <c r="H2130">
        <v>16</v>
      </c>
      <c r="I2130">
        <v>0.3</v>
      </c>
      <c r="J2130">
        <v>6.99</v>
      </c>
      <c r="K2130">
        <v>419.4</v>
      </c>
    </row>
    <row r="2131" spans="1:11" x14ac:dyDescent="0.2">
      <c r="A2131">
        <v>93172</v>
      </c>
      <c r="B2131">
        <v>62654</v>
      </c>
      <c r="C2131" t="s">
        <v>5758</v>
      </c>
      <c r="D2131">
        <v>10</v>
      </c>
      <c r="E2131">
        <v>12</v>
      </c>
      <c r="F2131">
        <v>0</v>
      </c>
      <c r="G2131">
        <v>0</v>
      </c>
      <c r="H2131">
        <v>20</v>
      </c>
      <c r="I2131">
        <v>0</v>
      </c>
      <c r="J2131">
        <v>3.99</v>
      </c>
      <c r="K2131">
        <v>0</v>
      </c>
    </row>
    <row r="2132" spans="1:11" x14ac:dyDescent="0.2">
      <c r="A2132">
        <v>93173</v>
      </c>
      <c r="B2132">
        <v>62656</v>
      </c>
      <c r="C2132" t="s">
        <v>5759</v>
      </c>
      <c r="D2132">
        <v>10</v>
      </c>
      <c r="E2132">
        <v>10</v>
      </c>
      <c r="F2132">
        <v>0</v>
      </c>
      <c r="G2132">
        <v>0</v>
      </c>
      <c r="H2132">
        <v>16</v>
      </c>
      <c r="I2132">
        <v>0</v>
      </c>
      <c r="J2132">
        <v>5.49</v>
      </c>
      <c r="K2132">
        <v>0</v>
      </c>
    </row>
    <row r="2133" spans="1:11" x14ac:dyDescent="0.2">
      <c r="A2133">
        <v>93239</v>
      </c>
      <c r="B2133">
        <v>62657</v>
      </c>
      <c r="C2133" t="s">
        <v>5755</v>
      </c>
      <c r="D2133">
        <v>10</v>
      </c>
      <c r="E2133">
        <v>48</v>
      </c>
      <c r="F2133">
        <v>0</v>
      </c>
      <c r="G2133">
        <v>0</v>
      </c>
      <c r="H2133">
        <v>20</v>
      </c>
      <c r="I2133">
        <v>0</v>
      </c>
      <c r="J2133">
        <v>2.99</v>
      </c>
      <c r="K2133">
        <v>0</v>
      </c>
    </row>
    <row r="2134" spans="1:11" x14ac:dyDescent="0.2">
      <c r="A2134">
        <v>93234</v>
      </c>
      <c r="B2134">
        <v>62662</v>
      </c>
      <c r="C2134" t="s">
        <v>5760</v>
      </c>
      <c r="D2134">
        <v>10</v>
      </c>
      <c r="E2134">
        <v>108</v>
      </c>
      <c r="F2134">
        <v>0</v>
      </c>
      <c r="G2134">
        <v>0</v>
      </c>
      <c r="H2134">
        <v>1</v>
      </c>
      <c r="I2134">
        <v>0</v>
      </c>
      <c r="J2134">
        <v>1.89</v>
      </c>
      <c r="K2134">
        <v>0</v>
      </c>
    </row>
    <row r="2135" spans="1:11" x14ac:dyDescent="0.2">
      <c r="A2135">
        <v>93263</v>
      </c>
      <c r="B2135">
        <v>62664</v>
      </c>
      <c r="C2135" t="s">
        <v>5761</v>
      </c>
      <c r="D2135">
        <v>6</v>
      </c>
      <c r="E2135">
        <v>48</v>
      </c>
      <c r="F2135">
        <v>0</v>
      </c>
      <c r="G2135">
        <v>0</v>
      </c>
      <c r="H2135">
        <v>1</v>
      </c>
      <c r="I2135">
        <v>0</v>
      </c>
      <c r="J2135">
        <v>2.99</v>
      </c>
      <c r="K2135">
        <v>0</v>
      </c>
    </row>
    <row r="2136" spans="1:11" x14ac:dyDescent="0.2">
      <c r="A2136">
        <v>93254</v>
      </c>
      <c r="B2136">
        <v>62674</v>
      </c>
      <c r="C2136" t="s">
        <v>5762</v>
      </c>
      <c r="D2136">
        <v>10</v>
      </c>
      <c r="E2136">
        <v>12</v>
      </c>
      <c r="F2136">
        <v>0</v>
      </c>
      <c r="G2136">
        <v>0</v>
      </c>
      <c r="H2136">
        <v>20</v>
      </c>
      <c r="I2136">
        <v>0</v>
      </c>
      <c r="J2136">
        <v>1.99</v>
      </c>
      <c r="K2136">
        <v>0</v>
      </c>
    </row>
    <row r="2137" spans="1:11" x14ac:dyDescent="0.2">
      <c r="A2137">
        <v>93273</v>
      </c>
      <c r="B2137">
        <v>62685</v>
      </c>
      <c r="C2137" t="s">
        <v>5763</v>
      </c>
      <c r="D2137">
        <v>10</v>
      </c>
      <c r="E2137">
        <v>12</v>
      </c>
      <c r="F2137">
        <v>0</v>
      </c>
      <c r="G2137">
        <v>0</v>
      </c>
      <c r="H2137">
        <v>20</v>
      </c>
      <c r="I2137">
        <v>0</v>
      </c>
      <c r="J2137">
        <v>2.29</v>
      </c>
      <c r="K2137">
        <v>0</v>
      </c>
    </row>
    <row r="2138" spans="1:11" x14ac:dyDescent="0.2">
      <c r="A2138">
        <v>93252</v>
      </c>
      <c r="B2138">
        <v>62686</v>
      </c>
      <c r="C2138" t="s">
        <v>5764</v>
      </c>
      <c r="D2138">
        <v>12</v>
      </c>
      <c r="E2138">
        <v>5</v>
      </c>
      <c r="F2138">
        <v>0</v>
      </c>
      <c r="G2138">
        <v>0</v>
      </c>
      <c r="H2138">
        <v>20</v>
      </c>
      <c r="I2138">
        <v>0</v>
      </c>
      <c r="J2138">
        <v>1.89</v>
      </c>
      <c r="K2138">
        <v>0</v>
      </c>
    </row>
    <row r="2139" spans="1:11" x14ac:dyDescent="0.2">
      <c r="A2139">
        <v>93291</v>
      </c>
      <c r="B2139">
        <v>62686</v>
      </c>
      <c r="C2139" t="s">
        <v>5764</v>
      </c>
      <c r="D2139">
        <v>10</v>
      </c>
      <c r="E2139">
        <v>15</v>
      </c>
      <c r="F2139">
        <v>0</v>
      </c>
      <c r="G2139">
        <v>0</v>
      </c>
      <c r="H2139">
        <v>20</v>
      </c>
      <c r="I2139">
        <v>0</v>
      </c>
      <c r="J2139">
        <v>1.89</v>
      </c>
      <c r="K2139">
        <v>0</v>
      </c>
    </row>
    <row r="2140" spans="1:11" x14ac:dyDescent="0.2">
      <c r="A2140">
        <v>93250</v>
      </c>
      <c r="B2140">
        <v>62693</v>
      </c>
      <c r="C2140" t="s">
        <v>5765</v>
      </c>
      <c r="D2140">
        <v>10</v>
      </c>
      <c r="E2140">
        <v>15</v>
      </c>
      <c r="F2140">
        <v>0</v>
      </c>
      <c r="G2140">
        <v>0</v>
      </c>
      <c r="H2140">
        <v>1</v>
      </c>
      <c r="I2140">
        <v>0</v>
      </c>
      <c r="J2140">
        <v>12.99</v>
      </c>
      <c r="K2140">
        <v>0</v>
      </c>
    </row>
    <row r="2141" spans="1:11" x14ac:dyDescent="0.2">
      <c r="A2141">
        <v>93277</v>
      </c>
      <c r="B2141">
        <v>62694</v>
      </c>
      <c r="C2141" t="s">
        <v>5766</v>
      </c>
      <c r="D2141">
        <v>10</v>
      </c>
      <c r="E2141">
        <v>8</v>
      </c>
      <c r="F2141">
        <v>0</v>
      </c>
      <c r="G2141">
        <v>0</v>
      </c>
      <c r="H2141">
        <v>12</v>
      </c>
      <c r="I2141">
        <v>0</v>
      </c>
      <c r="J2141">
        <v>4.99</v>
      </c>
      <c r="K2141">
        <v>0</v>
      </c>
    </row>
    <row r="2142" spans="1:11" x14ac:dyDescent="0.2">
      <c r="A2142">
        <v>93255</v>
      </c>
      <c r="B2142">
        <v>62697</v>
      </c>
      <c r="C2142" t="s">
        <v>5767</v>
      </c>
      <c r="D2142">
        <v>10</v>
      </c>
      <c r="E2142">
        <v>6</v>
      </c>
      <c r="F2142">
        <v>0</v>
      </c>
      <c r="G2142">
        <v>0</v>
      </c>
      <c r="H2142">
        <v>16</v>
      </c>
      <c r="I2142">
        <v>0</v>
      </c>
      <c r="J2142">
        <v>6.99</v>
      </c>
      <c r="K2142">
        <v>0</v>
      </c>
    </row>
    <row r="2143" spans="1:11" x14ac:dyDescent="0.2">
      <c r="A2143">
        <v>93242</v>
      </c>
      <c r="B2143">
        <v>62699</v>
      </c>
      <c r="C2143" t="s">
        <v>5768</v>
      </c>
      <c r="D2143">
        <v>10</v>
      </c>
      <c r="E2143">
        <v>21</v>
      </c>
      <c r="F2143">
        <v>0</v>
      </c>
      <c r="G2143">
        <v>0</v>
      </c>
      <c r="H2143">
        <v>1</v>
      </c>
      <c r="I2143">
        <v>0</v>
      </c>
      <c r="J2143">
        <v>4.99</v>
      </c>
      <c r="K2143">
        <v>0</v>
      </c>
    </row>
    <row r="2144" spans="1:11" x14ac:dyDescent="0.2">
      <c r="A2144">
        <v>93118</v>
      </c>
      <c r="B2144">
        <v>62700</v>
      </c>
      <c r="C2144" t="s">
        <v>5769</v>
      </c>
      <c r="D2144">
        <v>10</v>
      </c>
      <c r="E2144">
        <v>8</v>
      </c>
      <c r="F2144">
        <v>0</v>
      </c>
      <c r="G2144">
        <v>0</v>
      </c>
      <c r="H2144">
        <v>16</v>
      </c>
      <c r="I2144">
        <v>0</v>
      </c>
      <c r="J2144">
        <v>3.99</v>
      </c>
      <c r="K2144">
        <v>0</v>
      </c>
    </row>
    <row r="2145" spans="1:11" x14ac:dyDescent="0.2">
      <c r="A2145">
        <v>93031</v>
      </c>
      <c r="B2145">
        <v>62701</v>
      </c>
      <c r="C2145" t="s">
        <v>5770</v>
      </c>
      <c r="D2145">
        <v>10</v>
      </c>
      <c r="E2145">
        <v>12</v>
      </c>
      <c r="F2145">
        <v>0</v>
      </c>
      <c r="G2145">
        <v>0</v>
      </c>
      <c r="H2145">
        <v>24</v>
      </c>
      <c r="I2145">
        <v>0</v>
      </c>
      <c r="J2145">
        <v>2.19</v>
      </c>
      <c r="K2145">
        <v>0</v>
      </c>
    </row>
    <row r="2146" spans="1:11" x14ac:dyDescent="0.2">
      <c r="A2146">
        <v>92818</v>
      </c>
      <c r="B2146">
        <v>62705</v>
      </c>
      <c r="C2146" t="s">
        <v>5771</v>
      </c>
      <c r="D2146">
        <v>10</v>
      </c>
      <c r="E2146">
        <v>16</v>
      </c>
      <c r="F2146">
        <v>0</v>
      </c>
      <c r="G2146">
        <v>0</v>
      </c>
      <c r="H2146">
        <v>16</v>
      </c>
      <c r="I2146">
        <v>0</v>
      </c>
      <c r="J2146">
        <v>3.99</v>
      </c>
      <c r="K2146">
        <v>0</v>
      </c>
    </row>
    <row r="2147" spans="1:11" x14ac:dyDescent="0.2">
      <c r="A2147">
        <v>93105</v>
      </c>
      <c r="B2147">
        <v>62708</v>
      </c>
      <c r="C2147" t="s">
        <v>5772</v>
      </c>
      <c r="D2147">
        <v>10</v>
      </c>
      <c r="E2147">
        <v>12</v>
      </c>
      <c r="F2147">
        <v>0</v>
      </c>
      <c r="G2147">
        <v>0</v>
      </c>
      <c r="H2147">
        <v>12</v>
      </c>
      <c r="I2147">
        <v>0</v>
      </c>
      <c r="J2147">
        <v>4.99</v>
      </c>
      <c r="K2147">
        <v>0</v>
      </c>
    </row>
    <row r="2148" spans="1:11" x14ac:dyDescent="0.2">
      <c r="A2148">
        <v>93049</v>
      </c>
      <c r="B2148">
        <v>62709</v>
      </c>
      <c r="C2148" t="s">
        <v>5773</v>
      </c>
      <c r="D2148">
        <v>10</v>
      </c>
      <c r="E2148">
        <v>4</v>
      </c>
      <c r="F2148">
        <v>2</v>
      </c>
      <c r="G2148">
        <v>8</v>
      </c>
      <c r="H2148">
        <v>12</v>
      </c>
      <c r="I2148">
        <v>0.2</v>
      </c>
      <c r="J2148">
        <v>11.99</v>
      </c>
      <c r="K2148">
        <v>95.92</v>
      </c>
    </row>
    <row r="2149" spans="1:11" x14ac:dyDescent="0.2">
      <c r="A2149">
        <v>93269</v>
      </c>
      <c r="B2149">
        <v>62711</v>
      </c>
      <c r="C2149" t="s">
        <v>5774</v>
      </c>
      <c r="D2149">
        <v>10</v>
      </c>
      <c r="E2149">
        <v>12</v>
      </c>
      <c r="F2149">
        <v>0</v>
      </c>
      <c r="G2149">
        <v>0</v>
      </c>
      <c r="H2149">
        <v>24</v>
      </c>
      <c r="I2149">
        <v>0</v>
      </c>
      <c r="J2149">
        <v>2.99</v>
      </c>
      <c r="K2149">
        <v>0</v>
      </c>
    </row>
    <row r="2150" spans="1:11" x14ac:dyDescent="0.2">
      <c r="A2150">
        <v>93032</v>
      </c>
      <c r="B2150">
        <v>62737</v>
      </c>
      <c r="C2150" t="s">
        <v>5713</v>
      </c>
      <c r="D2150">
        <v>10</v>
      </c>
      <c r="E2150">
        <v>16</v>
      </c>
      <c r="F2150">
        <v>7</v>
      </c>
      <c r="G2150">
        <v>112</v>
      </c>
      <c r="H2150">
        <v>12</v>
      </c>
      <c r="I2150">
        <v>0.6</v>
      </c>
      <c r="J2150">
        <v>5.99</v>
      </c>
      <c r="K2150">
        <v>670.88</v>
      </c>
    </row>
    <row r="2151" spans="1:11" x14ac:dyDescent="0.2">
      <c r="A2151">
        <v>93387</v>
      </c>
      <c r="B2151">
        <v>62739</v>
      </c>
      <c r="C2151" t="s">
        <v>5775</v>
      </c>
      <c r="D2151">
        <v>10</v>
      </c>
      <c r="E2151">
        <v>12</v>
      </c>
      <c r="F2151">
        <v>-18</v>
      </c>
      <c r="G2151">
        <v>-216</v>
      </c>
      <c r="H2151">
        <v>24</v>
      </c>
      <c r="I2151">
        <v>-0.8</v>
      </c>
      <c r="J2151">
        <v>3.99</v>
      </c>
      <c r="K2151">
        <v>-861.84</v>
      </c>
    </row>
    <row r="2152" spans="1:11" x14ac:dyDescent="0.2">
      <c r="A2152">
        <v>93266</v>
      </c>
      <c r="B2152">
        <v>62764</v>
      </c>
      <c r="C2152" t="s">
        <v>5705</v>
      </c>
      <c r="D2152">
        <v>10</v>
      </c>
      <c r="E2152">
        <v>8</v>
      </c>
      <c r="F2152">
        <v>0</v>
      </c>
      <c r="G2152">
        <v>0</v>
      </c>
      <c r="H2152">
        <v>20</v>
      </c>
      <c r="I2152">
        <v>0</v>
      </c>
      <c r="J2152">
        <v>5.99</v>
      </c>
      <c r="K2152">
        <v>0</v>
      </c>
    </row>
    <row r="2153" spans="1:11" x14ac:dyDescent="0.2">
      <c r="A2153">
        <v>93228</v>
      </c>
      <c r="B2153">
        <v>62773</v>
      </c>
      <c r="C2153" t="s">
        <v>5776</v>
      </c>
      <c r="D2153">
        <v>6</v>
      </c>
      <c r="E2153">
        <v>6</v>
      </c>
      <c r="F2153">
        <v>0</v>
      </c>
      <c r="G2153">
        <v>0</v>
      </c>
      <c r="H2153">
        <v>16</v>
      </c>
      <c r="I2153">
        <v>0</v>
      </c>
      <c r="J2153">
        <v>13.99</v>
      </c>
      <c r="K2153">
        <v>0</v>
      </c>
    </row>
    <row r="2154" spans="1:11" x14ac:dyDescent="0.2">
      <c r="A2154">
        <v>72259</v>
      </c>
      <c r="B2154">
        <v>62781</v>
      </c>
      <c r="C2154" t="s">
        <v>5777</v>
      </c>
      <c r="D2154">
        <v>8</v>
      </c>
      <c r="E2154">
        <v>15</v>
      </c>
      <c r="F2154">
        <v>590</v>
      </c>
      <c r="G2154">
        <v>8850</v>
      </c>
      <c r="H2154">
        <v>184</v>
      </c>
      <c r="I2154">
        <v>3.2</v>
      </c>
      <c r="J2154">
        <v>1.0900000000000001</v>
      </c>
      <c r="K2154">
        <v>9646.5</v>
      </c>
    </row>
    <row r="2155" spans="1:11" x14ac:dyDescent="0.2">
      <c r="A2155">
        <v>72250</v>
      </c>
      <c r="B2155">
        <v>62785</v>
      </c>
      <c r="C2155" t="s">
        <v>5778</v>
      </c>
      <c r="D2155">
        <v>8</v>
      </c>
      <c r="E2155">
        <v>20</v>
      </c>
      <c r="F2155">
        <v>336</v>
      </c>
      <c r="G2155">
        <v>6720</v>
      </c>
      <c r="H2155">
        <v>120</v>
      </c>
      <c r="I2155">
        <v>2.8</v>
      </c>
      <c r="J2155">
        <v>0.99</v>
      </c>
      <c r="K2155">
        <v>6652.8</v>
      </c>
    </row>
    <row r="2156" spans="1:11" x14ac:dyDescent="0.2">
      <c r="A2156">
        <v>0</v>
      </c>
      <c r="B2156">
        <v>62831</v>
      </c>
      <c r="C2156" t="s">
        <v>5779</v>
      </c>
      <c r="D2156">
        <v>12</v>
      </c>
      <c r="E2156">
        <v>20</v>
      </c>
      <c r="F2156">
        <v>0</v>
      </c>
      <c r="G2156">
        <v>0</v>
      </c>
      <c r="H2156">
        <v>96</v>
      </c>
      <c r="I2156">
        <v>0</v>
      </c>
      <c r="J2156">
        <v>4.29</v>
      </c>
      <c r="K2156">
        <v>0</v>
      </c>
    </row>
    <row r="2157" spans="1:11" x14ac:dyDescent="0.2">
      <c r="A2157">
        <v>70173</v>
      </c>
      <c r="B2157">
        <v>62831</v>
      </c>
      <c r="C2157" t="s">
        <v>5779</v>
      </c>
      <c r="D2157">
        <v>8</v>
      </c>
      <c r="E2157">
        <v>24</v>
      </c>
      <c r="F2157">
        <v>276</v>
      </c>
      <c r="G2157">
        <v>6624</v>
      </c>
      <c r="H2157">
        <v>78</v>
      </c>
      <c r="I2157">
        <v>3.5</v>
      </c>
      <c r="J2157">
        <v>4.29</v>
      </c>
      <c r="K2157">
        <v>28416.959999999999</v>
      </c>
    </row>
    <row r="2158" spans="1:11" x14ac:dyDescent="0.2">
      <c r="A2158">
        <v>42618</v>
      </c>
      <c r="B2158">
        <v>63019</v>
      </c>
      <c r="C2158" t="s">
        <v>5780</v>
      </c>
      <c r="D2158">
        <v>10</v>
      </c>
      <c r="E2158">
        <v>6</v>
      </c>
      <c r="F2158">
        <v>0</v>
      </c>
      <c r="G2158">
        <v>0</v>
      </c>
      <c r="H2158">
        <v>40</v>
      </c>
      <c r="I2158">
        <v>0</v>
      </c>
      <c r="J2158">
        <v>4</v>
      </c>
      <c r="K2158">
        <v>0</v>
      </c>
    </row>
    <row r="2159" spans="1:11" x14ac:dyDescent="0.2">
      <c r="A2159">
        <v>81050</v>
      </c>
      <c r="B2159">
        <v>63103</v>
      </c>
      <c r="C2159" t="s">
        <v>5781</v>
      </c>
      <c r="D2159">
        <v>8</v>
      </c>
      <c r="E2159">
        <v>8</v>
      </c>
      <c r="F2159">
        <v>433</v>
      </c>
      <c r="G2159">
        <v>3464</v>
      </c>
      <c r="H2159">
        <v>84</v>
      </c>
      <c r="I2159">
        <v>5.2</v>
      </c>
      <c r="J2159">
        <v>1.08</v>
      </c>
      <c r="K2159">
        <v>3741.12</v>
      </c>
    </row>
    <row r="2160" spans="1:11" x14ac:dyDescent="0.2">
      <c r="A2160">
        <v>67157</v>
      </c>
      <c r="B2160">
        <v>63250</v>
      </c>
      <c r="C2160" t="s">
        <v>5782</v>
      </c>
      <c r="D2160">
        <v>8</v>
      </c>
      <c r="E2160">
        <v>6</v>
      </c>
      <c r="F2160">
        <v>433</v>
      </c>
      <c r="G2160">
        <v>2598</v>
      </c>
      <c r="H2160">
        <v>60</v>
      </c>
      <c r="I2160">
        <v>7.2</v>
      </c>
      <c r="J2160">
        <v>2.99</v>
      </c>
      <c r="K2160">
        <v>7768.02</v>
      </c>
    </row>
    <row r="2161" spans="1:11" x14ac:dyDescent="0.2">
      <c r="A2161">
        <v>66012</v>
      </c>
      <c r="B2161">
        <v>63258</v>
      </c>
      <c r="C2161" t="s">
        <v>5783</v>
      </c>
      <c r="D2161">
        <v>7</v>
      </c>
      <c r="E2161">
        <v>18</v>
      </c>
      <c r="F2161">
        <v>17</v>
      </c>
      <c r="G2161">
        <v>306</v>
      </c>
      <c r="H2161">
        <v>276</v>
      </c>
      <c r="I2161">
        <v>0.1</v>
      </c>
      <c r="J2161">
        <v>0.79</v>
      </c>
      <c r="K2161">
        <v>241.74</v>
      </c>
    </row>
    <row r="2162" spans="1:11" x14ac:dyDescent="0.2">
      <c r="A2162">
        <v>72177</v>
      </c>
      <c r="B2162">
        <v>63265</v>
      </c>
      <c r="C2162" t="s">
        <v>5784</v>
      </c>
      <c r="D2162">
        <v>8</v>
      </c>
      <c r="E2162">
        <v>10</v>
      </c>
      <c r="F2162">
        <v>543</v>
      </c>
      <c r="G2162">
        <v>5430</v>
      </c>
      <c r="H2162">
        <v>90</v>
      </c>
      <c r="I2162">
        <v>6</v>
      </c>
      <c r="J2162">
        <v>0.79</v>
      </c>
      <c r="K2162">
        <v>4289.7</v>
      </c>
    </row>
    <row r="2163" spans="1:11" x14ac:dyDescent="0.2">
      <c r="B2163">
        <v>63339</v>
      </c>
      <c r="C2163" t="s">
        <v>5785</v>
      </c>
      <c r="D2163">
        <v>11</v>
      </c>
      <c r="E2163">
        <v>12</v>
      </c>
      <c r="F2163">
        <v>0</v>
      </c>
      <c r="G2163">
        <v>0</v>
      </c>
      <c r="H2163">
        <v>64</v>
      </c>
      <c r="I2163">
        <v>0</v>
      </c>
      <c r="J2163">
        <v>2.0499999999999998</v>
      </c>
      <c r="K2163">
        <v>0</v>
      </c>
    </row>
    <row r="2164" spans="1:11" x14ac:dyDescent="0.2">
      <c r="B2164">
        <v>63340</v>
      </c>
      <c r="C2164" t="s">
        <v>5786</v>
      </c>
      <c r="D2164">
        <v>11</v>
      </c>
      <c r="E2164">
        <v>12</v>
      </c>
      <c r="F2164">
        <v>0</v>
      </c>
      <c r="G2164">
        <v>0</v>
      </c>
      <c r="H2164">
        <v>64</v>
      </c>
      <c r="I2164">
        <v>0</v>
      </c>
      <c r="J2164">
        <v>1.99</v>
      </c>
      <c r="K2164">
        <v>0</v>
      </c>
    </row>
    <row r="2165" spans="1:11" x14ac:dyDescent="0.2">
      <c r="A2165">
        <v>46501</v>
      </c>
      <c r="B2165">
        <v>63343</v>
      </c>
      <c r="C2165" t="s">
        <v>5787</v>
      </c>
      <c r="D2165">
        <v>10</v>
      </c>
      <c r="E2165">
        <v>16</v>
      </c>
      <c r="F2165">
        <v>0</v>
      </c>
      <c r="G2165">
        <v>0</v>
      </c>
      <c r="H2165">
        <v>60</v>
      </c>
      <c r="I2165">
        <v>0</v>
      </c>
      <c r="J2165">
        <v>2.59</v>
      </c>
      <c r="K2165">
        <v>0</v>
      </c>
    </row>
    <row r="2166" spans="1:11" x14ac:dyDescent="0.2">
      <c r="A2166">
        <v>74109</v>
      </c>
      <c r="B2166">
        <v>63359</v>
      </c>
      <c r="C2166" t="s">
        <v>5788</v>
      </c>
      <c r="D2166">
        <v>8</v>
      </c>
      <c r="E2166">
        <v>20</v>
      </c>
      <c r="F2166">
        <v>368</v>
      </c>
      <c r="G2166">
        <v>7360</v>
      </c>
      <c r="H2166">
        <v>84</v>
      </c>
      <c r="I2166">
        <v>4.4000000000000004</v>
      </c>
      <c r="J2166">
        <v>1.79</v>
      </c>
      <c r="K2166">
        <v>13174.4</v>
      </c>
    </row>
    <row r="2167" spans="1:11" x14ac:dyDescent="0.2">
      <c r="B2167">
        <v>63368</v>
      </c>
      <c r="C2167" t="s">
        <v>5789</v>
      </c>
      <c r="D2167">
        <v>11</v>
      </c>
      <c r="E2167">
        <v>6</v>
      </c>
      <c r="F2167">
        <v>0</v>
      </c>
      <c r="G2167">
        <v>0</v>
      </c>
      <c r="H2167">
        <v>120</v>
      </c>
      <c r="I2167">
        <v>0</v>
      </c>
      <c r="J2167">
        <v>2.0499999999999998</v>
      </c>
      <c r="K2167">
        <v>0</v>
      </c>
    </row>
    <row r="2168" spans="1:11" x14ac:dyDescent="0.2">
      <c r="A2168">
        <v>91116</v>
      </c>
      <c r="B2168">
        <v>63453</v>
      </c>
      <c r="C2168" t="s">
        <v>5790</v>
      </c>
      <c r="D2168">
        <v>8</v>
      </c>
      <c r="E2168">
        <v>7</v>
      </c>
      <c r="F2168">
        <v>74</v>
      </c>
      <c r="G2168">
        <v>518</v>
      </c>
      <c r="H2168">
        <v>75</v>
      </c>
      <c r="I2168">
        <v>1</v>
      </c>
      <c r="J2168">
        <v>2.99</v>
      </c>
      <c r="K2168">
        <v>1548.82</v>
      </c>
    </row>
    <row r="2169" spans="1:11" x14ac:dyDescent="0.2">
      <c r="A2169">
        <v>85210</v>
      </c>
      <c r="B2169">
        <v>63494</v>
      </c>
      <c r="C2169" t="s">
        <v>5791</v>
      </c>
      <c r="D2169">
        <v>9</v>
      </c>
      <c r="E2169">
        <v>6</v>
      </c>
      <c r="F2169">
        <v>230</v>
      </c>
      <c r="G2169">
        <v>1380</v>
      </c>
      <c r="H2169">
        <v>120</v>
      </c>
      <c r="I2169">
        <v>1.9</v>
      </c>
      <c r="J2169">
        <v>3.59</v>
      </c>
      <c r="K2169">
        <v>4954.2</v>
      </c>
    </row>
    <row r="2170" spans="1:11" x14ac:dyDescent="0.2">
      <c r="B2170">
        <v>63526</v>
      </c>
      <c r="C2170" t="s">
        <v>5792</v>
      </c>
      <c r="D2170">
        <v>6</v>
      </c>
      <c r="E2170">
        <v>24</v>
      </c>
      <c r="F2170">
        <v>0</v>
      </c>
      <c r="G2170">
        <v>0</v>
      </c>
      <c r="H2170">
        <v>72</v>
      </c>
      <c r="I2170">
        <v>0</v>
      </c>
      <c r="J2170">
        <v>0.89</v>
      </c>
      <c r="K2170">
        <v>0</v>
      </c>
    </row>
    <row r="2171" spans="1:11" x14ac:dyDescent="0.2">
      <c r="A2171">
        <v>69060</v>
      </c>
      <c r="B2171">
        <v>64974</v>
      </c>
      <c r="C2171" t="s">
        <v>5793</v>
      </c>
      <c r="D2171">
        <v>8</v>
      </c>
      <c r="E2171">
        <v>75</v>
      </c>
      <c r="F2171">
        <v>144</v>
      </c>
      <c r="G2171">
        <v>10800</v>
      </c>
      <c r="H2171">
        <v>36</v>
      </c>
      <c r="I2171">
        <v>4</v>
      </c>
      <c r="J2171">
        <v>0.6</v>
      </c>
      <c r="K2171">
        <v>6480</v>
      </c>
    </row>
    <row r="2172" spans="1:11" x14ac:dyDescent="0.2">
      <c r="A2172">
        <v>99256</v>
      </c>
      <c r="B2172">
        <v>64984</v>
      </c>
      <c r="C2172" t="s">
        <v>5794</v>
      </c>
      <c r="D2172">
        <v>10</v>
      </c>
      <c r="E2172">
        <v>6</v>
      </c>
      <c r="F2172">
        <v>0</v>
      </c>
      <c r="G2172">
        <v>0</v>
      </c>
      <c r="H2172">
        <v>50</v>
      </c>
      <c r="I2172">
        <v>0</v>
      </c>
      <c r="J2172">
        <v>4.99</v>
      </c>
      <c r="K2172">
        <v>0</v>
      </c>
    </row>
    <row r="2173" spans="1:11" x14ac:dyDescent="0.2">
      <c r="B2173">
        <v>65087</v>
      </c>
      <c r="C2173" t="s">
        <v>5795</v>
      </c>
      <c r="D2173">
        <v>11</v>
      </c>
      <c r="E2173">
        <v>4</v>
      </c>
      <c r="F2173">
        <v>1</v>
      </c>
      <c r="G2173">
        <v>3</v>
      </c>
      <c r="H2173">
        <v>60</v>
      </c>
      <c r="I2173">
        <v>0</v>
      </c>
      <c r="J2173">
        <v>1.79</v>
      </c>
      <c r="K2173">
        <v>5.37</v>
      </c>
    </row>
    <row r="2174" spans="1:11" x14ac:dyDescent="0.2">
      <c r="B2174">
        <v>65110</v>
      </c>
      <c r="C2174" t="s">
        <v>5796</v>
      </c>
      <c r="D2174">
        <v>11</v>
      </c>
      <c r="E2174">
        <v>12</v>
      </c>
      <c r="F2174">
        <v>0</v>
      </c>
      <c r="G2174">
        <v>0</v>
      </c>
      <c r="H2174">
        <v>96</v>
      </c>
      <c r="I2174">
        <v>0</v>
      </c>
      <c r="J2174">
        <v>2</v>
      </c>
      <c r="K2174">
        <v>0</v>
      </c>
    </row>
    <row r="2175" spans="1:11" x14ac:dyDescent="0.2">
      <c r="B2175">
        <v>65145</v>
      </c>
      <c r="C2175" t="s">
        <v>5797</v>
      </c>
      <c r="D2175">
        <v>6</v>
      </c>
      <c r="E2175">
        <v>110</v>
      </c>
      <c r="F2175">
        <v>0</v>
      </c>
      <c r="G2175">
        <v>0</v>
      </c>
      <c r="H2175">
        <v>110</v>
      </c>
      <c r="I2175">
        <v>0</v>
      </c>
      <c r="J2175">
        <v>0.89</v>
      </c>
      <c r="K2175">
        <v>0</v>
      </c>
    </row>
    <row r="2176" spans="1:11" x14ac:dyDescent="0.2">
      <c r="A2176">
        <v>57286</v>
      </c>
      <c r="B2176">
        <v>65190</v>
      </c>
      <c r="C2176" t="s">
        <v>5798</v>
      </c>
      <c r="D2176">
        <v>11</v>
      </c>
      <c r="E2176">
        <v>20</v>
      </c>
      <c r="F2176">
        <v>0</v>
      </c>
      <c r="G2176">
        <v>0</v>
      </c>
      <c r="H2176">
        <v>36</v>
      </c>
      <c r="I2176">
        <v>0</v>
      </c>
      <c r="J2176">
        <v>1</v>
      </c>
      <c r="K2176">
        <v>0</v>
      </c>
    </row>
    <row r="2177" spans="1:11" x14ac:dyDescent="0.2">
      <c r="A2177">
        <v>1350</v>
      </c>
      <c r="B2177">
        <v>65249</v>
      </c>
      <c r="C2177" t="s">
        <v>5799</v>
      </c>
      <c r="D2177">
        <v>10</v>
      </c>
      <c r="E2177">
        <v>13</v>
      </c>
      <c r="F2177">
        <v>81</v>
      </c>
      <c r="G2177">
        <v>1048</v>
      </c>
      <c r="H2177">
        <v>45</v>
      </c>
      <c r="I2177">
        <v>1.8</v>
      </c>
      <c r="J2177">
        <v>1.69</v>
      </c>
      <c r="K2177">
        <v>1771.12</v>
      </c>
    </row>
    <row r="2178" spans="1:11" x14ac:dyDescent="0.2">
      <c r="A2178">
        <v>57287</v>
      </c>
      <c r="B2178">
        <v>65251</v>
      </c>
      <c r="C2178" t="s">
        <v>5800</v>
      </c>
      <c r="D2178">
        <v>11</v>
      </c>
      <c r="E2178">
        <v>20</v>
      </c>
      <c r="F2178">
        <v>0</v>
      </c>
      <c r="G2178">
        <v>0</v>
      </c>
      <c r="H2178">
        <v>70</v>
      </c>
      <c r="I2178">
        <v>0</v>
      </c>
      <c r="J2178">
        <v>1</v>
      </c>
      <c r="K2178">
        <v>0</v>
      </c>
    </row>
    <row r="2179" spans="1:11" x14ac:dyDescent="0.2">
      <c r="A2179">
        <v>99140</v>
      </c>
      <c r="B2179">
        <v>65260</v>
      </c>
      <c r="C2179" t="s">
        <v>5801</v>
      </c>
      <c r="D2179">
        <v>12</v>
      </c>
      <c r="E2179">
        <v>36</v>
      </c>
      <c r="F2179">
        <v>0</v>
      </c>
      <c r="G2179">
        <v>0</v>
      </c>
      <c r="H2179">
        <v>128</v>
      </c>
      <c r="I2179">
        <v>0</v>
      </c>
      <c r="J2179">
        <v>0.59</v>
      </c>
      <c r="K2179">
        <v>0</v>
      </c>
    </row>
    <row r="2180" spans="1:11" x14ac:dyDescent="0.2">
      <c r="A2180">
        <v>86036</v>
      </c>
      <c r="B2180">
        <v>65260</v>
      </c>
      <c r="C2180" t="s">
        <v>5801</v>
      </c>
      <c r="D2180">
        <v>9</v>
      </c>
      <c r="E2180">
        <v>40</v>
      </c>
      <c r="F2180">
        <v>0</v>
      </c>
      <c r="G2180">
        <v>0</v>
      </c>
      <c r="H2180">
        <v>120</v>
      </c>
      <c r="I2180">
        <v>0</v>
      </c>
      <c r="J2180">
        <v>0.59</v>
      </c>
      <c r="K2180">
        <v>0</v>
      </c>
    </row>
    <row r="2181" spans="1:11" x14ac:dyDescent="0.2">
      <c r="A2181">
        <v>87018</v>
      </c>
      <c r="B2181">
        <v>65262</v>
      </c>
      <c r="C2181" t="s">
        <v>5802</v>
      </c>
      <c r="D2181">
        <v>8</v>
      </c>
      <c r="E2181">
        <v>8</v>
      </c>
      <c r="F2181">
        <v>84</v>
      </c>
      <c r="G2181">
        <v>672</v>
      </c>
      <c r="H2181">
        <v>84</v>
      </c>
      <c r="I2181">
        <v>1</v>
      </c>
      <c r="J2181">
        <v>1.59</v>
      </c>
      <c r="K2181">
        <v>1068.48</v>
      </c>
    </row>
    <row r="2182" spans="1:11" x14ac:dyDescent="0.2">
      <c r="A2182">
        <v>57288</v>
      </c>
      <c r="B2182">
        <v>65264</v>
      </c>
      <c r="C2182" t="s">
        <v>5803</v>
      </c>
      <c r="D2182">
        <v>11</v>
      </c>
      <c r="E2182">
        <v>12</v>
      </c>
      <c r="F2182">
        <v>0</v>
      </c>
      <c r="G2182">
        <v>0</v>
      </c>
      <c r="H2182">
        <v>60</v>
      </c>
      <c r="I2182">
        <v>0</v>
      </c>
      <c r="J2182">
        <v>1</v>
      </c>
      <c r="K2182">
        <v>0</v>
      </c>
    </row>
    <row r="2183" spans="1:11" x14ac:dyDescent="0.2">
      <c r="A2183">
        <v>2634</v>
      </c>
      <c r="B2183">
        <v>65368</v>
      </c>
      <c r="C2183" t="s">
        <v>5804</v>
      </c>
      <c r="D2183">
        <v>6</v>
      </c>
      <c r="E2183">
        <v>25</v>
      </c>
      <c r="F2183">
        <v>0</v>
      </c>
      <c r="G2183">
        <v>0</v>
      </c>
      <c r="H2183">
        <v>16</v>
      </c>
      <c r="I2183">
        <v>0</v>
      </c>
      <c r="J2183">
        <v>1.29</v>
      </c>
      <c r="K2183">
        <v>0</v>
      </c>
    </row>
    <row r="2184" spans="1:11" x14ac:dyDescent="0.2">
      <c r="A2184">
        <v>2635</v>
      </c>
      <c r="B2184">
        <v>65418</v>
      </c>
      <c r="C2184" t="s">
        <v>5805</v>
      </c>
      <c r="D2184">
        <v>6</v>
      </c>
      <c r="E2184">
        <v>20</v>
      </c>
      <c r="F2184">
        <v>0</v>
      </c>
      <c r="G2184">
        <v>0</v>
      </c>
      <c r="H2184">
        <v>24</v>
      </c>
      <c r="I2184">
        <v>0</v>
      </c>
      <c r="J2184">
        <v>0.69</v>
      </c>
      <c r="K2184">
        <v>0</v>
      </c>
    </row>
    <row r="2185" spans="1:11" x14ac:dyDescent="0.2">
      <c r="A2185">
        <v>99031</v>
      </c>
      <c r="B2185">
        <v>65435</v>
      </c>
      <c r="C2185" t="s">
        <v>5806</v>
      </c>
      <c r="D2185">
        <v>6</v>
      </c>
      <c r="E2185">
        <v>8</v>
      </c>
      <c r="F2185">
        <v>0</v>
      </c>
      <c r="G2185">
        <v>0</v>
      </c>
      <c r="H2185">
        <v>56</v>
      </c>
      <c r="I2185">
        <v>0</v>
      </c>
      <c r="J2185">
        <v>2.4500000000000002</v>
      </c>
      <c r="K2185">
        <v>0</v>
      </c>
    </row>
    <row r="2186" spans="1:11" x14ac:dyDescent="0.2">
      <c r="A2186">
        <v>57289</v>
      </c>
      <c r="B2186">
        <v>65442</v>
      </c>
      <c r="C2186" t="s">
        <v>5807</v>
      </c>
      <c r="D2186">
        <v>11</v>
      </c>
      <c r="E2186">
        <v>24</v>
      </c>
      <c r="F2186">
        <v>0</v>
      </c>
      <c r="G2186">
        <v>0</v>
      </c>
      <c r="H2186">
        <v>64</v>
      </c>
      <c r="I2186">
        <v>0</v>
      </c>
      <c r="J2186">
        <v>1</v>
      </c>
      <c r="K2186">
        <v>0</v>
      </c>
    </row>
    <row r="2187" spans="1:11" x14ac:dyDescent="0.2">
      <c r="B2187">
        <v>65473</v>
      </c>
      <c r="C2187" t="s">
        <v>5808</v>
      </c>
      <c r="D2187">
        <v>11</v>
      </c>
      <c r="E2187">
        <v>1</v>
      </c>
      <c r="F2187">
        <v>-17</v>
      </c>
      <c r="G2187">
        <v>-17</v>
      </c>
      <c r="H2187">
        <v>416</v>
      </c>
      <c r="I2187">
        <v>0</v>
      </c>
      <c r="J2187">
        <v>5.89</v>
      </c>
      <c r="K2187">
        <v>-100.13</v>
      </c>
    </row>
    <row r="2188" spans="1:11" x14ac:dyDescent="0.2">
      <c r="A2188">
        <v>2636</v>
      </c>
      <c r="B2188">
        <v>65481</v>
      </c>
      <c r="C2188" t="s">
        <v>5809</v>
      </c>
      <c r="D2188">
        <v>6</v>
      </c>
      <c r="E2188">
        <v>6</v>
      </c>
      <c r="F2188">
        <v>0</v>
      </c>
      <c r="G2188">
        <v>0</v>
      </c>
      <c r="H2188">
        <v>80</v>
      </c>
      <c r="I2188">
        <v>0</v>
      </c>
      <c r="J2188">
        <v>1.1200000000000001</v>
      </c>
      <c r="K2188">
        <v>0</v>
      </c>
    </row>
    <row r="2189" spans="1:11" x14ac:dyDescent="0.2">
      <c r="B2189">
        <v>65587</v>
      </c>
      <c r="C2189" t="s">
        <v>5810</v>
      </c>
      <c r="D2189">
        <v>11</v>
      </c>
      <c r="E2189">
        <v>12</v>
      </c>
      <c r="F2189">
        <v>0</v>
      </c>
      <c r="G2189">
        <v>0</v>
      </c>
      <c r="H2189">
        <v>42</v>
      </c>
      <c r="I2189">
        <v>0</v>
      </c>
      <c r="J2189">
        <v>2</v>
      </c>
      <c r="K2189">
        <v>0</v>
      </c>
    </row>
    <row r="2190" spans="1:11" x14ac:dyDescent="0.2">
      <c r="B2190">
        <v>65588</v>
      </c>
      <c r="C2190" t="s">
        <v>5811</v>
      </c>
      <c r="D2190">
        <v>11</v>
      </c>
      <c r="E2190">
        <v>24</v>
      </c>
      <c r="F2190">
        <v>0</v>
      </c>
      <c r="G2190">
        <v>0</v>
      </c>
      <c r="H2190">
        <v>80</v>
      </c>
      <c r="I2190">
        <v>0</v>
      </c>
      <c r="J2190">
        <v>0.5</v>
      </c>
      <c r="K2190">
        <v>0</v>
      </c>
    </row>
    <row r="2191" spans="1:11" x14ac:dyDescent="0.2">
      <c r="A2191">
        <v>74203</v>
      </c>
      <c r="B2191">
        <v>65607</v>
      </c>
      <c r="C2191" t="s">
        <v>5812</v>
      </c>
      <c r="D2191">
        <v>8</v>
      </c>
      <c r="E2191">
        <v>39</v>
      </c>
      <c r="F2191">
        <v>121</v>
      </c>
      <c r="G2191">
        <v>4719</v>
      </c>
      <c r="H2191">
        <v>72</v>
      </c>
      <c r="I2191">
        <v>1.7</v>
      </c>
      <c r="J2191">
        <v>1.55</v>
      </c>
      <c r="K2191">
        <v>7314.45</v>
      </c>
    </row>
    <row r="2192" spans="1:11" x14ac:dyDescent="0.2">
      <c r="A2192">
        <v>2506</v>
      </c>
      <c r="B2192">
        <v>65611</v>
      </c>
      <c r="C2192" t="s">
        <v>5813</v>
      </c>
      <c r="D2192">
        <v>6</v>
      </c>
      <c r="E2192">
        <v>6</v>
      </c>
      <c r="F2192">
        <v>0</v>
      </c>
      <c r="G2192">
        <v>0</v>
      </c>
      <c r="H2192">
        <v>84</v>
      </c>
      <c r="I2192">
        <v>0</v>
      </c>
      <c r="J2192">
        <v>4.99</v>
      </c>
      <c r="K2192">
        <v>0</v>
      </c>
    </row>
    <row r="2193" spans="1:11" x14ac:dyDescent="0.2">
      <c r="B2193">
        <v>65625</v>
      </c>
      <c r="C2193" t="s">
        <v>5814</v>
      </c>
      <c r="D2193">
        <v>11</v>
      </c>
      <c r="E2193">
        <v>12</v>
      </c>
      <c r="F2193">
        <v>0</v>
      </c>
      <c r="G2193">
        <v>0</v>
      </c>
      <c r="H2193">
        <v>272</v>
      </c>
      <c r="I2193">
        <v>0</v>
      </c>
      <c r="J2193">
        <v>0.49</v>
      </c>
      <c r="K2193">
        <v>0</v>
      </c>
    </row>
    <row r="2194" spans="1:11" x14ac:dyDescent="0.2">
      <c r="A2194">
        <v>43636</v>
      </c>
      <c r="B2194">
        <v>65665</v>
      </c>
      <c r="C2194" t="s">
        <v>5815</v>
      </c>
      <c r="D2194">
        <v>10</v>
      </c>
      <c r="E2194">
        <v>1</v>
      </c>
      <c r="F2194">
        <v>3</v>
      </c>
      <c r="G2194">
        <v>3</v>
      </c>
      <c r="H2194">
        <v>135</v>
      </c>
      <c r="I2194">
        <v>0</v>
      </c>
      <c r="J2194">
        <v>3.79</v>
      </c>
      <c r="K2194">
        <v>11.37</v>
      </c>
    </row>
    <row r="2195" spans="1:11" x14ac:dyDescent="0.2">
      <c r="A2195">
        <v>69027</v>
      </c>
      <c r="B2195">
        <v>65810</v>
      </c>
      <c r="C2195" t="s">
        <v>5816</v>
      </c>
      <c r="D2195">
        <v>8</v>
      </c>
      <c r="E2195">
        <v>15</v>
      </c>
      <c r="F2195">
        <v>485</v>
      </c>
      <c r="G2195">
        <v>7275</v>
      </c>
      <c r="H2195">
        <v>160</v>
      </c>
      <c r="I2195">
        <v>3</v>
      </c>
      <c r="J2195">
        <v>1.79</v>
      </c>
      <c r="K2195">
        <v>13022.25</v>
      </c>
    </row>
    <row r="2196" spans="1:11" x14ac:dyDescent="0.2">
      <c r="A2196">
        <v>71193</v>
      </c>
      <c r="B2196">
        <v>65813</v>
      </c>
      <c r="C2196" t="s">
        <v>5817</v>
      </c>
      <c r="D2196">
        <v>8</v>
      </c>
      <c r="E2196">
        <v>6</v>
      </c>
      <c r="F2196">
        <v>2097</v>
      </c>
      <c r="G2196">
        <v>12583</v>
      </c>
      <c r="H2196">
        <v>104</v>
      </c>
      <c r="I2196">
        <v>20.2</v>
      </c>
      <c r="J2196">
        <v>1.45</v>
      </c>
      <c r="K2196">
        <v>18245.349999999999</v>
      </c>
    </row>
    <row r="2197" spans="1:11" x14ac:dyDescent="0.2">
      <c r="B2197">
        <v>65847</v>
      </c>
      <c r="C2197" t="s">
        <v>5818</v>
      </c>
      <c r="D2197">
        <v>11</v>
      </c>
      <c r="E2197">
        <v>12</v>
      </c>
      <c r="F2197">
        <v>0</v>
      </c>
      <c r="G2197">
        <v>0</v>
      </c>
      <c r="H2197">
        <v>64</v>
      </c>
      <c r="I2197">
        <v>0</v>
      </c>
      <c r="J2197">
        <v>2.39</v>
      </c>
      <c r="K2197">
        <v>0</v>
      </c>
    </row>
    <row r="2198" spans="1:11" x14ac:dyDescent="0.2">
      <c r="A2198">
        <v>70164</v>
      </c>
      <c r="B2198">
        <v>65854</v>
      </c>
      <c r="C2198" t="s">
        <v>5819</v>
      </c>
      <c r="D2198">
        <v>8</v>
      </c>
      <c r="E2198">
        <v>24</v>
      </c>
      <c r="F2198">
        <v>311</v>
      </c>
      <c r="G2198">
        <v>7464</v>
      </c>
      <c r="H2198">
        <v>108</v>
      </c>
      <c r="I2198">
        <v>2.9</v>
      </c>
      <c r="J2198">
        <v>1.39</v>
      </c>
      <c r="K2198">
        <v>10374.959999999999</v>
      </c>
    </row>
    <row r="2199" spans="1:11" x14ac:dyDescent="0.2">
      <c r="A2199">
        <v>99032</v>
      </c>
      <c r="B2199">
        <v>65869</v>
      </c>
      <c r="C2199" t="s">
        <v>5820</v>
      </c>
      <c r="D2199">
        <v>10</v>
      </c>
      <c r="E2199">
        <v>8</v>
      </c>
      <c r="F2199">
        <v>0</v>
      </c>
      <c r="G2199">
        <v>0</v>
      </c>
      <c r="H2199">
        <v>42</v>
      </c>
      <c r="I2199">
        <v>0</v>
      </c>
      <c r="J2199">
        <v>2.39</v>
      </c>
      <c r="K2199">
        <v>0</v>
      </c>
    </row>
    <row r="2200" spans="1:11" x14ac:dyDescent="0.2">
      <c r="A2200">
        <v>99852</v>
      </c>
      <c r="B2200">
        <v>65870</v>
      </c>
      <c r="C2200" t="s">
        <v>5821</v>
      </c>
      <c r="D2200">
        <v>10</v>
      </c>
      <c r="E2200">
        <v>9</v>
      </c>
      <c r="F2200">
        <v>0</v>
      </c>
      <c r="G2200">
        <v>0</v>
      </c>
      <c r="H2200">
        <v>42</v>
      </c>
      <c r="I2200">
        <v>0</v>
      </c>
      <c r="J2200">
        <v>2.29</v>
      </c>
      <c r="K2200">
        <v>0</v>
      </c>
    </row>
    <row r="2201" spans="1:11" x14ac:dyDescent="0.2">
      <c r="A2201">
        <v>70155</v>
      </c>
      <c r="B2201">
        <v>65975</v>
      </c>
      <c r="C2201" t="s">
        <v>5822</v>
      </c>
      <c r="D2201">
        <v>8</v>
      </c>
      <c r="E2201">
        <v>12</v>
      </c>
      <c r="F2201">
        <v>536</v>
      </c>
      <c r="G2201">
        <v>6432</v>
      </c>
      <c r="H2201">
        <v>231</v>
      </c>
      <c r="I2201">
        <v>2.2999999999999998</v>
      </c>
      <c r="J2201">
        <v>1.68</v>
      </c>
      <c r="K2201">
        <v>10805.76</v>
      </c>
    </row>
    <row r="2202" spans="1:11" x14ac:dyDescent="0.2">
      <c r="A2202">
        <v>2507</v>
      </c>
      <c r="B2202">
        <v>65989</v>
      </c>
      <c r="C2202" t="s">
        <v>5823</v>
      </c>
      <c r="D2202">
        <v>6</v>
      </c>
      <c r="E2202">
        <v>9</v>
      </c>
      <c r="F2202">
        <v>0</v>
      </c>
      <c r="G2202">
        <v>0</v>
      </c>
      <c r="H2202">
        <v>176</v>
      </c>
      <c r="I2202">
        <v>0</v>
      </c>
      <c r="J2202">
        <v>1.99</v>
      </c>
      <c r="K2202">
        <v>0</v>
      </c>
    </row>
    <row r="2203" spans="1:11" x14ac:dyDescent="0.2">
      <c r="A2203">
        <v>99903</v>
      </c>
      <c r="B2203">
        <v>65996</v>
      </c>
      <c r="C2203" t="s">
        <v>5824</v>
      </c>
      <c r="D2203">
        <v>6</v>
      </c>
      <c r="E2203">
        <v>12</v>
      </c>
      <c r="F2203">
        <v>0</v>
      </c>
      <c r="G2203">
        <v>0</v>
      </c>
      <c r="H2203">
        <v>49</v>
      </c>
      <c r="I2203">
        <v>0</v>
      </c>
      <c r="J2203">
        <v>3.69</v>
      </c>
      <c r="K2203">
        <v>0</v>
      </c>
    </row>
    <row r="2204" spans="1:11" x14ac:dyDescent="0.2">
      <c r="A2204">
        <v>70234</v>
      </c>
      <c r="B2204">
        <v>67420</v>
      </c>
      <c r="C2204" t="s">
        <v>5825</v>
      </c>
      <c r="D2204">
        <v>8</v>
      </c>
      <c r="E2204">
        <v>12</v>
      </c>
      <c r="F2204">
        <v>231</v>
      </c>
      <c r="G2204">
        <v>2772</v>
      </c>
      <c r="H2204">
        <v>144</v>
      </c>
      <c r="I2204">
        <v>1.6</v>
      </c>
      <c r="J2204">
        <v>1.69</v>
      </c>
      <c r="K2204">
        <v>4684.68</v>
      </c>
    </row>
    <row r="2205" spans="1:11" x14ac:dyDescent="0.2">
      <c r="B2205">
        <v>67502</v>
      </c>
      <c r="C2205" t="s">
        <v>5826</v>
      </c>
      <c r="D2205">
        <v>11</v>
      </c>
      <c r="E2205">
        <v>1</v>
      </c>
      <c r="F2205">
        <v>14</v>
      </c>
      <c r="G2205">
        <v>14</v>
      </c>
      <c r="H2205">
        <v>448</v>
      </c>
      <c r="I2205">
        <v>0</v>
      </c>
      <c r="J2205">
        <v>2.59</v>
      </c>
      <c r="K2205">
        <v>36.26</v>
      </c>
    </row>
    <row r="2206" spans="1:11" x14ac:dyDescent="0.2">
      <c r="A2206">
        <v>1512</v>
      </c>
      <c r="B2206">
        <v>67642</v>
      </c>
      <c r="C2206" t="s">
        <v>5827</v>
      </c>
      <c r="D2206">
        <v>6</v>
      </c>
      <c r="E2206">
        <v>4</v>
      </c>
      <c r="F2206">
        <v>0</v>
      </c>
      <c r="G2206">
        <v>0</v>
      </c>
      <c r="H2206">
        <v>144</v>
      </c>
      <c r="I2206">
        <v>0</v>
      </c>
      <c r="J2206">
        <v>1.49</v>
      </c>
      <c r="K2206">
        <v>0</v>
      </c>
    </row>
    <row r="2207" spans="1:11" x14ac:dyDescent="0.2">
      <c r="A2207">
        <v>42507</v>
      </c>
      <c r="B2207">
        <v>67706</v>
      </c>
      <c r="C2207" t="s">
        <v>5828</v>
      </c>
      <c r="D2207">
        <v>10</v>
      </c>
      <c r="E2207">
        <v>6</v>
      </c>
      <c r="F2207">
        <v>3</v>
      </c>
      <c r="G2207">
        <v>18</v>
      </c>
      <c r="H2207">
        <v>77</v>
      </c>
      <c r="I2207">
        <v>0</v>
      </c>
      <c r="J2207">
        <v>3.99</v>
      </c>
      <c r="K2207">
        <v>71.819999999999993</v>
      </c>
    </row>
    <row r="2208" spans="1:11" x14ac:dyDescent="0.2">
      <c r="A2208">
        <v>80184</v>
      </c>
      <c r="B2208">
        <v>67754</v>
      </c>
      <c r="C2208" t="s">
        <v>5829</v>
      </c>
      <c r="D2208">
        <v>8</v>
      </c>
      <c r="E2208">
        <v>8</v>
      </c>
      <c r="F2208">
        <v>255</v>
      </c>
      <c r="G2208">
        <v>2040</v>
      </c>
      <c r="H2208">
        <v>96</v>
      </c>
      <c r="I2208">
        <v>2.7</v>
      </c>
      <c r="J2208">
        <v>1.99</v>
      </c>
      <c r="K2208">
        <v>4059.6</v>
      </c>
    </row>
    <row r="2209" spans="1:11" x14ac:dyDescent="0.2">
      <c r="A2209">
        <v>93073</v>
      </c>
      <c r="B2209">
        <v>67806</v>
      </c>
      <c r="C2209" t="s">
        <v>5830</v>
      </c>
      <c r="D2209">
        <v>10</v>
      </c>
      <c r="E2209">
        <v>8</v>
      </c>
      <c r="F2209">
        <v>0</v>
      </c>
      <c r="G2209">
        <v>0</v>
      </c>
      <c r="H2209">
        <v>32</v>
      </c>
      <c r="I2209">
        <v>0</v>
      </c>
      <c r="J2209">
        <v>2.4900000000000002</v>
      </c>
      <c r="K2209">
        <v>0</v>
      </c>
    </row>
    <row r="2210" spans="1:11" x14ac:dyDescent="0.2">
      <c r="A2210">
        <v>2508</v>
      </c>
      <c r="B2210">
        <v>67820</v>
      </c>
      <c r="C2210" t="s">
        <v>5831</v>
      </c>
      <c r="D2210">
        <v>6</v>
      </c>
      <c r="E2210">
        <v>18</v>
      </c>
      <c r="F2210">
        <v>0</v>
      </c>
      <c r="G2210">
        <v>0</v>
      </c>
      <c r="H2210">
        <v>112</v>
      </c>
      <c r="I2210">
        <v>0</v>
      </c>
      <c r="J2210">
        <v>1.0900000000000001</v>
      </c>
      <c r="K2210">
        <v>0</v>
      </c>
    </row>
    <row r="2211" spans="1:11" x14ac:dyDescent="0.2">
      <c r="A2211">
        <v>66023</v>
      </c>
      <c r="B2211">
        <v>68074</v>
      </c>
      <c r="C2211" t="s">
        <v>5832</v>
      </c>
      <c r="D2211">
        <v>8</v>
      </c>
      <c r="E2211">
        <v>12</v>
      </c>
      <c r="F2211">
        <v>294</v>
      </c>
      <c r="G2211">
        <v>3524</v>
      </c>
      <c r="H2211">
        <v>156</v>
      </c>
      <c r="I2211">
        <v>1.9</v>
      </c>
      <c r="J2211">
        <v>0.99</v>
      </c>
      <c r="K2211">
        <v>3488.76</v>
      </c>
    </row>
    <row r="2212" spans="1:11" x14ac:dyDescent="0.2">
      <c r="B2212">
        <v>68089</v>
      </c>
      <c r="C2212" t="s">
        <v>5833</v>
      </c>
      <c r="D2212">
        <v>11</v>
      </c>
      <c r="E2212">
        <v>24</v>
      </c>
      <c r="F2212">
        <v>0</v>
      </c>
      <c r="G2212">
        <v>-3</v>
      </c>
      <c r="H2212">
        <v>144</v>
      </c>
      <c r="I2212">
        <v>0</v>
      </c>
      <c r="J2212">
        <v>0.95</v>
      </c>
      <c r="K2212">
        <v>-2.85</v>
      </c>
    </row>
    <row r="2213" spans="1:11" x14ac:dyDescent="0.2">
      <c r="B2213">
        <v>68116</v>
      </c>
      <c r="C2213" t="s">
        <v>5834</v>
      </c>
      <c r="D2213">
        <v>11</v>
      </c>
      <c r="E2213">
        <v>6</v>
      </c>
      <c r="F2213">
        <v>0</v>
      </c>
      <c r="G2213">
        <v>0</v>
      </c>
      <c r="H2213">
        <v>80</v>
      </c>
      <c r="I2213">
        <v>0</v>
      </c>
      <c r="J2213">
        <v>3.99</v>
      </c>
      <c r="K2213">
        <v>0</v>
      </c>
    </row>
    <row r="2214" spans="1:11" x14ac:dyDescent="0.2">
      <c r="B2214">
        <v>68117</v>
      </c>
      <c r="C2214" t="s">
        <v>5835</v>
      </c>
      <c r="D2214">
        <v>11</v>
      </c>
      <c r="E2214">
        <v>6</v>
      </c>
      <c r="F2214">
        <v>0</v>
      </c>
      <c r="G2214">
        <v>0</v>
      </c>
      <c r="H2214">
        <v>80</v>
      </c>
      <c r="I2214">
        <v>0</v>
      </c>
      <c r="J2214">
        <v>3.99</v>
      </c>
      <c r="K2214">
        <v>0</v>
      </c>
    </row>
    <row r="2215" spans="1:11" x14ac:dyDescent="0.2">
      <c r="B2215">
        <v>68125</v>
      </c>
      <c r="C2215" t="s">
        <v>5836</v>
      </c>
      <c r="D2215">
        <v>11</v>
      </c>
      <c r="E2215">
        <v>10</v>
      </c>
      <c r="F2215">
        <v>0</v>
      </c>
      <c r="G2215">
        <v>0</v>
      </c>
      <c r="H2215">
        <v>117</v>
      </c>
      <c r="I2215">
        <v>0</v>
      </c>
      <c r="J2215">
        <v>1.39</v>
      </c>
      <c r="K2215">
        <v>0</v>
      </c>
    </row>
    <row r="2216" spans="1:11" x14ac:dyDescent="0.2">
      <c r="B2216">
        <v>68126</v>
      </c>
      <c r="C2216" t="s">
        <v>5837</v>
      </c>
      <c r="D2216">
        <v>11</v>
      </c>
      <c r="E2216">
        <v>10</v>
      </c>
      <c r="F2216">
        <v>0</v>
      </c>
      <c r="G2216">
        <v>0</v>
      </c>
      <c r="H2216">
        <v>117</v>
      </c>
      <c r="I2216">
        <v>0</v>
      </c>
      <c r="J2216">
        <v>1.39</v>
      </c>
      <c r="K2216">
        <v>0</v>
      </c>
    </row>
    <row r="2217" spans="1:11" x14ac:dyDescent="0.2">
      <c r="A2217">
        <v>99973</v>
      </c>
      <c r="B2217">
        <v>68180</v>
      </c>
      <c r="C2217" t="s">
        <v>5838</v>
      </c>
      <c r="D2217">
        <v>10</v>
      </c>
      <c r="E2217">
        <v>9</v>
      </c>
      <c r="F2217">
        <v>0</v>
      </c>
      <c r="G2217">
        <v>0</v>
      </c>
      <c r="H2217">
        <v>42</v>
      </c>
      <c r="I2217">
        <v>0</v>
      </c>
      <c r="J2217">
        <v>1.99</v>
      </c>
      <c r="K2217">
        <v>0</v>
      </c>
    </row>
    <row r="2218" spans="1:11" x14ac:dyDescent="0.2">
      <c r="A2218">
        <v>2637</v>
      </c>
      <c r="B2218">
        <v>68193</v>
      </c>
      <c r="C2218" t="s">
        <v>5839</v>
      </c>
      <c r="D2218">
        <v>6</v>
      </c>
      <c r="E2218">
        <v>25</v>
      </c>
      <c r="F2218">
        <v>0</v>
      </c>
      <c r="G2218">
        <v>0</v>
      </c>
      <c r="H2218">
        <v>16</v>
      </c>
      <c r="I2218">
        <v>0</v>
      </c>
      <c r="J2218">
        <v>1.39</v>
      </c>
      <c r="K2218">
        <v>0</v>
      </c>
    </row>
    <row r="2219" spans="1:11" x14ac:dyDescent="0.2">
      <c r="B2219">
        <v>68253</v>
      </c>
      <c r="C2219" t="s">
        <v>5840</v>
      </c>
      <c r="D2219">
        <v>11</v>
      </c>
      <c r="E2219">
        <v>24</v>
      </c>
      <c r="F2219">
        <v>0</v>
      </c>
      <c r="G2219">
        <v>0</v>
      </c>
      <c r="H2219">
        <v>90</v>
      </c>
      <c r="I2219">
        <v>0</v>
      </c>
      <c r="J2219">
        <v>0.79</v>
      </c>
      <c r="K2219">
        <v>0</v>
      </c>
    </row>
    <row r="2220" spans="1:11" x14ac:dyDescent="0.2">
      <c r="B2220">
        <v>68348</v>
      </c>
      <c r="C2220" t="s">
        <v>5841</v>
      </c>
      <c r="D2220">
        <v>11</v>
      </c>
      <c r="E2220">
        <v>6</v>
      </c>
      <c r="F2220">
        <v>0</v>
      </c>
      <c r="G2220">
        <v>0</v>
      </c>
      <c r="H2220">
        <v>80</v>
      </c>
      <c r="I2220">
        <v>0</v>
      </c>
      <c r="J2220">
        <v>14.99</v>
      </c>
      <c r="K2220">
        <v>0</v>
      </c>
    </row>
    <row r="2221" spans="1:11" x14ac:dyDescent="0.2">
      <c r="A2221">
        <v>65226</v>
      </c>
      <c r="B2221">
        <v>68400</v>
      </c>
      <c r="C2221" t="s">
        <v>5195</v>
      </c>
      <c r="D2221">
        <v>8</v>
      </c>
      <c r="E2221">
        <v>6</v>
      </c>
      <c r="F2221">
        <v>1037</v>
      </c>
      <c r="G2221">
        <v>6219</v>
      </c>
      <c r="H2221">
        <v>116</v>
      </c>
      <c r="I2221">
        <v>8.9</v>
      </c>
      <c r="J2221">
        <v>4.45</v>
      </c>
      <c r="K2221">
        <v>27674.55</v>
      </c>
    </row>
    <row r="2222" spans="1:11" x14ac:dyDescent="0.2">
      <c r="A2222">
        <v>2509</v>
      </c>
      <c r="B2222">
        <v>68460</v>
      </c>
      <c r="C2222" t="s">
        <v>5842</v>
      </c>
      <c r="D2222">
        <v>6</v>
      </c>
      <c r="E2222">
        <v>12</v>
      </c>
      <c r="F2222">
        <v>-1</v>
      </c>
      <c r="G2222">
        <v>-12</v>
      </c>
      <c r="H2222">
        <v>72</v>
      </c>
      <c r="I2222">
        <v>0</v>
      </c>
      <c r="J2222">
        <v>1.99</v>
      </c>
      <c r="K2222">
        <v>-23.88</v>
      </c>
    </row>
    <row r="2223" spans="1:11" x14ac:dyDescent="0.2">
      <c r="A2223">
        <v>80250</v>
      </c>
      <c r="B2223">
        <v>68479</v>
      </c>
      <c r="C2223" t="s">
        <v>5843</v>
      </c>
      <c r="D2223">
        <v>8</v>
      </c>
      <c r="E2223">
        <v>6</v>
      </c>
      <c r="F2223">
        <v>511</v>
      </c>
      <c r="G2223">
        <v>3066</v>
      </c>
      <c r="H2223">
        <v>160</v>
      </c>
      <c r="I2223">
        <v>3.2</v>
      </c>
      <c r="J2223">
        <v>1.25</v>
      </c>
      <c r="K2223">
        <v>3832.5</v>
      </c>
    </row>
    <row r="2224" spans="1:11" x14ac:dyDescent="0.2">
      <c r="B2224">
        <v>69682</v>
      </c>
      <c r="C2224" t="s">
        <v>5844</v>
      </c>
      <c r="D2224">
        <v>11</v>
      </c>
      <c r="E2224">
        <v>6</v>
      </c>
      <c r="F2224">
        <v>0</v>
      </c>
      <c r="G2224">
        <v>0</v>
      </c>
      <c r="H2224">
        <v>125</v>
      </c>
      <c r="I2224">
        <v>0</v>
      </c>
      <c r="J2224">
        <v>2.29</v>
      </c>
      <c r="K2224">
        <v>0</v>
      </c>
    </row>
    <row r="2225" spans="1:11" x14ac:dyDescent="0.2">
      <c r="A2225">
        <v>57678</v>
      </c>
      <c r="B2225">
        <v>69688</v>
      </c>
      <c r="C2225" t="s">
        <v>5845</v>
      </c>
      <c r="D2225">
        <v>10</v>
      </c>
      <c r="E2225">
        <v>9</v>
      </c>
      <c r="F2225">
        <v>-7</v>
      </c>
      <c r="G2225">
        <v>-59</v>
      </c>
      <c r="H2225">
        <v>28</v>
      </c>
      <c r="I2225">
        <v>-0.2</v>
      </c>
      <c r="J2225">
        <v>1.99</v>
      </c>
      <c r="K2225">
        <v>-117.41</v>
      </c>
    </row>
    <row r="2226" spans="1:11" x14ac:dyDescent="0.2">
      <c r="A2226">
        <v>4508</v>
      </c>
      <c r="B2226">
        <v>69698</v>
      </c>
      <c r="C2226" t="s">
        <v>5846</v>
      </c>
      <c r="D2226">
        <v>6</v>
      </c>
      <c r="E2226">
        <v>13</v>
      </c>
      <c r="F2226">
        <v>3</v>
      </c>
      <c r="G2226">
        <v>39</v>
      </c>
      <c r="H2226">
        <v>120</v>
      </c>
      <c r="I2226">
        <v>0</v>
      </c>
      <c r="J2226">
        <v>1.29</v>
      </c>
      <c r="K2226">
        <v>50.31</v>
      </c>
    </row>
    <row r="2227" spans="1:11" x14ac:dyDescent="0.2">
      <c r="A2227">
        <v>57606</v>
      </c>
      <c r="B2227">
        <v>69721</v>
      </c>
      <c r="C2227" t="s">
        <v>5847</v>
      </c>
      <c r="D2227">
        <v>10</v>
      </c>
      <c r="E2227">
        <v>32</v>
      </c>
      <c r="F2227">
        <v>2</v>
      </c>
      <c r="G2227">
        <v>67</v>
      </c>
      <c r="H2227">
        <v>80</v>
      </c>
      <c r="I2227">
        <v>0</v>
      </c>
      <c r="J2227">
        <v>0.5</v>
      </c>
      <c r="K2227">
        <v>33.5</v>
      </c>
    </row>
    <row r="2228" spans="1:11" x14ac:dyDescent="0.2">
      <c r="A2228">
        <v>92940</v>
      </c>
      <c r="B2228">
        <v>69751</v>
      </c>
      <c r="C2228" t="s">
        <v>5848</v>
      </c>
      <c r="D2228">
        <v>7</v>
      </c>
      <c r="E2228">
        <v>11</v>
      </c>
      <c r="F2228">
        <v>17</v>
      </c>
      <c r="G2228">
        <v>187</v>
      </c>
      <c r="H2228">
        <v>60</v>
      </c>
      <c r="I2228">
        <v>0.3</v>
      </c>
      <c r="J2228">
        <v>1.99</v>
      </c>
      <c r="K2228">
        <v>372.13</v>
      </c>
    </row>
    <row r="2229" spans="1:11" x14ac:dyDescent="0.2">
      <c r="A2229">
        <v>92920</v>
      </c>
      <c r="B2229">
        <v>69753</v>
      </c>
      <c r="C2229" t="s">
        <v>5849</v>
      </c>
      <c r="D2229">
        <v>7</v>
      </c>
      <c r="E2229">
        <v>7</v>
      </c>
      <c r="F2229">
        <v>34</v>
      </c>
      <c r="G2229">
        <v>238</v>
      </c>
      <c r="H2229">
        <v>24</v>
      </c>
      <c r="I2229">
        <v>1.4</v>
      </c>
      <c r="J2229">
        <v>3.99</v>
      </c>
      <c r="K2229">
        <v>949.62</v>
      </c>
    </row>
    <row r="2230" spans="1:11" x14ac:dyDescent="0.2">
      <c r="A2230">
        <v>93400</v>
      </c>
      <c r="B2230">
        <v>69754</v>
      </c>
      <c r="C2230" t="s">
        <v>5850</v>
      </c>
      <c r="D2230">
        <v>10</v>
      </c>
      <c r="E2230">
        <v>13</v>
      </c>
      <c r="F2230">
        <v>2</v>
      </c>
      <c r="G2230">
        <v>26</v>
      </c>
      <c r="H2230">
        <v>60</v>
      </c>
      <c r="I2230">
        <v>0</v>
      </c>
      <c r="J2230">
        <v>1.99</v>
      </c>
      <c r="K2230">
        <v>51.74</v>
      </c>
    </row>
    <row r="2231" spans="1:11" x14ac:dyDescent="0.2">
      <c r="A2231">
        <v>93108</v>
      </c>
      <c r="B2231">
        <v>69766</v>
      </c>
      <c r="C2231" t="s">
        <v>5851</v>
      </c>
      <c r="D2231">
        <v>10</v>
      </c>
      <c r="E2231">
        <v>12</v>
      </c>
      <c r="F2231">
        <v>0</v>
      </c>
      <c r="G2231">
        <v>0</v>
      </c>
      <c r="H2231">
        <v>60</v>
      </c>
      <c r="I2231">
        <v>0</v>
      </c>
      <c r="J2231">
        <v>2.29</v>
      </c>
      <c r="K2231">
        <v>0</v>
      </c>
    </row>
    <row r="2232" spans="1:11" x14ac:dyDescent="0.2">
      <c r="A2232">
        <v>92220</v>
      </c>
      <c r="B2232">
        <v>69774</v>
      </c>
      <c r="C2232" t="s">
        <v>5852</v>
      </c>
      <c r="D2232">
        <v>10</v>
      </c>
      <c r="E2232">
        <v>12</v>
      </c>
      <c r="F2232">
        <v>1</v>
      </c>
      <c r="G2232">
        <v>12</v>
      </c>
      <c r="H2232">
        <v>48</v>
      </c>
      <c r="I2232">
        <v>0</v>
      </c>
      <c r="J2232">
        <v>1.99</v>
      </c>
      <c r="K2232">
        <v>23.88</v>
      </c>
    </row>
    <row r="2233" spans="1:11" x14ac:dyDescent="0.2">
      <c r="A2233">
        <v>93100</v>
      </c>
      <c r="B2233">
        <v>69776</v>
      </c>
      <c r="C2233" t="s">
        <v>5853</v>
      </c>
      <c r="D2233">
        <v>10</v>
      </c>
      <c r="E2233">
        <v>12</v>
      </c>
      <c r="F2233">
        <v>0</v>
      </c>
      <c r="G2233">
        <v>0</v>
      </c>
      <c r="H2233">
        <v>32</v>
      </c>
      <c r="I2233">
        <v>0</v>
      </c>
      <c r="J2233">
        <v>1.99</v>
      </c>
      <c r="K2233">
        <v>0</v>
      </c>
    </row>
    <row r="2234" spans="1:11" x14ac:dyDescent="0.2">
      <c r="A2234">
        <v>92921</v>
      </c>
      <c r="B2234">
        <v>69777</v>
      </c>
      <c r="C2234" t="s">
        <v>5854</v>
      </c>
      <c r="D2234">
        <v>7</v>
      </c>
      <c r="E2234">
        <v>10</v>
      </c>
      <c r="F2234">
        <v>1</v>
      </c>
      <c r="G2234">
        <v>10</v>
      </c>
      <c r="H2234">
        <v>100</v>
      </c>
      <c r="I2234">
        <v>0</v>
      </c>
      <c r="J2234">
        <v>2.99</v>
      </c>
      <c r="K2234">
        <v>29.9</v>
      </c>
    </row>
    <row r="2235" spans="1:11" x14ac:dyDescent="0.2">
      <c r="A2235">
        <v>92803</v>
      </c>
      <c r="B2235">
        <v>69779</v>
      </c>
      <c r="C2235" t="s">
        <v>5855</v>
      </c>
      <c r="D2235">
        <v>7</v>
      </c>
      <c r="E2235">
        <v>8</v>
      </c>
      <c r="F2235">
        <v>0</v>
      </c>
      <c r="G2235">
        <v>0</v>
      </c>
      <c r="H2235">
        <v>60</v>
      </c>
      <c r="I2235">
        <v>0</v>
      </c>
      <c r="J2235">
        <v>2.99</v>
      </c>
      <c r="K2235">
        <v>0</v>
      </c>
    </row>
    <row r="2236" spans="1:11" x14ac:dyDescent="0.2">
      <c r="A2236">
        <v>92880</v>
      </c>
      <c r="B2236">
        <v>69783</v>
      </c>
      <c r="C2236" t="s">
        <v>5856</v>
      </c>
      <c r="D2236">
        <v>7</v>
      </c>
      <c r="E2236">
        <v>9</v>
      </c>
      <c r="F2236">
        <v>0</v>
      </c>
      <c r="G2236">
        <v>0</v>
      </c>
      <c r="H2236">
        <v>32</v>
      </c>
      <c r="I2236">
        <v>0</v>
      </c>
      <c r="J2236">
        <v>2.99</v>
      </c>
      <c r="K2236">
        <v>0</v>
      </c>
    </row>
    <row r="2237" spans="1:11" x14ac:dyDescent="0.2">
      <c r="A2237">
        <v>92210</v>
      </c>
      <c r="B2237">
        <v>69790</v>
      </c>
      <c r="C2237" t="s">
        <v>5857</v>
      </c>
      <c r="D2237">
        <v>7</v>
      </c>
      <c r="E2237">
        <v>10</v>
      </c>
      <c r="F2237">
        <v>-1</v>
      </c>
      <c r="G2237">
        <v>-10</v>
      </c>
      <c r="H2237">
        <v>32</v>
      </c>
      <c r="I2237">
        <v>0</v>
      </c>
      <c r="J2237">
        <v>2.59</v>
      </c>
      <c r="K2237">
        <v>-25.9</v>
      </c>
    </row>
    <row r="2238" spans="1:11" x14ac:dyDescent="0.2">
      <c r="B2238">
        <v>69794</v>
      </c>
      <c r="C2238" t="s">
        <v>5858</v>
      </c>
      <c r="D2238">
        <v>6</v>
      </c>
      <c r="E2238">
        <v>6</v>
      </c>
      <c r="F2238">
        <v>0</v>
      </c>
      <c r="G2238">
        <v>0</v>
      </c>
      <c r="H2238">
        <v>48</v>
      </c>
      <c r="I2238">
        <v>0</v>
      </c>
      <c r="J2238">
        <v>1.99</v>
      </c>
      <c r="K2238">
        <v>0</v>
      </c>
    </row>
    <row r="2239" spans="1:11" x14ac:dyDescent="0.2">
      <c r="B2239">
        <v>69812</v>
      </c>
      <c r="C2239" t="s">
        <v>5859</v>
      </c>
      <c r="D2239">
        <v>10</v>
      </c>
      <c r="E2239">
        <v>1</v>
      </c>
      <c r="F2239">
        <v>0</v>
      </c>
      <c r="G2239">
        <v>0</v>
      </c>
      <c r="H2239">
        <v>232</v>
      </c>
      <c r="I2239">
        <v>0</v>
      </c>
      <c r="J2239">
        <v>1.99</v>
      </c>
      <c r="K2239">
        <v>0</v>
      </c>
    </row>
    <row r="2240" spans="1:11" x14ac:dyDescent="0.2">
      <c r="A2240">
        <v>70269</v>
      </c>
      <c r="B2240">
        <v>69833</v>
      </c>
      <c r="C2240" t="s">
        <v>5860</v>
      </c>
      <c r="D2240">
        <v>8</v>
      </c>
      <c r="E2240">
        <v>30</v>
      </c>
      <c r="F2240">
        <v>125</v>
      </c>
      <c r="G2240">
        <v>3750</v>
      </c>
      <c r="H2240">
        <v>160</v>
      </c>
      <c r="I2240">
        <v>0.8</v>
      </c>
      <c r="J2240">
        <v>1.99</v>
      </c>
      <c r="K2240">
        <v>7462.5</v>
      </c>
    </row>
    <row r="2241" spans="1:11" x14ac:dyDescent="0.2">
      <c r="B2241">
        <v>69855</v>
      </c>
      <c r="C2241" t="s">
        <v>5861</v>
      </c>
      <c r="D2241">
        <v>11</v>
      </c>
      <c r="E2241">
        <v>16</v>
      </c>
      <c r="F2241">
        <v>0</v>
      </c>
      <c r="G2241">
        <v>0</v>
      </c>
      <c r="H2241">
        <v>77</v>
      </c>
      <c r="I2241">
        <v>0</v>
      </c>
      <c r="J2241">
        <v>1.99</v>
      </c>
      <c r="K2241">
        <v>0</v>
      </c>
    </row>
    <row r="2242" spans="1:11" x14ac:dyDescent="0.2">
      <c r="A2242">
        <v>86019</v>
      </c>
      <c r="B2242">
        <v>69943</v>
      </c>
      <c r="C2242" t="s">
        <v>5862</v>
      </c>
      <c r="D2242">
        <v>8</v>
      </c>
      <c r="E2242">
        <v>120</v>
      </c>
      <c r="F2242">
        <v>0</v>
      </c>
      <c r="G2242">
        <v>0</v>
      </c>
      <c r="H2242">
        <v>32</v>
      </c>
      <c r="I2242">
        <v>0</v>
      </c>
      <c r="J2242">
        <v>0.28999999999999998</v>
      </c>
      <c r="K2242">
        <v>0</v>
      </c>
    </row>
    <row r="2243" spans="1:11" x14ac:dyDescent="0.2">
      <c r="A2243">
        <v>86015</v>
      </c>
      <c r="B2243">
        <v>69944</v>
      </c>
      <c r="C2243" t="s">
        <v>5863</v>
      </c>
      <c r="D2243">
        <v>8</v>
      </c>
      <c r="E2243">
        <v>68</v>
      </c>
      <c r="F2243">
        <v>0</v>
      </c>
      <c r="G2243">
        <v>0</v>
      </c>
      <c r="H2243">
        <v>54</v>
      </c>
      <c r="I2243">
        <v>0</v>
      </c>
      <c r="J2243">
        <v>0.35</v>
      </c>
      <c r="K2243">
        <v>0</v>
      </c>
    </row>
    <row r="2244" spans="1:11" x14ac:dyDescent="0.2">
      <c r="A2244">
        <v>75262</v>
      </c>
      <c r="B2244">
        <v>69954</v>
      </c>
      <c r="C2244" t="s">
        <v>5864</v>
      </c>
      <c r="D2244">
        <v>10</v>
      </c>
      <c r="E2244">
        <v>25</v>
      </c>
      <c r="F2244">
        <v>63</v>
      </c>
      <c r="G2244">
        <v>1575</v>
      </c>
      <c r="H2244">
        <v>64</v>
      </c>
      <c r="I2244">
        <v>1</v>
      </c>
      <c r="J2244">
        <v>1.29</v>
      </c>
      <c r="K2244">
        <v>2031.75</v>
      </c>
    </row>
    <row r="2245" spans="1:11" x14ac:dyDescent="0.2">
      <c r="A2245">
        <v>83208</v>
      </c>
      <c r="B2245">
        <v>70012</v>
      </c>
      <c r="C2245" t="s">
        <v>5865</v>
      </c>
      <c r="D2245">
        <v>8</v>
      </c>
      <c r="E2245">
        <v>16</v>
      </c>
      <c r="F2245">
        <v>269</v>
      </c>
      <c r="G2245">
        <v>4304</v>
      </c>
      <c r="H2245">
        <v>72</v>
      </c>
      <c r="I2245">
        <v>3.7</v>
      </c>
      <c r="J2245">
        <v>1.79</v>
      </c>
      <c r="K2245">
        <v>7704.16</v>
      </c>
    </row>
    <row r="2246" spans="1:11" x14ac:dyDescent="0.2">
      <c r="A2246">
        <v>75180</v>
      </c>
      <c r="B2246">
        <v>70052</v>
      </c>
      <c r="C2246" t="s">
        <v>5866</v>
      </c>
      <c r="D2246">
        <v>10</v>
      </c>
      <c r="E2246">
        <v>16</v>
      </c>
      <c r="F2246">
        <v>2</v>
      </c>
      <c r="G2246">
        <v>32</v>
      </c>
      <c r="H2246">
        <v>24</v>
      </c>
      <c r="I2246">
        <v>0.1</v>
      </c>
      <c r="J2246">
        <v>1.99</v>
      </c>
      <c r="K2246">
        <v>63.68</v>
      </c>
    </row>
    <row r="2247" spans="1:11" x14ac:dyDescent="0.2">
      <c r="A2247">
        <v>99257</v>
      </c>
      <c r="B2247">
        <v>70255</v>
      </c>
      <c r="C2247" t="s">
        <v>5867</v>
      </c>
      <c r="D2247">
        <v>10</v>
      </c>
      <c r="E2247">
        <v>6</v>
      </c>
      <c r="F2247">
        <v>0</v>
      </c>
      <c r="G2247">
        <v>0</v>
      </c>
      <c r="H2247">
        <v>42</v>
      </c>
      <c r="I2247">
        <v>0</v>
      </c>
      <c r="J2247">
        <v>4.1900000000000004</v>
      </c>
      <c r="K2247">
        <v>0</v>
      </c>
    </row>
    <row r="2248" spans="1:11" x14ac:dyDescent="0.2">
      <c r="A2248">
        <v>57607</v>
      </c>
      <c r="B2248">
        <v>70271</v>
      </c>
      <c r="C2248" t="s">
        <v>5868</v>
      </c>
      <c r="D2248">
        <v>10</v>
      </c>
      <c r="E2248">
        <v>3</v>
      </c>
      <c r="F2248">
        <v>2</v>
      </c>
      <c r="G2248">
        <v>7</v>
      </c>
      <c r="H2248">
        <v>48</v>
      </c>
      <c r="I2248">
        <v>0</v>
      </c>
      <c r="J2248">
        <v>6.49</v>
      </c>
      <c r="K2248">
        <v>45.43</v>
      </c>
    </row>
    <row r="2249" spans="1:11" x14ac:dyDescent="0.2">
      <c r="A2249">
        <v>57574</v>
      </c>
      <c r="B2249">
        <v>70404</v>
      </c>
      <c r="C2249" t="s">
        <v>5869</v>
      </c>
      <c r="D2249">
        <v>10</v>
      </c>
      <c r="E2249">
        <v>21</v>
      </c>
      <c r="F2249">
        <v>3</v>
      </c>
      <c r="G2249">
        <v>56</v>
      </c>
      <c r="H2249">
        <v>156</v>
      </c>
      <c r="I2249">
        <v>0</v>
      </c>
      <c r="J2249">
        <v>0.5</v>
      </c>
      <c r="K2249">
        <v>28</v>
      </c>
    </row>
    <row r="2250" spans="1:11" x14ac:dyDescent="0.2">
      <c r="A2250">
        <v>66098</v>
      </c>
      <c r="B2250">
        <v>70432</v>
      </c>
      <c r="C2250" t="s">
        <v>5870</v>
      </c>
      <c r="D2250">
        <v>6</v>
      </c>
      <c r="E2250">
        <v>28</v>
      </c>
      <c r="F2250">
        <v>221</v>
      </c>
      <c r="G2250">
        <v>6188</v>
      </c>
      <c r="H2250">
        <v>221</v>
      </c>
      <c r="I2250">
        <v>1</v>
      </c>
      <c r="J2250">
        <v>0.73</v>
      </c>
      <c r="K2250">
        <v>4517.24</v>
      </c>
    </row>
    <row r="2251" spans="1:11" x14ac:dyDescent="0.2">
      <c r="B2251">
        <v>70468</v>
      </c>
      <c r="C2251" t="s">
        <v>5871</v>
      </c>
      <c r="D2251">
        <v>11</v>
      </c>
      <c r="E2251">
        <v>1</v>
      </c>
      <c r="F2251">
        <v>0</v>
      </c>
      <c r="G2251">
        <v>0</v>
      </c>
      <c r="H2251">
        <v>90</v>
      </c>
      <c r="I2251">
        <v>0</v>
      </c>
      <c r="J2251">
        <v>0.01</v>
      </c>
      <c r="K2251">
        <v>0</v>
      </c>
    </row>
    <row r="2252" spans="1:11" x14ac:dyDescent="0.2">
      <c r="B2252">
        <v>70498</v>
      </c>
      <c r="C2252" t="s">
        <v>5872</v>
      </c>
      <c r="D2252">
        <v>11</v>
      </c>
      <c r="E2252">
        <v>16</v>
      </c>
      <c r="F2252">
        <v>0</v>
      </c>
      <c r="G2252">
        <v>0</v>
      </c>
      <c r="H2252">
        <v>84</v>
      </c>
      <c r="I2252">
        <v>0</v>
      </c>
      <c r="J2252">
        <v>1.6</v>
      </c>
      <c r="K2252">
        <v>0</v>
      </c>
    </row>
    <row r="2253" spans="1:11" x14ac:dyDescent="0.2">
      <c r="A2253">
        <v>61164</v>
      </c>
      <c r="B2253">
        <v>70557</v>
      </c>
      <c r="C2253" t="s">
        <v>5873</v>
      </c>
      <c r="D2253">
        <v>8</v>
      </c>
      <c r="E2253">
        <v>6</v>
      </c>
      <c r="F2253">
        <v>344</v>
      </c>
      <c r="G2253">
        <v>2064</v>
      </c>
      <c r="H2253">
        <v>100</v>
      </c>
      <c r="I2253">
        <v>3.4</v>
      </c>
      <c r="J2253">
        <v>4.99</v>
      </c>
      <c r="K2253">
        <v>10299.36</v>
      </c>
    </row>
    <row r="2254" spans="1:11" x14ac:dyDescent="0.2">
      <c r="A2254">
        <v>57436</v>
      </c>
      <c r="B2254">
        <v>70660</v>
      </c>
      <c r="C2254" t="s">
        <v>5874</v>
      </c>
      <c r="D2254">
        <v>6</v>
      </c>
      <c r="E2254">
        <v>1</v>
      </c>
      <c r="F2254">
        <v>0</v>
      </c>
      <c r="G2254">
        <v>0</v>
      </c>
      <c r="H2254">
        <v>96</v>
      </c>
      <c r="I2254">
        <v>0</v>
      </c>
      <c r="J2254">
        <v>1</v>
      </c>
      <c r="K2254">
        <v>0</v>
      </c>
    </row>
    <row r="2255" spans="1:11" x14ac:dyDescent="0.2">
      <c r="A2255">
        <v>57437</v>
      </c>
      <c r="B2255">
        <v>70662</v>
      </c>
      <c r="C2255" t="s">
        <v>5875</v>
      </c>
      <c r="D2255">
        <v>10</v>
      </c>
      <c r="E2255">
        <v>8</v>
      </c>
      <c r="F2255">
        <v>-3</v>
      </c>
      <c r="G2255">
        <v>-24</v>
      </c>
      <c r="H2255">
        <v>32</v>
      </c>
      <c r="I2255">
        <v>-0.1</v>
      </c>
      <c r="J2255">
        <v>2.64</v>
      </c>
      <c r="K2255">
        <v>-63.36</v>
      </c>
    </row>
    <row r="2256" spans="1:11" x14ac:dyDescent="0.2">
      <c r="A2256">
        <v>80219</v>
      </c>
      <c r="B2256">
        <v>70675</v>
      </c>
      <c r="C2256" t="s">
        <v>5876</v>
      </c>
      <c r="D2256">
        <v>8</v>
      </c>
      <c r="E2256">
        <v>8</v>
      </c>
      <c r="F2256">
        <v>463</v>
      </c>
      <c r="G2256">
        <v>3704</v>
      </c>
      <c r="H2256">
        <v>108</v>
      </c>
      <c r="I2256">
        <v>4.3</v>
      </c>
      <c r="J2256">
        <v>1.39</v>
      </c>
      <c r="K2256">
        <v>5148.5600000000004</v>
      </c>
    </row>
    <row r="2257" spans="1:11" x14ac:dyDescent="0.2">
      <c r="A2257">
        <v>80237</v>
      </c>
      <c r="B2257">
        <v>70676</v>
      </c>
      <c r="C2257" t="s">
        <v>5877</v>
      </c>
      <c r="D2257">
        <v>8</v>
      </c>
      <c r="E2257">
        <v>8</v>
      </c>
      <c r="F2257">
        <v>1612</v>
      </c>
      <c r="G2257">
        <v>12898</v>
      </c>
      <c r="H2257">
        <v>108</v>
      </c>
      <c r="I2257">
        <v>14.9</v>
      </c>
      <c r="J2257">
        <v>0.88</v>
      </c>
      <c r="K2257">
        <v>11350.24</v>
      </c>
    </row>
    <row r="2258" spans="1:11" x14ac:dyDescent="0.2">
      <c r="A2258">
        <v>2638</v>
      </c>
      <c r="B2258">
        <v>70686</v>
      </c>
      <c r="C2258" t="s">
        <v>5878</v>
      </c>
      <c r="D2258">
        <v>6</v>
      </c>
      <c r="E2258">
        <v>4</v>
      </c>
      <c r="F2258">
        <v>715</v>
      </c>
      <c r="G2258">
        <v>2860</v>
      </c>
      <c r="H2258">
        <v>42</v>
      </c>
      <c r="I2258">
        <v>17</v>
      </c>
      <c r="J2258">
        <v>5.97</v>
      </c>
      <c r="K2258">
        <v>17074.2</v>
      </c>
    </row>
    <row r="2259" spans="1:11" x14ac:dyDescent="0.2">
      <c r="A2259">
        <v>71171</v>
      </c>
      <c r="B2259">
        <v>70691</v>
      </c>
      <c r="C2259" t="s">
        <v>5879</v>
      </c>
      <c r="D2259">
        <v>8</v>
      </c>
      <c r="E2259">
        <v>6</v>
      </c>
      <c r="F2259">
        <v>1639</v>
      </c>
      <c r="G2259">
        <v>9834</v>
      </c>
      <c r="H2259">
        <v>130</v>
      </c>
      <c r="I2259">
        <v>12.6</v>
      </c>
      <c r="J2259">
        <v>1.39</v>
      </c>
      <c r="K2259">
        <v>13669.26</v>
      </c>
    </row>
    <row r="2260" spans="1:11" x14ac:dyDescent="0.2">
      <c r="B2260">
        <v>70702</v>
      </c>
      <c r="C2260" t="s">
        <v>5880</v>
      </c>
      <c r="D2260">
        <v>11</v>
      </c>
      <c r="E2260">
        <v>14</v>
      </c>
      <c r="F2260">
        <v>2</v>
      </c>
      <c r="G2260">
        <v>28</v>
      </c>
      <c r="H2260">
        <v>63</v>
      </c>
      <c r="I2260">
        <v>0</v>
      </c>
      <c r="J2260">
        <v>2.99</v>
      </c>
      <c r="K2260">
        <v>83.72</v>
      </c>
    </row>
    <row r="2261" spans="1:11" x14ac:dyDescent="0.2">
      <c r="A2261">
        <v>73003</v>
      </c>
      <c r="B2261">
        <v>70724</v>
      </c>
      <c r="C2261" t="s">
        <v>5881</v>
      </c>
      <c r="D2261">
        <v>8</v>
      </c>
      <c r="E2261">
        <v>26</v>
      </c>
      <c r="F2261">
        <v>274</v>
      </c>
      <c r="G2261">
        <v>7127</v>
      </c>
      <c r="H2261">
        <v>364</v>
      </c>
      <c r="I2261">
        <v>0.8</v>
      </c>
      <c r="J2261">
        <v>0.99</v>
      </c>
      <c r="K2261">
        <v>7055.73</v>
      </c>
    </row>
    <row r="2262" spans="1:11" x14ac:dyDescent="0.2">
      <c r="A2262">
        <v>99506</v>
      </c>
      <c r="B2262">
        <v>70730</v>
      </c>
      <c r="C2262" t="s">
        <v>5882</v>
      </c>
      <c r="D2262">
        <v>10</v>
      </c>
      <c r="E2262">
        <v>12</v>
      </c>
      <c r="F2262">
        <v>0</v>
      </c>
      <c r="G2262">
        <v>0</v>
      </c>
      <c r="H2262">
        <v>54</v>
      </c>
      <c r="I2262">
        <v>0</v>
      </c>
      <c r="J2262">
        <v>3.29</v>
      </c>
      <c r="K2262">
        <v>0</v>
      </c>
    </row>
    <row r="2263" spans="1:11" x14ac:dyDescent="0.2">
      <c r="A2263">
        <v>66032</v>
      </c>
      <c r="B2263">
        <v>70752</v>
      </c>
      <c r="C2263" t="s">
        <v>5883</v>
      </c>
      <c r="D2263">
        <v>8</v>
      </c>
      <c r="E2263">
        <v>21</v>
      </c>
      <c r="F2263">
        <v>115</v>
      </c>
      <c r="G2263">
        <v>2410</v>
      </c>
      <c r="H2263">
        <v>247</v>
      </c>
      <c r="I2263">
        <v>0.5</v>
      </c>
      <c r="J2263">
        <v>0.62</v>
      </c>
      <c r="K2263">
        <v>1494.2</v>
      </c>
    </row>
    <row r="2264" spans="1:11" x14ac:dyDescent="0.2">
      <c r="A2264">
        <v>99004</v>
      </c>
      <c r="B2264">
        <v>70863</v>
      </c>
      <c r="C2264" t="s">
        <v>5884</v>
      </c>
      <c r="D2264">
        <v>10</v>
      </c>
      <c r="E2264">
        <v>12</v>
      </c>
      <c r="F2264">
        <v>0</v>
      </c>
      <c r="G2264">
        <v>0</v>
      </c>
      <c r="H2264">
        <v>72</v>
      </c>
      <c r="I2264">
        <v>0</v>
      </c>
      <c r="J2264">
        <v>1.29</v>
      </c>
      <c r="K2264">
        <v>0</v>
      </c>
    </row>
    <row r="2265" spans="1:11" x14ac:dyDescent="0.2">
      <c r="A2265">
        <v>73241</v>
      </c>
      <c r="B2265">
        <v>70905</v>
      </c>
      <c r="C2265" t="s">
        <v>5885</v>
      </c>
      <c r="D2265">
        <v>8</v>
      </c>
      <c r="E2265">
        <v>15</v>
      </c>
      <c r="F2265">
        <v>207</v>
      </c>
      <c r="G2265">
        <v>3105</v>
      </c>
      <c r="H2265">
        <v>90</v>
      </c>
      <c r="I2265">
        <v>2.2999999999999998</v>
      </c>
      <c r="J2265">
        <v>1.25</v>
      </c>
      <c r="K2265">
        <v>3881.25</v>
      </c>
    </row>
    <row r="2266" spans="1:11" x14ac:dyDescent="0.2">
      <c r="A2266">
        <v>46610</v>
      </c>
      <c r="B2266">
        <v>70923</v>
      </c>
      <c r="C2266" t="s">
        <v>5886</v>
      </c>
      <c r="D2266">
        <v>10</v>
      </c>
      <c r="E2266">
        <v>18</v>
      </c>
      <c r="F2266">
        <v>4</v>
      </c>
      <c r="G2266">
        <v>72</v>
      </c>
      <c r="H2266">
        <v>130</v>
      </c>
      <c r="I2266">
        <v>0</v>
      </c>
      <c r="J2266">
        <v>2.4900000000000002</v>
      </c>
      <c r="K2266">
        <v>179.28</v>
      </c>
    </row>
    <row r="2267" spans="1:11" x14ac:dyDescent="0.2">
      <c r="A2267">
        <v>65270</v>
      </c>
      <c r="B2267">
        <v>72092</v>
      </c>
      <c r="C2267" t="s">
        <v>5887</v>
      </c>
      <c r="D2267">
        <v>9</v>
      </c>
      <c r="E2267">
        <v>12</v>
      </c>
      <c r="F2267">
        <v>133</v>
      </c>
      <c r="G2267">
        <v>1596</v>
      </c>
      <c r="H2267">
        <v>150</v>
      </c>
      <c r="I2267">
        <v>0.9</v>
      </c>
      <c r="J2267">
        <v>0.89</v>
      </c>
      <c r="K2267">
        <v>1420.44</v>
      </c>
    </row>
    <row r="2268" spans="1:11" x14ac:dyDescent="0.2">
      <c r="A2268">
        <v>39803</v>
      </c>
      <c r="B2268">
        <v>72126</v>
      </c>
      <c r="C2268" t="s">
        <v>5888</v>
      </c>
      <c r="D2268">
        <v>10</v>
      </c>
      <c r="E2268">
        <v>1</v>
      </c>
      <c r="F2268">
        <v>196</v>
      </c>
      <c r="G2268">
        <v>196</v>
      </c>
      <c r="H2268">
        <v>56</v>
      </c>
      <c r="I2268">
        <v>3.5</v>
      </c>
      <c r="J2268">
        <v>4.99</v>
      </c>
      <c r="K2268">
        <v>978.04</v>
      </c>
    </row>
    <row r="2269" spans="1:11" x14ac:dyDescent="0.2">
      <c r="A2269">
        <v>99109</v>
      </c>
      <c r="B2269">
        <v>72137</v>
      </c>
      <c r="C2269" t="s">
        <v>5889</v>
      </c>
      <c r="D2269">
        <v>10</v>
      </c>
      <c r="E2269">
        <v>8</v>
      </c>
      <c r="F2269">
        <v>0</v>
      </c>
      <c r="G2269">
        <v>0</v>
      </c>
      <c r="H2269">
        <v>136</v>
      </c>
      <c r="I2269">
        <v>0</v>
      </c>
      <c r="J2269">
        <v>2.59</v>
      </c>
      <c r="K2269">
        <v>0</v>
      </c>
    </row>
    <row r="2270" spans="1:11" x14ac:dyDescent="0.2">
      <c r="A2270">
        <v>99086</v>
      </c>
      <c r="B2270">
        <v>72138</v>
      </c>
      <c r="C2270" t="s">
        <v>5890</v>
      </c>
      <c r="D2270">
        <v>10</v>
      </c>
      <c r="E2270">
        <v>8</v>
      </c>
      <c r="F2270">
        <v>0</v>
      </c>
      <c r="G2270">
        <v>0</v>
      </c>
      <c r="H2270">
        <v>152</v>
      </c>
      <c r="I2270">
        <v>0</v>
      </c>
      <c r="J2270">
        <v>2.59</v>
      </c>
      <c r="K2270">
        <v>0</v>
      </c>
    </row>
    <row r="2271" spans="1:11" x14ac:dyDescent="0.2">
      <c r="A2271">
        <v>66082</v>
      </c>
      <c r="B2271">
        <v>72154</v>
      </c>
      <c r="C2271" t="s">
        <v>5891</v>
      </c>
      <c r="D2271">
        <v>8</v>
      </c>
      <c r="E2271">
        <v>10</v>
      </c>
      <c r="F2271">
        <v>253</v>
      </c>
      <c r="G2271">
        <v>2533</v>
      </c>
      <c r="H2271">
        <v>60</v>
      </c>
      <c r="I2271">
        <v>4.2</v>
      </c>
      <c r="J2271">
        <v>1.99</v>
      </c>
      <c r="K2271">
        <v>5040.67</v>
      </c>
    </row>
    <row r="2272" spans="1:11" x14ac:dyDescent="0.2">
      <c r="A2272">
        <v>66076</v>
      </c>
      <c r="B2272">
        <v>72156</v>
      </c>
      <c r="C2272" t="s">
        <v>5892</v>
      </c>
      <c r="D2272">
        <v>8</v>
      </c>
      <c r="E2272">
        <v>16</v>
      </c>
      <c r="F2272">
        <v>293</v>
      </c>
      <c r="G2272">
        <v>4688</v>
      </c>
      <c r="H2272">
        <v>48</v>
      </c>
      <c r="I2272">
        <v>6.1</v>
      </c>
      <c r="J2272">
        <v>1.79</v>
      </c>
      <c r="K2272">
        <v>8391.52</v>
      </c>
    </row>
    <row r="2273" spans="1:11" x14ac:dyDescent="0.2">
      <c r="A2273">
        <v>71151</v>
      </c>
      <c r="B2273">
        <v>72181</v>
      </c>
      <c r="C2273" t="s">
        <v>5893</v>
      </c>
      <c r="D2273">
        <v>8</v>
      </c>
      <c r="E2273">
        <v>6</v>
      </c>
      <c r="F2273">
        <v>4358</v>
      </c>
      <c r="G2273">
        <v>26146</v>
      </c>
      <c r="H2273">
        <v>130</v>
      </c>
      <c r="I2273">
        <v>33.5</v>
      </c>
      <c r="J2273">
        <v>0.99</v>
      </c>
      <c r="K2273">
        <v>25884.54</v>
      </c>
    </row>
    <row r="2274" spans="1:11" x14ac:dyDescent="0.2">
      <c r="A2274">
        <v>95169</v>
      </c>
      <c r="B2274">
        <v>72203</v>
      </c>
      <c r="C2274" t="s">
        <v>5894</v>
      </c>
      <c r="D2274">
        <v>8</v>
      </c>
      <c r="E2274">
        <v>18</v>
      </c>
      <c r="F2274">
        <v>394</v>
      </c>
      <c r="G2274">
        <v>7092</v>
      </c>
      <c r="H2274">
        <v>16</v>
      </c>
      <c r="I2274">
        <v>24.6</v>
      </c>
      <c r="J2274">
        <v>1.99</v>
      </c>
      <c r="K2274">
        <v>14113.08</v>
      </c>
    </row>
    <row r="2275" spans="1:11" x14ac:dyDescent="0.2">
      <c r="A2275">
        <v>86068</v>
      </c>
      <c r="B2275">
        <v>72460</v>
      </c>
      <c r="C2275" t="s">
        <v>4306</v>
      </c>
      <c r="D2275">
        <v>10</v>
      </c>
      <c r="E2275">
        <v>16</v>
      </c>
      <c r="F2275">
        <v>0</v>
      </c>
      <c r="G2275">
        <v>0</v>
      </c>
      <c r="H2275">
        <v>60</v>
      </c>
      <c r="I2275">
        <v>0</v>
      </c>
      <c r="J2275">
        <v>3.99</v>
      </c>
      <c r="K2275">
        <v>0</v>
      </c>
    </row>
    <row r="2276" spans="1:11" x14ac:dyDescent="0.2">
      <c r="A2276">
        <v>95724</v>
      </c>
      <c r="B2276">
        <v>72504</v>
      </c>
      <c r="C2276" t="s">
        <v>5895</v>
      </c>
      <c r="D2276">
        <v>8</v>
      </c>
      <c r="E2276">
        <v>16</v>
      </c>
      <c r="F2276">
        <v>304</v>
      </c>
      <c r="G2276">
        <v>4858</v>
      </c>
      <c r="H2276">
        <v>84</v>
      </c>
      <c r="I2276">
        <v>3.6</v>
      </c>
      <c r="J2276">
        <v>0.99</v>
      </c>
      <c r="K2276">
        <v>4809.42</v>
      </c>
    </row>
    <row r="2277" spans="1:11" x14ac:dyDescent="0.2">
      <c r="A2277">
        <v>66030</v>
      </c>
      <c r="B2277">
        <v>72604</v>
      </c>
      <c r="C2277" t="s">
        <v>5883</v>
      </c>
      <c r="D2277">
        <v>8</v>
      </c>
      <c r="E2277">
        <v>14</v>
      </c>
      <c r="F2277">
        <v>358</v>
      </c>
      <c r="G2277">
        <v>5012</v>
      </c>
      <c r="H2277">
        <v>377</v>
      </c>
      <c r="I2277">
        <v>0.9</v>
      </c>
      <c r="J2277">
        <v>0.99</v>
      </c>
      <c r="K2277">
        <v>4961.88</v>
      </c>
    </row>
    <row r="2278" spans="1:11" x14ac:dyDescent="0.2">
      <c r="B2278">
        <v>72699</v>
      </c>
      <c r="C2278" t="s">
        <v>5896</v>
      </c>
      <c r="D2278">
        <v>11</v>
      </c>
      <c r="E2278">
        <v>1</v>
      </c>
      <c r="F2278">
        <v>25</v>
      </c>
      <c r="G2278">
        <v>25</v>
      </c>
      <c r="H2278">
        <v>104</v>
      </c>
      <c r="I2278">
        <v>0.2</v>
      </c>
      <c r="J2278">
        <v>2.99</v>
      </c>
      <c r="K2278">
        <v>74.75</v>
      </c>
    </row>
    <row r="2279" spans="1:11" x14ac:dyDescent="0.2">
      <c r="B2279">
        <v>72700</v>
      </c>
      <c r="C2279" t="s">
        <v>5897</v>
      </c>
      <c r="D2279">
        <v>11</v>
      </c>
      <c r="E2279">
        <v>1</v>
      </c>
      <c r="F2279">
        <v>16</v>
      </c>
      <c r="G2279">
        <v>16</v>
      </c>
      <c r="H2279">
        <v>832</v>
      </c>
      <c r="I2279">
        <v>0</v>
      </c>
      <c r="J2279">
        <v>2.4900000000000002</v>
      </c>
      <c r="K2279">
        <v>39.840000000000003</v>
      </c>
    </row>
    <row r="2280" spans="1:11" x14ac:dyDescent="0.2">
      <c r="A2280">
        <v>2639</v>
      </c>
      <c r="B2280">
        <v>72752</v>
      </c>
      <c r="C2280" t="s">
        <v>5898</v>
      </c>
      <c r="D2280">
        <v>6</v>
      </c>
      <c r="E2280">
        <v>25</v>
      </c>
      <c r="F2280">
        <v>2</v>
      </c>
      <c r="G2280">
        <v>50</v>
      </c>
      <c r="H2280">
        <v>64</v>
      </c>
      <c r="I2280">
        <v>0</v>
      </c>
      <c r="J2280">
        <v>3.7</v>
      </c>
      <c r="K2280">
        <v>185</v>
      </c>
    </row>
    <row r="2281" spans="1:11" x14ac:dyDescent="0.2">
      <c r="A2281">
        <v>2640</v>
      </c>
      <c r="B2281">
        <v>72757</v>
      </c>
      <c r="C2281" t="s">
        <v>5899</v>
      </c>
      <c r="D2281">
        <v>6</v>
      </c>
      <c r="E2281">
        <v>20</v>
      </c>
      <c r="F2281">
        <v>448</v>
      </c>
      <c r="G2281">
        <v>8960</v>
      </c>
      <c r="H2281">
        <v>64</v>
      </c>
      <c r="I2281">
        <v>7</v>
      </c>
      <c r="J2281">
        <v>0.95</v>
      </c>
      <c r="K2281">
        <v>8512</v>
      </c>
    </row>
    <row r="2282" spans="1:11" x14ac:dyDescent="0.2">
      <c r="A2282">
        <v>85168</v>
      </c>
      <c r="B2282">
        <v>72762</v>
      </c>
      <c r="C2282" t="s">
        <v>5900</v>
      </c>
      <c r="D2282">
        <v>9</v>
      </c>
      <c r="E2282">
        <v>6</v>
      </c>
      <c r="F2282">
        <v>108</v>
      </c>
      <c r="G2282">
        <v>648</v>
      </c>
      <c r="H2282">
        <v>195</v>
      </c>
      <c r="I2282">
        <v>0.6</v>
      </c>
      <c r="J2282">
        <v>1.99</v>
      </c>
      <c r="K2282">
        <v>1289.52</v>
      </c>
    </row>
    <row r="2283" spans="1:11" x14ac:dyDescent="0.2">
      <c r="A2283">
        <v>67239</v>
      </c>
      <c r="B2283">
        <v>72765</v>
      </c>
      <c r="C2283" t="s">
        <v>5901</v>
      </c>
      <c r="D2283">
        <v>8</v>
      </c>
      <c r="E2283">
        <v>8</v>
      </c>
      <c r="F2283">
        <v>1069</v>
      </c>
      <c r="G2283">
        <v>8550</v>
      </c>
      <c r="H2283">
        <v>80</v>
      </c>
      <c r="I2283">
        <v>13.4</v>
      </c>
      <c r="J2283">
        <v>1.0900000000000001</v>
      </c>
      <c r="K2283">
        <v>9319.5</v>
      </c>
    </row>
    <row r="2284" spans="1:11" x14ac:dyDescent="0.2">
      <c r="A2284">
        <v>52606</v>
      </c>
      <c r="B2284">
        <v>72794</v>
      </c>
      <c r="C2284" t="s">
        <v>5902</v>
      </c>
      <c r="D2284">
        <v>6</v>
      </c>
      <c r="E2284">
        <v>12</v>
      </c>
      <c r="F2284">
        <v>336</v>
      </c>
      <c r="G2284">
        <v>4032</v>
      </c>
      <c r="H2284">
        <v>24</v>
      </c>
      <c r="I2284">
        <v>14</v>
      </c>
      <c r="J2284">
        <v>1.99</v>
      </c>
      <c r="K2284">
        <v>8023.68</v>
      </c>
    </row>
    <row r="2285" spans="1:11" x14ac:dyDescent="0.2">
      <c r="A2285">
        <v>85113</v>
      </c>
      <c r="B2285">
        <v>72823</v>
      </c>
      <c r="C2285" t="s">
        <v>5903</v>
      </c>
      <c r="D2285">
        <v>10</v>
      </c>
      <c r="E2285">
        <v>6</v>
      </c>
      <c r="F2285">
        <v>0</v>
      </c>
      <c r="G2285">
        <v>0</v>
      </c>
      <c r="H2285">
        <v>78</v>
      </c>
      <c r="I2285">
        <v>0</v>
      </c>
      <c r="J2285">
        <v>6.29</v>
      </c>
      <c r="K2285">
        <v>0</v>
      </c>
    </row>
    <row r="2286" spans="1:11" x14ac:dyDescent="0.2">
      <c r="A2286">
        <v>80028</v>
      </c>
      <c r="B2286">
        <v>72837</v>
      </c>
      <c r="C2286" t="s">
        <v>5904</v>
      </c>
      <c r="D2286">
        <v>8</v>
      </c>
      <c r="E2286">
        <v>3</v>
      </c>
      <c r="F2286">
        <v>1328</v>
      </c>
      <c r="G2286">
        <v>3984</v>
      </c>
      <c r="H2286">
        <v>81</v>
      </c>
      <c r="I2286">
        <v>16.399999999999999</v>
      </c>
      <c r="J2286">
        <v>2.38</v>
      </c>
      <c r="K2286">
        <v>9481.92</v>
      </c>
    </row>
    <row r="2287" spans="1:11" x14ac:dyDescent="0.2">
      <c r="A2287">
        <v>81016</v>
      </c>
      <c r="B2287">
        <v>72851</v>
      </c>
      <c r="C2287" t="s">
        <v>5905</v>
      </c>
      <c r="D2287">
        <v>8</v>
      </c>
      <c r="E2287">
        <v>6</v>
      </c>
      <c r="F2287">
        <v>564</v>
      </c>
      <c r="G2287">
        <v>3384</v>
      </c>
      <c r="H2287">
        <v>273</v>
      </c>
      <c r="I2287">
        <v>2.1</v>
      </c>
      <c r="J2287">
        <v>0.89</v>
      </c>
      <c r="K2287">
        <v>3011.76</v>
      </c>
    </row>
    <row r="2288" spans="1:11" x14ac:dyDescent="0.2">
      <c r="A2288">
        <v>80098</v>
      </c>
      <c r="B2288">
        <v>72855</v>
      </c>
      <c r="C2288" t="s">
        <v>5906</v>
      </c>
      <c r="D2288">
        <v>8</v>
      </c>
      <c r="E2288">
        <v>4</v>
      </c>
      <c r="F2288">
        <v>778</v>
      </c>
      <c r="G2288">
        <v>3112</v>
      </c>
      <c r="H2288">
        <v>196</v>
      </c>
      <c r="I2288">
        <v>4</v>
      </c>
      <c r="J2288">
        <v>0.83</v>
      </c>
      <c r="K2288">
        <v>2582.96</v>
      </c>
    </row>
    <row r="2289" spans="1:11" x14ac:dyDescent="0.2">
      <c r="B2289">
        <v>72855</v>
      </c>
      <c r="C2289" t="s">
        <v>5906</v>
      </c>
      <c r="D2289">
        <v>12</v>
      </c>
      <c r="E2289">
        <v>6</v>
      </c>
      <c r="F2289">
        <v>0</v>
      </c>
      <c r="G2289">
        <v>0</v>
      </c>
      <c r="H2289">
        <v>126</v>
      </c>
      <c r="I2289">
        <v>0</v>
      </c>
      <c r="J2289">
        <v>0.83</v>
      </c>
      <c r="K2289">
        <v>0</v>
      </c>
    </row>
    <row r="2290" spans="1:11" x14ac:dyDescent="0.2">
      <c r="A2290">
        <v>1610</v>
      </c>
      <c r="B2290">
        <v>72859</v>
      </c>
      <c r="C2290" t="s">
        <v>5907</v>
      </c>
      <c r="D2290">
        <v>6</v>
      </c>
      <c r="E2290">
        <v>8</v>
      </c>
      <c r="F2290">
        <v>0</v>
      </c>
      <c r="G2290">
        <v>0</v>
      </c>
      <c r="H2290">
        <v>48</v>
      </c>
      <c r="I2290">
        <v>0</v>
      </c>
      <c r="J2290">
        <v>4.79</v>
      </c>
      <c r="K2290">
        <v>0</v>
      </c>
    </row>
    <row r="2291" spans="1:11" x14ac:dyDescent="0.2">
      <c r="B2291">
        <v>72879</v>
      </c>
      <c r="C2291" t="s">
        <v>5908</v>
      </c>
      <c r="D2291">
        <v>11</v>
      </c>
      <c r="E2291">
        <v>15</v>
      </c>
      <c r="F2291">
        <v>0</v>
      </c>
      <c r="G2291">
        <v>0</v>
      </c>
      <c r="H2291">
        <v>128</v>
      </c>
      <c r="I2291">
        <v>0</v>
      </c>
      <c r="J2291">
        <v>4.29</v>
      </c>
      <c r="K2291">
        <v>0</v>
      </c>
    </row>
    <row r="2292" spans="1:11" x14ac:dyDescent="0.2">
      <c r="A2292">
        <v>1514</v>
      </c>
      <c r="B2292">
        <v>73887</v>
      </c>
      <c r="C2292" t="s">
        <v>5909</v>
      </c>
      <c r="D2292">
        <v>6</v>
      </c>
      <c r="E2292">
        <v>8</v>
      </c>
      <c r="F2292">
        <v>0</v>
      </c>
      <c r="G2292">
        <v>0</v>
      </c>
      <c r="H2292">
        <v>100</v>
      </c>
      <c r="I2292">
        <v>0</v>
      </c>
      <c r="J2292">
        <v>3.99</v>
      </c>
      <c r="K2292">
        <v>0</v>
      </c>
    </row>
    <row r="2293" spans="1:11" x14ac:dyDescent="0.2">
      <c r="A2293">
        <v>99298</v>
      </c>
      <c r="B2293">
        <v>73925</v>
      </c>
      <c r="C2293" t="s">
        <v>5910</v>
      </c>
      <c r="D2293">
        <v>10</v>
      </c>
      <c r="E2293">
        <v>16</v>
      </c>
      <c r="F2293">
        <v>0</v>
      </c>
      <c r="G2293">
        <v>0</v>
      </c>
      <c r="H2293">
        <v>60</v>
      </c>
      <c r="I2293">
        <v>0</v>
      </c>
      <c r="J2293">
        <v>2.99</v>
      </c>
      <c r="K2293">
        <v>0</v>
      </c>
    </row>
    <row r="2294" spans="1:11" x14ac:dyDescent="0.2">
      <c r="B2294">
        <v>73974</v>
      </c>
      <c r="C2294" t="s">
        <v>5911</v>
      </c>
      <c r="D2294">
        <v>6</v>
      </c>
      <c r="E2294">
        <v>12</v>
      </c>
      <c r="F2294">
        <v>0</v>
      </c>
      <c r="G2294">
        <v>0</v>
      </c>
      <c r="H2294">
        <v>120</v>
      </c>
      <c r="I2294">
        <v>0</v>
      </c>
      <c r="J2294">
        <v>0.69</v>
      </c>
      <c r="K2294">
        <v>0</v>
      </c>
    </row>
    <row r="2295" spans="1:11" x14ac:dyDescent="0.2">
      <c r="A2295">
        <v>84201</v>
      </c>
      <c r="B2295">
        <v>73990</v>
      </c>
      <c r="C2295" t="s">
        <v>5912</v>
      </c>
      <c r="D2295">
        <v>8</v>
      </c>
      <c r="E2295">
        <v>6</v>
      </c>
      <c r="F2295">
        <v>224</v>
      </c>
      <c r="G2295">
        <v>1344</v>
      </c>
      <c r="H2295">
        <v>105</v>
      </c>
      <c r="I2295">
        <v>2.1</v>
      </c>
      <c r="J2295">
        <v>1.75</v>
      </c>
      <c r="K2295">
        <v>2352</v>
      </c>
    </row>
    <row r="2296" spans="1:11" x14ac:dyDescent="0.2">
      <c r="B2296">
        <v>74005</v>
      </c>
      <c r="C2296" t="s">
        <v>5913</v>
      </c>
      <c r="D2296">
        <v>11</v>
      </c>
      <c r="E2296">
        <v>20</v>
      </c>
      <c r="F2296">
        <v>0</v>
      </c>
      <c r="G2296">
        <v>0</v>
      </c>
      <c r="H2296">
        <v>147</v>
      </c>
      <c r="I2296">
        <v>0</v>
      </c>
      <c r="J2296">
        <v>4.29</v>
      </c>
      <c r="K2296">
        <v>0</v>
      </c>
    </row>
    <row r="2297" spans="1:11" x14ac:dyDescent="0.2">
      <c r="A2297">
        <v>57158</v>
      </c>
      <c r="B2297">
        <v>74035</v>
      </c>
      <c r="C2297" t="s">
        <v>5914</v>
      </c>
      <c r="D2297">
        <v>11</v>
      </c>
      <c r="E2297">
        <v>12</v>
      </c>
      <c r="F2297">
        <v>0</v>
      </c>
      <c r="G2297">
        <v>0</v>
      </c>
      <c r="H2297">
        <v>120</v>
      </c>
      <c r="I2297">
        <v>0</v>
      </c>
      <c r="J2297">
        <v>5.99</v>
      </c>
      <c r="K2297">
        <v>0</v>
      </c>
    </row>
    <row r="2298" spans="1:11" x14ac:dyDescent="0.2">
      <c r="A2298">
        <v>4636</v>
      </c>
      <c r="B2298">
        <v>74144</v>
      </c>
      <c r="C2298" t="s">
        <v>5915</v>
      </c>
      <c r="D2298">
        <v>6</v>
      </c>
      <c r="E2298">
        <v>20</v>
      </c>
      <c r="F2298">
        <v>0</v>
      </c>
      <c r="G2298">
        <v>0</v>
      </c>
      <c r="H2298">
        <v>96</v>
      </c>
      <c r="I2298">
        <v>0</v>
      </c>
      <c r="J2298">
        <v>1.35</v>
      </c>
      <c r="K2298">
        <v>0</v>
      </c>
    </row>
    <row r="2299" spans="1:11" x14ac:dyDescent="0.2">
      <c r="A2299">
        <v>91011</v>
      </c>
      <c r="B2299">
        <v>74255</v>
      </c>
      <c r="C2299" t="s">
        <v>5916</v>
      </c>
      <c r="D2299">
        <v>8</v>
      </c>
      <c r="E2299">
        <v>1</v>
      </c>
      <c r="F2299">
        <v>456</v>
      </c>
      <c r="G2299">
        <v>456</v>
      </c>
      <c r="H2299">
        <v>56</v>
      </c>
      <c r="I2299">
        <v>8.1</v>
      </c>
      <c r="J2299">
        <v>3.95</v>
      </c>
      <c r="K2299">
        <v>1801.2</v>
      </c>
    </row>
    <row r="2300" spans="1:11" x14ac:dyDescent="0.2">
      <c r="A2300">
        <v>72117</v>
      </c>
      <c r="B2300">
        <v>74321</v>
      </c>
      <c r="C2300" t="s">
        <v>5917</v>
      </c>
      <c r="D2300">
        <v>8</v>
      </c>
      <c r="E2300">
        <v>25</v>
      </c>
      <c r="F2300">
        <v>142</v>
      </c>
      <c r="G2300">
        <v>3550</v>
      </c>
      <c r="H2300">
        <v>32</v>
      </c>
      <c r="I2300">
        <v>4.4000000000000004</v>
      </c>
      <c r="J2300">
        <v>1.49</v>
      </c>
      <c r="K2300">
        <v>5289.5</v>
      </c>
    </row>
    <row r="2301" spans="1:11" x14ac:dyDescent="0.2">
      <c r="A2301">
        <v>61078</v>
      </c>
      <c r="B2301">
        <v>74337</v>
      </c>
      <c r="C2301" t="s">
        <v>5918</v>
      </c>
      <c r="D2301">
        <v>8</v>
      </c>
      <c r="E2301">
        <v>6</v>
      </c>
      <c r="F2301">
        <v>27</v>
      </c>
      <c r="G2301">
        <v>162</v>
      </c>
      <c r="H2301">
        <v>120</v>
      </c>
      <c r="I2301">
        <v>0.2</v>
      </c>
      <c r="J2301">
        <v>1.99</v>
      </c>
      <c r="K2301">
        <v>322.38</v>
      </c>
    </row>
    <row r="2302" spans="1:11" x14ac:dyDescent="0.2">
      <c r="A2302">
        <v>99602</v>
      </c>
      <c r="B2302">
        <v>74488</v>
      </c>
      <c r="C2302" t="s">
        <v>5919</v>
      </c>
      <c r="D2302">
        <v>10</v>
      </c>
      <c r="E2302">
        <v>10</v>
      </c>
      <c r="F2302">
        <v>0</v>
      </c>
      <c r="G2302">
        <v>0</v>
      </c>
      <c r="H2302">
        <v>175</v>
      </c>
      <c r="I2302">
        <v>0</v>
      </c>
      <c r="J2302">
        <v>2.39</v>
      </c>
      <c r="K2302">
        <v>0</v>
      </c>
    </row>
    <row r="2303" spans="1:11" x14ac:dyDescent="0.2">
      <c r="A2303">
        <v>67265</v>
      </c>
      <c r="B2303">
        <v>74496</v>
      </c>
      <c r="C2303" t="s">
        <v>5920</v>
      </c>
      <c r="D2303">
        <v>8</v>
      </c>
      <c r="E2303">
        <v>12</v>
      </c>
      <c r="F2303">
        <v>483</v>
      </c>
      <c r="G2303">
        <v>5796</v>
      </c>
      <c r="H2303">
        <v>156</v>
      </c>
      <c r="I2303">
        <v>3.1</v>
      </c>
      <c r="J2303">
        <v>2.39</v>
      </c>
      <c r="K2303">
        <v>13852.44</v>
      </c>
    </row>
    <row r="2304" spans="1:11" x14ac:dyDescent="0.2">
      <c r="A2304">
        <v>95140</v>
      </c>
      <c r="B2304">
        <v>74554</v>
      </c>
      <c r="C2304" t="s">
        <v>5921</v>
      </c>
      <c r="D2304">
        <v>8</v>
      </c>
      <c r="E2304">
        <v>6</v>
      </c>
      <c r="F2304">
        <v>6800</v>
      </c>
      <c r="G2304">
        <v>40800</v>
      </c>
      <c r="H2304">
        <v>100</v>
      </c>
      <c r="I2304">
        <v>68</v>
      </c>
      <c r="J2304">
        <v>0.89</v>
      </c>
      <c r="K2304">
        <v>36312</v>
      </c>
    </row>
    <row r="2305" spans="1:11" x14ac:dyDescent="0.2">
      <c r="A2305">
        <v>99144</v>
      </c>
      <c r="B2305">
        <v>74573</v>
      </c>
      <c r="C2305" t="s">
        <v>5922</v>
      </c>
      <c r="D2305">
        <v>10</v>
      </c>
      <c r="E2305">
        <v>8</v>
      </c>
      <c r="F2305">
        <v>0</v>
      </c>
      <c r="G2305">
        <v>0</v>
      </c>
      <c r="H2305">
        <v>90</v>
      </c>
      <c r="I2305">
        <v>0</v>
      </c>
      <c r="J2305">
        <v>1.69</v>
      </c>
      <c r="K2305">
        <v>0</v>
      </c>
    </row>
    <row r="2306" spans="1:11" x14ac:dyDescent="0.2">
      <c r="A2306">
        <v>4619</v>
      </c>
      <c r="B2306">
        <v>74675</v>
      </c>
      <c r="C2306" t="s">
        <v>5923</v>
      </c>
      <c r="D2306">
        <v>6</v>
      </c>
      <c r="E2306">
        <v>9</v>
      </c>
      <c r="F2306">
        <v>0</v>
      </c>
      <c r="G2306">
        <v>0</v>
      </c>
      <c r="H2306">
        <v>144</v>
      </c>
      <c r="I2306">
        <v>0</v>
      </c>
      <c r="J2306">
        <v>1.99</v>
      </c>
      <c r="K2306">
        <v>0</v>
      </c>
    </row>
    <row r="2307" spans="1:11" x14ac:dyDescent="0.2">
      <c r="A2307">
        <v>57526</v>
      </c>
      <c r="B2307">
        <v>74692</v>
      </c>
      <c r="C2307" t="s">
        <v>5924</v>
      </c>
      <c r="D2307">
        <v>6</v>
      </c>
      <c r="E2307">
        <v>12</v>
      </c>
      <c r="F2307">
        <v>0</v>
      </c>
      <c r="G2307">
        <v>0</v>
      </c>
      <c r="H2307">
        <v>64</v>
      </c>
      <c r="I2307">
        <v>0</v>
      </c>
      <c r="J2307">
        <v>2.09</v>
      </c>
      <c r="K2307">
        <v>0</v>
      </c>
    </row>
    <row r="2308" spans="1:11" x14ac:dyDescent="0.2">
      <c r="A2308">
        <v>65148</v>
      </c>
      <c r="B2308">
        <v>74696</v>
      </c>
      <c r="C2308" t="s">
        <v>5925</v>
      </c>
      <c r="D2308">
        <v>8</v>
      </c>
      <c r="E2308">
        <v>48</v>
      </c>
      <c r="F2308">
        <v>255</v>
      </c>
      <c r="G2308">
        <v>12240</v>
      </c>
      <c r="H2308">
        <v>72</v>
      </c>
      <c r="I2308">
        <v>3.5</v>
      </c>
      <c r="J2308">
        <v>1.45</v>
      </c>
      <c r="K2308">
        <v>17748</v>
      </c>
    </row>
    <row r="2309" spans="1:11" x14ac:dyDescent="0.2">
      <c r="A2309">
        <v>76202</v>
      </c>
      <c r="B2309">
        <v>74867</v>
      </c>
      <c r="C2309" t="s">
        <v>5926</v>
      </c>
      <c r="D2309">
        <v>8</v>
      </c>
      <c r="E2309">
        <v>12</v>
      </c>
      <c r="F2309">
        <v>169</v>
      </c>
      <c r="G2309">
        <v>2028</v>
      </c>
      <c r="H2309">
        <v>60</v>
      </c>
      <c r="I2309">
        <v>2.8</v>
      </c>
      <c r="J2309">
        <v>0.99</v>
      </c>
      <c r="K2309">
        <v>2007.72</v>
      </c>
    </row>
    <row r="2310" spans="1:11" x14ac:dyDescent="0.2">
      <c r="A2310">
        <v>57277</v>
      </c>
      <c r="B2310">
        <v>74868</v>
      </c>
      <c r="C2310" t="s">
        <v>5927</v>
      </c>
      <c r="D2310">
        <v>10</v>
      </c>
      <c r="E2310">
        <v>20</v>
      </c>
      <c r="F2310">
        <v>0</v>
      </c>
      <c r="G2310">
        <v>0</v>
      </c>
      <c r="H2310">
        <v>90</v>
      </c>
      <c r="I2310">
        <v>0</v>
      </c>
      <c r="J2310">
        <v>0.39</v>
      </c>
      <c r="K2310">
        <v>0</v>
      </c>
    </row>
    <row r="2311" spans="1:11" x14ac:dyDescent="0.2">
      <c r="A2311">
        <v>37512</v>
      </c>
      <c r="B2311">
        <v>74883</v>
      </c>
      <c r="C2311" t="s">
        <v>5928</v>
      </c>
      <c r="D2311">
        <v>10</v>
      </c>
      <c r="E2311">
        <v>6</v>
      </c>
      <c r="F2311">
        <v>0</v>
      </c>
      <c r="G2311">
        <v>0</v>
      </c>
      <c r="H2311">
        <v>160</v>
      </c>
      <c r="I2311">
        <v>0</v>
      </c>
      <c r="J2311">
        <v>1.99</v>
      </c>
      <c r="K2311">
        <v>0</v>
      </c>
    </row>
    <row r="2312" spans="1:11" x14ac:dyDescent="0.2">
      <c r="B2312">
        <v>74918</v>
      </c>
      <c r="C2312" t="s">
        <v>5929</v>
      </c>
      <c r="D2312">
        <v>11</v>
      </c>
      <c r="E2312">
        <v>8</v>
      </c>
      <c r="F2312">
        <v>0</v>
      </c>
      <c r="G2312">
        <v>0</v>
      </c>
      <c r="H2312">
        <v>72</v>
      </c>
      <c r="I2312">
        <v>0</v>
      </c>
      <c r="J2312">
        <v>1.84</v>
      </c>
      <c r="K2312">
        <v>0</v>
      </c>
    </row>
    <row r="2313" spans="1:11" x14ac:dyDescent="0.2">
      <c r="A2313">
        <v>95401</v>
      </c>
      <c r="B2313">
        <v>74978</v>
      </c>
      <c r="C2313" t="s">
        <v>5930</v>
      </c>
      <c r="D2313">
        <v>8</v>
      </c>
      <c r="E2313">
        <v>1</v>
      </c>
      <c r="F2313">
        <v>5520</v>
      </c>
      <c r="G2313">
        <v>5520</v>
      </c>
      <c r="H2313">
        <v>368</v>
      </c>
      <c r="I2313">
        <v>15</v>
      </c>
      <c r="J2313">
        <v>0.79</v>
      </c>
      <c r="K2313">
        <v>4360.8</v>
      </c>
    </row>
    <row r="2314" spans="1:11" x14ac:dyDescent="0.2">
      <c r="A2314">
        <v>57439</v>
      </c>
      <c r="B2314">
        <v>75027</v>
      </c>
      <c r="C2314" t="s">
        <v>5931</v>
      </c>
      <c r="D2314">
        <v>10</v>
      </c>
      <c r="E2314">
        <v>22</v>
      </c>
      <c r="F2314">
        <v>0</v>
      </c>
      <c r="G2314">
        <v>0</v>
      </c>
      <c r="H2314">
        <v>24</v>
      </c>
      <c r="I2314">
        <v>0</v>
      </c>
      <c r="J2314">
        <v>0.89</v>
      </c>
      <c r="K2314">
        <v>0</v>
      </c>
    </row>
    <row r="2315" spans="1:11" x14ac:dyDescent="0.2">
      <c r="A2315">
        <v>74120</v>
      </c>
      <c r="B2315">
        <v>75029</v>
      </c>
      <c r="C2315" t="s">
        <v>5932</v>
      </c>
      <c r="D2315">
        <v>8</v>
      </c>
      <c r="E2315">
        <v>6</v>
      </c>
      <c r="F2315">
        <v>566</v>
      </c>
      <c r="G2315">
        <v>3396</v>
      </c>
      <c r="H2315">
        <v>80</v>
      </c>
      <c r="I2315">
        <v>7.1</v>
      </c>
      <c r="J2315">
        <v>2.19</v>
      </c>
      <c r="K2315">
        <v>7437.24</v>
      </c>
    </row>
    <row r="2316" spans="1:11" x14ac:dyDescent="0.2">
      <c r="B2316">
        <v>75752</v>
      </c>
      <c r="C2316" t="s">
        <v>5933</v>
      </c>
      <c r="D2316">
        <v>6</v>
      </c>
      <c r="E2316">
        <v>12</v>
      </c>
      <c r="F2316">
        <v>0</v>
      </c>
      <c r="G2316">
        <v>0</v>
      </c>
      <c r="H2316">
        <v>72</v>
      </c>
      <c r="I2316">
        <v>0</v>
      </c>
      <c r="J2316">
        <v>9.99</v>
      </c>
      <c r="K2316">
        <v>0</v>
      </c>
    </row>
    <row r="2317" spans="1:11" x14ac:dyDescent="0.2">
      <c r="A2317">
        <v>57575</v>
      </c>
      <c r="B2317">
        <v>75851</v>
      </c>
      <c r="C2317" t="s">
        <v>5934</v>
      </c>
      <c r="D2317">
        <v>10</v>
      </c>
      <c r="E2317">
        <v>18</v>
      </c>
      <c r="F2317">
        <v>1</v>
      </c>
      <c r="G2317">
        <v>19</v>
      </c>
      <c r="H2317">
        <v>4</v>
      </c>
      <c r="I2317">
        <v>0.3</v>
      </c>
      <c r="J2317">
        <v>1</v>
      </c>
      <c r="K2317">
        <v>19</v>
      </c>
    </row>
    <row r="2318" spans="1:11" x14ac:dyDescent="0.2">
      <c r="A2318">
        <v>70157</v>
      </c>
      <c r="B2318">
        <v>76409</v>
      </c>
      <c r="C2318" t="s">
        <v>5935</v>
      </c>
      <c r="D2318">
        <v>8</v>
      </c>
      <c r="E2318">
        <v>12</v>
      </c>
      <c r="F2318">
        <v>164</v>
      </c>
      <c r="G2318">
        <v>1968</v>
      </c>
      <c r="H2318">
        <v>196</v>
      </c>
      <c r="I2318">
        <v>0.8</v>
      </c>
      <c r="J2318">
        <v>2.99</v>
      </c>
      <c r="K2318">
        <v>5884.32</v>
      </c>
    </row>
    <row r="2319" spans="1:11" x14ac:dyDescent="0.2">
      <c r="B2319">
        <v>76423</v>
      </c>
      <c r="C2319" t="s">
        <v>5936</v>
      </c>
      <c r="D2319">
        <v>11</v>
      </c>
      <c r="E2319">
        <v>16</v>
      </c>
      <c r="F2319">
        <v>0</v>
      </c>
      <c r="G2319">
        <v>0</v>
      </c>
      <c r="H2319">
        <v>175</v>
      </c>
      <c r="I2319">
        <v>0</v>
      </c>
      <c r="J2319">
        <v>1.25</v>
      </c>
      <c r="K2319">
        <v>0</v>
      </c>
    </row>
    <row r="2320" spans="1:11" x14ac:dyDescent="0.2">
      <c r="A2320">
        <v>99544</v>
      </c>
      <c r="B2320">
        <v>76518</v>
      </c>
      <c r="C2320" t="s">
        <v>5937</v>
      </c>
      <c r="D2320">
        <v>10</v>
      </c>
      <c r="E2320">
        <v>6</v>
      </c>
      <c r="F2320">
        <v>0</v>
      </c>
      <c r="G2320">
        <v>0</v>
      </c>
      <c r="H2320">
        <v>120</v>
      </c>
      <c r="I2320">
        <v>0</v>
      </c>
      <c r="J2320">
        <v>1.19</v>
      </c>
      <c r="K2320">
        <v>0</v>
      </c>
    </row>
    <row r="2321" spans="1:11" x14ac:dyDescent="0.2">
      <c r="A2321">
        <v>99585</v>
      </c>
      <c r="B2321">
        <v>76519</v>
      </c>
      <c r="C2321" t="s">
        <v>5938</v>
      </c>
      <c r="D2321">
        <v>10</v>
      </c>
      <c r="E2321">
        <v>6</v>
      </c>
      <c r="F2321">
        <v>0</v>
      </c>
      <c r="G2321">
        <v>0</v>
      </c>
      <c r="H2321">
        <v>120</v>
      </c>
      <c r="I2321">
        <v>0</v>
      </c>
      <c r="J2321">
        <v>1.19</v>
      </c>
      <c r="K2321">
        <v>0</v>
      </c>
    </row>
    <row r="2322" spans="1:11" x14ac:dyDescent="0.2">
      <c r="B2322">
        <v>76562</v>
      </c>
      <c r="C2322" t="s">
        <v>5939</v>
      </c>
      <c r="D2322">
        <v>11</v>
      </c>
      <c r="E2322">
        <v>12</v>
      </c>
      <c r="F2322">
        <v>0</v>
      </c>
      <c r="G2322">
        <v>0</v>
      </c>
      <c r="H2322">
        <v>72</v>
      </c>
      <c r="I2322">
        <v>0</v>
      </c>
      <c r="J2322">
        <v>1.89</v>
      </c>
      <c r="K2322">
        <v>0</v>
      </c>
    </row>
    <row r="2323" spans="1:11" x14ac:dyDescent="0.2">
      <c r="A2323">
        <v>4506</v>
      </c>
      <c r="B2323">
        <v>76876</v>
      </c>
      <c r="C2323" t="s">
        <v>5940</v>
      </c>
      <c r="D2323">
        <v>6</v>
      </c>
      <c r="E2323">
        <v>12</v>
      </c>
      <c r="F2323">
        <v>3</v>
      </c>
      <c r="G2323">
        <v>36</v>
      </c>
      <c r="H2323">
        <v>80</v>
      </c>
      <c r="I2323">
        <v>0</v>
      </c>
      <c r="J2323">
        <v>1.69</v>
      </c>
      <c r="K2323">
        <v>60.84</v>
      </c>
    </row>
    <row r="2324" spans="1:11" x14ac:dyDescent="0.2">
      <c r="A2324">
        <v>99033</v>
      </c>
      <c r="B2324">
        <v>76887</v>
      </c>
      <c r="C2324" t="s">
        <v>5941</v>
      </c>
      <c r="D2324">
        <v>10</v>
      </c>
      <c r="E2324">
        <v>10</v>
      </c>
      <c r="F2324">
        <v>0</v>
      </c>
      <c r="G2324">
        <v>0</v>
      </c>
      <c r="H2324">
        <v>42</v>
      </c>
      <c r="I2324">
        <v>0</v>
      </c>
      <c r="J2324">
        <v>3.99</v>
      </c>
      <c r="K2324">
        <v>0</v>
      </c>
    </row>
    <row r="2325" spans="1:11" x14ac:dyDescent="0.2">
      <c r="A2325">
        <v>88037</v>
      </c>
      <c r="B2325">
        <v>77098</v>
      </c>
      <c r="C2325" t="s">
        <v>5942</v>
      </c>
      <c r="D2325">
        <v>8</v>
      </c>
      <c r="E2325">
        <v>24</v>
      </c>
      <c r="F2325">
        <v>0</v>
      </c>
      <c r="G2325">
        <v>0</v>
      </c>
      <c r="H2325">
        <v>49</v>
      </c>
      <c r="I2325">
        <v>0</v>
      </c>
      <c r="J2325">
        <v>5.49</v>
      </c>
      <c r="K2325">
        <v>0</v>
      </c>
    </row>
    <row r="2326" spans="1:11" x14ac:dyDescent="0.2">
      <c r="A2326">
        <v>61074</v>
      </c>
      <c r="B2326">
        <v>77108</v>
      </c>
      <c r="C2326" t="s">
        <v>5943</v>
      </c>
      <c r="D2326">
        <v>8</v>
      </c>
      <c r="E2326">
        <v>6</v>
      </c>
      <c r="F2326">
        <v>165</v>
      </c>
      <c r="G2326">
        <v>990</v>
      </c>
      <c r="H2326">
        <v>100</v>
      </c>
      <c r="I2326">
        <v>1.7</v>
      </c>
      <c r="J2326">
        <v>1.99</v>
      </c>
      <c r="K2326">
        <v>1970.1</v>
      </c>
    </row>
    <row r="2327" spans="1:11" x14ac:dyDescent="0.2">
      <c r="A2327">
        <v>73012</v>
      </c>
      <c r="B2327">
        <v>77205</v>
      </c>
      <c r="C2327" t="s">
        <v>5944</v>
      </c>
      <c r="D2327">
        <v>8</v>
      </c>
      <c r="E2327">
        <v>45</v>
      </c>
      <c r="F2327">
        <v>150</v>
      </c>
      <c r="G2327">
        <v>6750</v>
      </c>
      <c r="H2327">
        <v>160</v>
      </c>
      <c r="I2327">
        <v>0.9</v>
      </c>
      <c r="J2327">
        <v>1.1499999999999999</v>
      </c>
      <c r="K2327">
        <v>7762.5</v>
      </c>
    </row>
    <row r="2328" spans="1:11" x14ac:dyDescent="0.2">
      <c r="A2328">
        <v>73021</v>
      </c>
      <c r="B2328">
        <v>77214</v>
      </c>
      <c r="C2328" t="s">
        <v>5945</v>
      </c>
      <c r="D2328">
        <v>7</v>
      </c>
      <c r="E2328">
        <v>32</v>
      </c>
      <c r="F2328">
        <v>163</v>
      </c>
      <c r="G2328">
        <v>5216</v>
      </c>
      <c r="H2328">
        <v>221</v>
      </c>
      <c r="I2328">
        <v>0.7</v>
      </c>
      <c r="J2328">
        <v>0.99</v>
      </c>
      <c r="K2328">
        <v>5163.84</v>
      </c>
    </row>
    <row r="2329" spans="1:11" x14ac:dyDescent="0.2">
      <c r="B2329">
        <v>77233</v>
      </c>
      <c r="C2329" t="s">
        <v>5946</v>
      </c>
      <c r="D2329">
        <v>11</v>
      </c>
      <c r="E2329">
        <v>12</v>
      </c>
      <c r="F2329">
        <v>0</v>
      </c>
      <c r="G2329">
        <v>0</v>
      </c>
      <c r="H2329">
        <v>312</v>
      </c>
      <c r="I2329">
        <v>0</v>
      </c>
      <c r="J2329">
        <v>1.99</v>
      </c>
      <c r="K2329">
        <v>0</v>
      </c>
    </row>
    <row r="2330" spans="1:11" x14ac:dyDescent="0.2">
      <c r="A2330">
        <v>67270</v>
      </c>
      <c r="B2330">
        <v>77234</v>
      </c>
      <c r="C2330" t="s">
        <v>5947</v>
      </c>
      <c r="D2330">
        <v>8</v>
      </c>
      <c r="E2330">
        <v>12</v>
      </c>
      <c r="F2330">
        <v>416</v>
      </c>
      <c r="G2330">
        <v>4992</v>
      </c>
      <c r="H2330">
        <v>64</v>
      </c>
      <c r="I2330">
        <v>6.5</v>
      </c>
      <c r="J2330">
        <v>3.79</v>
      </c>
      <c r="K2330">
        <v>18919.68</v>
      </c>
    </row>
    <row r="2331" spans="1:11" x14ac:dyDescent="0.2">
      <c r="B2331">
        <v>77337</v>
      </c>
      <c r="C2331" t="s">
        <v>5948</v>
      </c>
      <c r="D2331">
        <v>11</v>
      </c>
      <c r="E2331">
        <v>15</v>
      </c>
      <c r="F2331">
        <v>0</v>
      </c>
      <c r="G2331">
        <v>0</v>
      </c>
      <c r="H2331">
        <v>104</v>
      </c>
      <c r="I2331">
        <v>0</v>
      </c>
      <c r="J2331">
        <v>0.65</v>
      </c>
      <c r="K2331">
        <v>0</v>
      </c>
    </row>
    <row r="2332" spans="1:11" x14ac:dyDescent="0.2">
      <c r="A2332">
        <v>66151</v>
      </c>
      <c r="B2332">
        <v>77338</v>
      </c>
      <c r="C2332" t="s">
        <v>5949</v>
      </c>
      <c r="D2332">
        <v>8</v>
      </c>
      <c r="E2332">
        <v>16</v>
      </c>
      <c r="F2332">
        <v>900</v>
      </c>
      <c r="G2332">
        <v>14399</v>
      </c>
      <c r="H2332">
        <v>104</v>
      </c>
      <c r="I2332">
        <v>8.6999999999999993</v>
      </c>
      <c r="J2332">
        <v>0.65</v>
      </c>
      <c r="K2332">
        <v>9359.35</v>
      </c>
    </row>
    <row r="2333" spans="1:11" x14ac:dyDescent="0.2">
      <c r="A2333">
        <v>71259</v>
      </c>
      <c r="B2333">
        <v>77370</v>
      </c>
      <c r="C2333" t="s">
        <v>5950</v>
      </c>
      <c r="D2333">
        <v>9</v>
      </c>
      <c r="E2333">
        <v>1</v>
      </c>
      <c r="F2333">
        <v>1829</v>
      </c>
      <c r="G2333">
        <v>1829</v>
      </c>
      <c r="H2333">
        <v>322</v>
      </c>
      <c r="I2333">
        <v>5.7</v>
      </c>
      <c r="J2333">
        <v>2.29</v>
      </c>
      <c r="K2333">
        <v>4188.41</v>
      </c>
    </row>
    <row r="2334" spans="1:11" x14ac:dyDescent="0.2">
      <c r="A2334">
        <v>83050</v>
      </c>
      <c r="B2334">
        <v>77384</v>
      </c>
      <c r="C2334" t="s">
        <v>5951</v>
      </c>
      <c r="D2334">
        <v>8</v>
      </c>
      <c r="E2334">
        <v>12</v>
      </c>
      <c r="F2334">
        <v>244</v>
      </c>
      <c r="G2334">
        <v>2928</v>
      </c>
      <c r="H2334">
        <v>150</v>
      </c>
      <c r="I2334">
        <v>1.6</v>
      </c>
      <c r="J2334">
        <v>1.65</v>
      </c>
      <c r="K2334">
        <v>4831.2</v>
      </c>
    </row>
    <row r="2335" spans="1:11" x14ac:dyDescent="0.2">
      <c r="B2335">
        <v>77408</v>
      </c>
      <c r="C2335" t="s">
        <v>5952</v>
      </c>
      <c r="D2335">
        <v>11</v>
      </c>
      <c r="E2335">
        <v>16</v>
      </c>
      <c r="F2335">
        <v>0</v>
      </c>
      <c r="G2335">
        <v>0</v>
      </c>
      <c r="H2335">
        <v>153</v>
      </c>
      <c r="I2335">
        <v>0</v>
      </c>
      <c r="J2335">
        <v>1.29</v>
      </c>
      <c r="K2335">
        <v>0</v>
      </c>
    </row>
    <row r="2336" spans="1:11" x14ac:dyDescent="0.2">
      <c r="B2336">
        <v>77511</v>
      </c>
      <c r="C2336" t="s">
        <v>5953</v>
      </c>
      <c r="D2336">
        <v>11</v>
      </c>
      <c r="E2336">
        <v>12</v>
      </c>
      <c r="F2336">
        <v>0</v>
      </c>
      <c r="G2336">
        <v>0</v>
      </c>
      <c r="H2336">
        <v>16</v>
      </c>
      <c r="I2336">
        <v>0</v>
      </c>
      <c r="J2336">
        <v>3.99</v>
      </c>
      <c r="K2336">
        <v>0</v>
      </c>
    </row>
    <row r="2337" spans="1:11" x14ac:dyDescent="0.2">
      <c r="B2337">
        <v>77553</v>
      </c>
      <c r="C2337" t="s">
        <v>5954</v>
      </c>
      <c r="D2337">
        <v>11</v>
      </c>
      <c r="E2337">
        <v>12</v>
      </c>
      <c r="F2337">
        <v>-16</v>
      </c>
      <c r="G2337">
        <v>-192</v>
      </c>
      <c r="H2337">
        <v>16</v>
      </c>
      <c r="I2337">
        <v>-1</v>
      </c>
      <c r="J2337">
        <v>4.3899999999999997</v>
      </c>
      <c r="K2337">
        <v>-842.88</v>
      </c>
    </row>
    <row r="2338" spans="1:11" x14ac:dyDescent="0.2">
      <c r="B2338">
        <v>77569</v>
      </c>
      <c r="C2338" t="s">
        <v>5955</v>
      </c>
      <c r="D2338">
        <v>11</v>
      </c>
      <c r="E2338">
        <v>18</v>
      </c>
      <c r="F2338">
        <v>0</v>
      </c>
      <c r="G2338">
        <v>0</v>
      </c>
      <c r="H2338">
        <v>288</v>
      </c>
      <c r="I2338">
        <v>0</v>
      </c>
      <c r="J2338">
        <v>0.99</v>
      </c>
      <c r="K2338">
        <v>0</v>
      </c>
    </row>
    <row r="2339" spans="1:11" x14ac:dyDescent="0.2">
      <c r="A2339">
        <v>69063</v>
      </c>
      <c r="B2339">
        <v>77667</v>
      </c>
      <c r="C2339" t="s">
        <v>5956</v>
      </c>
      <c r="D2339">
        <v>8</v>
      </c>
      <c r="E2339">
        <v>24</v>
      </c>
      <c r="F2339">
        <v>1656</v>
      </c>
      <c r="G2339">
        <v>39749</v>
      </c>
      <c r="H2339">
        <v>96</v>
      </c>
      <c r="I2339">
        <v>17.3</v>
      </c>
      <c r="J2339">
        <v>1.79</v>
      </c>
      <c r="K2339">
        <v>71150.710000000006</v>
      </c>
    </row>
    <row r="2340" spans="1:11" x14ac:dyDescent="0.2">
      <c r="A2340">
        <v>74061</v>
      </c>
      <c r="B2340">
        <v>77702</v>
      </c>
      <c r="C2340" t="s">
        <v>5957</v>
      </c>
      <c r="D2340">
        <v>8</v>
      </c>
      <c r="E2340">
        <v>32</v>
      </c>
      <c r="F2340">
        <v>405</v>
      </c>
      <c r="G2340">
        <v>12958</v>
      </c>
      <c r="H2340">
        <v>56</v>
      </c>
      <c r="I2340">
        <v>7.2</v>
      </c>
      <c r="J2340">
        <v>0.98</v>
      </c>
      <c r="K2340">
        <v>12698.84</v>
      </c>
    </row>
    <row r="2341" spans="1:11" x14ac:dyDescent="0.2">
      <c r="A2341">
        <v>57014</v>
      </c>
      <c r="B2341">
        <v>77721</v>
      </c>
      <c r="C2341" t="s">
        <v>5958</v>
      </c>
      <c r="D2341">
        <v>11</v>
      </c>
      <c r="E2341">
        <v>1</v>
      </c>
      <c r="F2341">
        <v>0</v>
      </c>
      <c r="G2341">
        <v>0</v>
      </c>
      <c r="H2341">
        <v>150</v>
      </c>
      <c r="I2341">
        <v>0</v>
      </c>
      <c r="J2341">
        <v>2.5</v>
      </c>
      <c r="K2341">
        <v>0</v>
      </c>
    </row>
    <row r="2342" spans="1:11" x14ac:dyDescent="0.2">
      <c r="A2342">
        <v>93373</v>
      </c>
      <c r="B2342">
        <v>77724</v>
      </c>
      <c r="C2342" t="s">
        <v>5959</v>
      </c>
      <c r="D2342">
        <v>10</v>
      </c>
      <c r="E2342">
        <v>12</v>
      </c>
      <c r="F2342">
        <v>0</v>
      </c>
      <c r="G2342">
        <v>0</v>
      </c>
      <c r="H2342">
        <v>16</v>
      </c>
      <c r="I2342">
        <v>0</v>
      </c>
      <c r="J2342">
        <v>8.99</v>
      </c>
      <c r="K2342">
        <v>0</v>
      </c>
    </row>
    <row r="2343" spans="1:11" x14ac:dyDescent="0.2">
      <c r="A2343">
        <v>72050</v>
      </c>
      <c r="B2343">
        <v>77745</v>
      </c>
      <c r="C2343" t="s">
        <v>5960</v>
      </c>
      <c r="D2343">
        <v>8</v>
      </c>
      <c r="E2343">
        <v>12</v>
      </c>
      <c r="F2343">
        <v>382</v>
      </c>
      <c r="G2343">
        <v>4583</v>
      </c>
      <c r="H2343">
        <v>100</v>
      </c>
      <c r="I2343">
        <v>3.8</v>
      </c>
      <c r="J2343">
        <v>0.98</v>
      </c>
      <c r="K2343">
        <v>4491.34</v>
      </c>
    </row>
    <row r="2344" spans="1:11" x14ac:dyDescent="0.2">
      <c r="A2344">
        <v>76257</v>
      </c>
      <c r="B2344">
        <v>77746</v>
      </c>
      <c r="C2344" t="s">
        <v>5961</v>
      </c>
      <c r="D2344">
        <v>8</v>
      </c>
      <c r="E2344">
        <v>12</v>
      </c>
      <c r="F2344">
        <v>197</v>
      </c>
      <c r="G2344">
        <v>2364</v>
      </c>
      <c r="H2344">
        <v>32</v>
      </c>
      <c r="I2344">
        <v>6.2</v>
      </c>
      <c r="J2344">
        <v>1.64</v>
      </c>
      <c r="K2344">
        <v>3876.96</v>
      </c>
    </row>
    <row r="2345" spans="1:11" x14ac:dyDescent="0.2">
      <c r="A2345">
        <v>80208</v>
      </c>
      <c r="B2345">
        <v>77784</v>
      </c>
      <c r="C2345" t="s">
        <v>5962</v>
      </c>
      <c r="D2345">
        <v>8</v>
      </c>
      <c r="E2345">
        <v>8</v>
      </c>
      <c r="F2345">
        <v>295</v>
      </c>
      <c r="G2345">
        <v>2362</v>
      </c>
      <c r="H2345">
        <v>108</v>
      </c>
      <c r="I2345">
        <v>2.7</v>
      </c>
      <c r="J2345">
        <v>1.39</v>
      </c>
      <c r="K2345">
        <v>3283.18</v>
      </c>
    </row>
    <row r="2346" spans="1:11" x14ac:dyDescent="0.2">
      <c r="A2346">
        <v>57380</v>
      </c>
      <c r="B2346">
        <v>77799</v>
      </c>
      <c r="C2346" t="s">
        <v>5963</v>
      </c>
      <c r="D2346">
        <v>10</v>
      </c>
      <c r="E2346">
        <v>90</v>
      </c>
      <c r="F2346">
        <v>0</v>
      </c>
      <c r="G2346">
        <v>0</v>
      </c>
      <c r="H2346">
        <v>360</v>
      </c>
      <c r="I2346">
        <v>0</v>
      </c>
      <c r="J2346">
        <v>1.6</v>
      </c>
      <c r="K2346">
        <v>0</v>
      </c>
    </row>
    <row r="2347" spans="1:11" x14ac:dyDescent="0.2">
      <c r="A2347">
        <v>42508</v>
      </c>
      <c r="B2347">
        <v>77846</v>
      </c>
      <c r="C2347" t="s">
        <v>5964</v>
      </c>
      <c r="D2347">
        <v>10</v>
      </c>
      <c r="E2347">
        <v>12</v>
      </c>
      <c r="F2347">
        <v>3</v>
      </c>
      <c r="G2347">
        <v>36</v>
      </c>
      <c r="H2347">
        <v>120</v>
      </c>
      <c r="I2347">
        <v>0</v>
      </c>
      <c r="J2347">
        <v>1.39</v>
      </c>
      <c r="K2347">
        <v>50.04</v>
      </c>
    </row>
    <row r="2348" spans="1:11" x14ac:dyDescent="0.2">
      <c r="A2348">
        <v>42509</v>
      </c>
      <c r="B2348">
        <v>77850</v>
      </c>
      <c r="C2348" t="s">
        <v>5965</v>
      </c>
      <c r="D2348">
        <v>10</v>
      </c>
      <c r="E2348">
        <v>12</v>
      </c>
      <c r="F2348">
        <v>3</v>
      </c>
      <c r="G2348">
        <v>36</v>
      </c>
      <c r="H2348">
        <v>120</v>
      </c>
      <c r="I2348">
        <v>0</v>
      </c>
      <c r="J2348">
        <v>1.49</v>
      </c>
      <c r="K2348">
        <v>53.64</v>
      </c>
    </row>
    <row r="2349" spans="1:11" x14ac:dyDescent="0.2">
      <c r="A2349">
        <v>72063</v>
      </c>
      <c r="B2349">
        <v>77864</v>
      </c>
      <c r="C2349" t="s">
        <v>5229</v>
      </c>
      <c r="D2349">
        <v>8</v>
      </c>
      <c r="E2349">
        <v>40</v>
      </c>
      <c r="F2349">
        <v>231</v>
      </c>
      <c r="G2349">
        <v>9239</v>
      </c>
      <c r="H2349">
        <v>72</v>
      </c>
      <c r="I2349">
        <v>3.2</v>
      </c>
      <c r="J2349">
        <v>1.85</v>
      </c>
      <c r="K2349">
        <v>17092.150000000001</v>
      </c>
    </row>
    <row r="2350" spans="1:11" x14ac:dyDescent="0.2">
      <c r="A2350">
        <v>65008</v>
      </c>
      <c r="B2350">
        <v>77936</v>
      </c>
      <c r="C2350" t="s">
        <v>5966</v>
      </c>
      <c r="D2350">
        <v>8</v>
      </c>
      <c r="E2350">
        <v>12</v>
      </c>
      <c r="F2350">
        <v>370</v>
      </c>
      <c r="G2350">
        <v>4436</v>
      </c>
      <c r="H2350">
        <v>120</v>
      </c>
      <c r="I2350">
        <v>3.1</v>
      </c>
      <c r="J2350">
        <v>1.69</v>
      </c>
      <c r="K2350">
        <v>7496.84</v>
      </c>
    </row>
    <row r="2351" spans="1:11" x14ac:dyDescent="0.2">
      <c r="A2351">
        <v>85115</v>
      </c>
      <c r="B2351">
        <v>77956</v>
      </c>
      <c r="C2351" t="s">
        <v>4161</v>
      </c>
      <c r="D2351">
        <v>10</v>
      </c>
      <c r="E2351">
        <v>12</v>
      </c>
      <c r="F2351">
        <v>0</v>
      </c>
      <c r="G2351">
        <v>0</v>
      </c>
      <c r="H2351">
        <v>80</v>
      </c>
      <c r="I2351">
        <v>0</v>
      </c>
      <c r="J2351">
        <v>1.39</v>
      </c>
      <c r="K2351">
        <v>0</v>
      </c>
    </row>
    <row r="2352" spans="1:11" x14ac:dyDescent="0.2">
      <c r="A2352">
        <v>71263</v>
      </c>
      <c r="B2352">
        <v>78019</v>
      </c>
      <c r="C2352" t="s">
        <v>5967</v>
      </c>
      <c r="D2352">
        <v>8</v>
      </c>
      <c r="E2352">
        <v>1</v>
      </c>
      <c r="F2352">
        <v>11376</v>
      </c>
      <c r="G2352">
        <v>11376</v>
      </c>
      <c r="H2352">
        <v>234</v>
      </c>
      <c r="I2352">
        <v>48.6</v>
      </c>
      <c r="J2352">
        <v>2.99</v>
      </c>
      <c r="K2352">
        <v>34014.239999999998</v>
      </c>
    </row>
    <row r="2353" spans="1:12" x14ac:dyDescent="0.2">
      <c r="B2353">
        <v>78179</v>
      </c>
      <c r="C2353" t="s">
        <v>5213</v>
      </c>
      <c r="D2353">
        <v>11</v>
      </c>
      <c r="E2353">
        <v>10</v>
      </c>
      <c r="F2353">
        <v>0</v>
      </c>
      <c r="G2353">
        <v>0</v>
      </c>
      <c r="H2353">
        <v>88</v>
      </c>
      <c r="I2353">
        <v>0</v>
      </c>
      <c r="J2353">
        <v>1.49</v>
      </c>
      <c r="K2353">
        <v>0</v>
      </c>
    </row>
    <row r="2354" spans="1:12" x14ac:dyDescent="0.2">
      <c r="B2354">
        <v>78210</v>
      </c>
      <c r="C2354" t="s">
        <v>5968</v>
      </c>
      <c r="D2354">
        <v>11</v>
      </c>
      <c r="E2354">
        <v>12</v>
      </c>
      <c r="F2354">
        <v>0</v>
      </c>
      <c r="G2354">
        <v>0</v>
      </c>
      <c r="H2354">
        <v>54</v>
      </c>
      <c r="I2354">
        <v>0</v>
      </c>
      <c r="J2354">
        <v>3.19</v>
      </c>
      <c r="K2354">
        <v>0</v>
      </c>
    </row>
    <row r="2355" spans="1:12" x14ac:dyDescent="0.2">
      <c r="A2355">
        <v>93285</v>
      </c>
      <c r="B2355">
        <v>78211</v>
      </c>
      <c r="C2355" t="s">
        <v>5969</v>
      </c>
      <c r="D2355">
        <v>10</v>
      </c>
      <c r="E2355">
        <v>10</v>
      </c>
      <c r="F2355">
        <v>0</v>
      </c>
      <c r="G2355">
        <v>0</v>
      </c>
      <c r="H2355">
        <v>32</v>
      </c>
      <c r="I2355">
        <v>0</v>
      </c>
      <c r="J2355">
        <v>1.99</v>
      </c>
      <c r="K2355">
        <v>0</v>
      </c>
    </row>
    <row r="2356" spans="1:12" x14ac:dyDescent="0.2">
      <c r="A2356">
        <v>65239</v>
      </c>
      <c r="B2356">
        <v>79337</v>
      </c>
      <c r="C2356" t="s">
        <v>5970</v>
      </c>
      <c r="D2356">
        <v>8</v>
      </c>
      <c r="E2356">
        <v>12</v>
      </c>
      <c r="F2356">
        <v>1034</v>
      </c>
      <c r="G2356">
        <v>12404</v>
      </c>
      <c r="H2356">
        <v>126</v>
      </c>
      <c r="I2356">
        <v>8.1999999999999993</v>
      </c>
      <c r="J2356">
        <v>0.79</v>
      </c>
      <c r="K2356">
        <v>9799.16</v>
      </c>
    </row>
    <row r="2357" spans="1:12" x14ac:dyDescent="0.2">
      <c r="A2357">
        <v>57643</v>
      </c>
      <c r="B2357">
        <v>79792</v>
      </c>
      <c r="C2357" t="s">
        <v>5971</v>
      </c>
      <c r="D2357">
        <v>10</v>
      </c>
      <c r="E2357">
        <v>18</v>
      </c>
      <c r="F2357">
        <v>4</v>
      </c>
      <c r="G2357">
        <v>72</v>
      </c>
      <c r="H2357">
        <v>64</v>
      </c>
      <c r="I2357">
        <v>0.1</v>
      </c>
      <c r="J2357">
        <v>0.99</v>
      </c>
      <c r="K2357">
        <v>71.28</v>
      </c>
    </row>
    <row r="2358" spans="1:12" x14ac:dyDescent="0.2">
      <c r="B2358">
        <v>79800</v>
      </c>
      <c r="C2358" t="s">
        <v>5972</v>
      </c>
      <c r="D2358">
        <v>10</v>
      </c>
      <c r="E2358">
        <v>8</v>
      </c>
      <c r="F2358">
        <v>-41</v>
      </c>
      <c r="G2358">
        <v>-328</v>
      </c>
      <c r="H2358">
        <v>100</v>
      </c>
      <c r="I2358">
        <v>-0.4</v>
      </c>
      <c r="J2358">
        <v>0.99</v>
      </c>
      <c r="K2358">
        <v>-324.72000000000003</v>
      </c>
    </row>
    <row r="2359" spans="1:12" x14ac:dyDescent="0.2">
      <c r="B2359">
        <v>79860</v>
      </c>
      <c r="C2359" t="s">
        <v>5318</v>
      </c>
      <c r="D2359">
        <v>11</v>
      </c>
      <c r="E2359">
        <v>18</v>
      </c>
      <c r="F2359">
        <v>0</v>
      </c>
      <c r="G2359">
        <v>0</v>
      </c>
      <c r="H2359">
        <v>110</v>
      </c>
      <c r="I2359">
        <v>0</v>
      </c>
      <c r="J2359">
        <v>2.4900000000000002</v>
      </c>
      <c r="K2359">
        <v>0</v>
      </c>
    </row>
    <row r="2360" spans="1:12" x14ac:dyDescent="0.2">
      <c r="A2360">
        <v>88057</v>
      </c>
      <c r="B2360">
        <v>79862</v>
      </c>
      <c r="C2360" t="s">
        <v>5973</v>
      </c>
      <c r="D2360">
        <v>8</v>
      </c>
      <c r="E2360">
        <v>16</v>
      </c>
      <c r="F2360">
        <v>63</v>
      </c>
      <c r="G2360">
        <v>1008</v>
      </c>
      <c r="H2360">
        <v>63</v>
      </c>
      <c r="I2360">
        <v>1</v>
      </c>
      <c r="J2360">
        <v>1.59</v>
      </c>
      <c r="K2360">
        <v>1602.72</v>
      </c>
    </row>
    <row r="2361" spans="1:12" x14ac:dyDescent="0.2">
      <c r="A2361">
        <v>99073</v>
      </c>
      <c r="B2361">
        <v>79868</v>
      </c>
      <c r="C2361" t="s">
        <v>5974</v>
      </c>
      <c r="D2361">
        <v>10</v>
      </c>
      <c r="E2361">
        <v>12</v>
      </c>
      <c r="F2361">
        <v>0</v>
      </c>
      <c r="G2361">
        <v>0</v>
      </c>
      <c r="H2361">
        <v>63</v>
      </c>
      <c r="I2361">
        <v>0</v>
      </c>
      <c r="J2361">
        <v>2.4900000000000002</v>
      </c>
      <c r="K2361">
        <v>0</v>
      </c>
    </row>
    <row r="2362" spans="1:12" x14ac:dyDescent="0.2">
      <c r="A2362">
        <v>92980</v>
      </c>
      <c r="B2362">
        <v>79946</v>
      </c>
      <c r="C2362" t="s">
        <v>5975</v>
      </c>
      <c r="D2362">
        <v>7</v>
      </c>
      <c r="E2362">
        <v>12</v>
      </c>
      <c r="F2362">
        <v>2</v>
      </c>
      <c r="G2362">
        <v>24</v>
      </c>
      <c r="H2362">
        <v>32</v>
      </c>
      <c r="I2362">
        <v>0.1</v>
      </c>
      <c r="J2362">
        <v>1.99</v>
      </c>
      <c r="K2362">
        <v>47.76</v>
      </c>
    </row>
    <row r="2363" spans="1:12" x14ac:dyDescent="0.2">
      <c r="A2363">
        <v>92955</v>
      </c>
      <c r="B2363">
        <v>79960</v>
      </c>
      <c r="C2363" t="s">
        <v>5976</v>
      </c>
      <c r="D2363">
        <v>10</v>
      </c>
      <c r="E2363">
        <v>105</v>
      </c>
      <c r="F2363">
        <v>0</v>
      </c>
      <c r="G2363">
        <v>0</v>
      </c>
      <c r="H2363">
        <v>105</v>
      </c>
      <c r="I2363">
        <v>0</v>
      </c>
      <c r="J2363">
        <v>1.59</v>
      </c>
      <c r="K2363">
        <v>0</v>
      </c>
      <c r="L2363" t="s">
        <v>3699</v>
      </c>
    </row>
    <row r="2364" spans="1:12" x14ac:dyDescent="0.2">
      <c r="A2364">
        <v>92957</v>
      </c>
      <c r="B2364">
        <v>79961</v>
      </c>
      <c r="C2364" t="s">
        <v>5977</v>
      </c>
      <c r="D2364">
        <v>10</v>
      </c>
      <c r="E2364">
        <v>115</v>
      </c>
      <c r="F2364">
        <v>0</v>
      </c>
      <c r="G2364">
        <v>0</v>
      </c>
      <c r="H2364">
        <v>1</v>
      </c>
      <c r="I2364">
        <v>0</v>
      </c>
      <c r="J2364">
        <v>1.59</v>
      </c>
      <c r="K2364">
        <v>0</v>
      </c>
      <c r="L2364" t="s">
        <v>3699</v>
      </c>
    </row>
    <row r="2365" spans="1:12" x14ac:dyDescent="0.2">
      <c r="A2365">
        <v>92958</v>
      </c>
      <c r="B2365">
        <v>79962</v>
      </c>
      <c r="C2365" t="s">
        <v>5978</v>
      </c>
      <c r="D2365">
        <v>10</v>
      </c>
      <c r="E2365">
        <v>115</v>
      </c>
      <c r="F2365">
        <v>0</v>
      </c>
      <c r="G2365">
        <v>0</v>
      </c>
      <c r="H2365">
        <v>1</v>
      </c>
      <c r="I2365">
        <v>0</v>
      </c>
      <c r="J2365">
        <v>1.59</v>
      </c>
      <c r="K2365">
        <v>0</v>
      </c>
      <c r="L2365" t="s">
        <v>3699</v>
      </c>
    </row>
    <row r="2366" spans="1:12" x14ac:dyDescent="0.2">
      <c r="A2366">
        <v>92959</v>
      </c>
      <c r="B2366">
        <v>79963</v>
      </c>
      <c r="C2366" t="s">
        <v>5979</v>
      </c>
      <c r="D2366">
        <v>10</v>
      </c>
      <c r="E2366">
        <v>320</v>
      </c>
      <c r="F2366">
        <v>0</v>
      </c>
      <c r="G2366">
        <v>0</v>
      </c>
      <c r="H2366">
        <v>1</v>
      </c>
      <c r="I2366">
        <v>0</v>
      </c>
      <c r="J2366">
        <v>0.65</v>
      </c>
      <c r="K2366">
        <v>0</v>
      </c>
      <c r="L2366" t="s">
        <v>3699</v>
      </c>
    </row>
    <row r="2367" spans="1:12" x14ac:dyDescent="0.2">
      <c r="A2367">
        <v>92961</v>
      </c>
      <c r="B2367">
        <v>79964</v>
      </c>
      <c r="C2367" t="s">
        <v>5980</v>
      </c>
      <c r="D2367">
        <v>10</v>
      </c>
      <c r="E2367">
        <v>350</v>
      </c>
      <c r="F2367">
        <v>0</v>
      </c>
      <c r="G2367">
        <v>0</v>
      </c>
      <c r="H2367">
        <v>1</v>
      </c>
      <c r="I2367">
        <v>0</v>
      </c>
      <c r="J2367">
        <v>0.28999999999999998</v>
      </c>
      <c r="K2367">
        <v>0</v>
      </c>
      <c r="L2367" t="s">
        <v>3699</v>
      </c>
    </row>
    <row r="2368" spans="1:12" x14ac:dyDescent="0.2">
      <c r="A2368">
        <v>92962</v>
      </c>
      <c r="B2368">
        <v>79965</v>
      </c>
      <c r="C2368" t="s">
        <v>5981</v>
      </c>
      <c r="D2368">
        <v>10</v>
      </c>
      <c r="E2368">
        <v>65</v>
      </c>
      <c r="F2368">
        <v>0</v>
      </c>
      <c r="G2368">
        <v>0</v>
      </c>
      <c r="H2368">
        <v>1</v>
      </c>
      <c r="I2368">
        <v>0</v>
      </c>
      <c r="J2368">
        <v>1.59</v>
      </c>
      <c r="K2368">
        <v>0</v>
      </c>
      <c r="L2368" t="s">
        <v>3699</v>
      </c>
    </row>
    <row r="2369" spans="1:11" x14ac:dyDescent="0.2">
      <c r="B2369">
        <v>79971</v>
      </c>
      <c r="C2369" t="s">
        <v>5982</v>
      </c>
      <c r="D2369">
        <v>11</v>
      </c>
      <c r="E2369">
        <v>12</v>
      </c>
      <c r="F2369">
        <v>0</v>
      </c>
      <c r="G2369">
        <v>0</v>
      </c>
      <c r="H2369">
        <v>51</v>
      </c>
      <c r="I2369">
        <v>0</v>
      </c>
      <c r="J2369">
        <v>1.69</v>
      </c>
      <c r="K2369">
        <v>0</v>
      </c>
    </row>
    <row r="2370" spans="1:11" x14ac:dyDescent="0.2">
      <c r="A2370">
        <v>92028</v>
      </c>
      <c r="B2370">
        <v>80000</v>
      </c>
      <c r="C2370" t="s">
        <v>5983</v>
      </c>
      <c r="D2370">
        <v>10</v>
      </c>
      <c r="E2370">
        <v>1</v>
      </c>
      <c r="F2370">
        <v>16157</v>
      </c>
      <c r="G2370">
        <v>16157</v>
      </c>
      <c r="H2370">
        <v>24</v>
      </c>
      <c r="I2370">
        <v>673.2</v>
      </c>
      <c r="J2370">
        <v>1.19</v>
      </c>
      <c r="K2370">
        <v>19226.830000000002</v>
      </c>
    </row>
    <row r="2371" spans="1:11" x14ac:dyDescent="0.2">
      <c r="B2371">
        <v>80002</v>
      </c>
      <c r="C2371" t="s">
        <v>5984</v>
      </c>
      <c r="D2371">
        <v>12</v>
      </c>
      <c r="E2371">
        <v>1</v>
      </c>
      <c r="F2371">
        <v>0</v>
      </c>
      <c r="G2371">
        <v>0</v>
      </c>
      <c r="H2371">
        <v>100</v>
      </c>
      <c r="I2371">
        <v>0</v>
      </c>
      <c r="J2371">
        <v>1.29</v>
      </c>
      <c r="K2371">
        <v>0</v>
      </c>
    </row>
    <row r="2372" spans="1:11" x14ac:dyDescent="0.2">
      <c r="A2372">
        <v>92032</v>
      </c>
      <c r="B2372">
        <v>80017</v>
      </c>
      <c r="C2372" t="s">
        <v>5985</v>
      </c>
      <c r="D2372">
        <v>10</v>
      </c>
      <c r="E2372">
        <v>1</v>
      </c>
      <c r="F2372">
        <v>0</v>
      </c>
      <c r="G2372">
        <v>0</v>
      </c>
      <c r="H2372">
        <v>100</v>
      </c>
      <c r="I2372">
        <v>0</v>
      </c>
      <c r="J2372">
        <v>2.99</v>
      </c>
      <c r="K2372">
        <v>0</v>
      </c>
    </row>
    <row r="2373" spans="1:11" x14ac:dyDescent="0.2">
      <c r="B2373">
        <v>80039</v>
      </c>
      <c r="C2373" t="s">
        <v>5986</v>
      </c>
      <c r="D2373">
        <v>12</v>
      </c>
      <c r="E2373">
        <v>1</v>
      </c>
      <c r="F2373">
        <v>0</v>
      </c>
      <c r="G2373">
        <v>0</v>
      </c>
      <c r="H2373">
        <v>60</v>
      </c>
      <c r="I2373">
        <v>0</v>
      </c>
      <c r="J2373">
        <v>0.99</v>
      </c>
      <c r="K2373">
        <v>0</v>
      </c>
    </row>
    <row r="2374" spans="1:11" x14ac:dyDescent="0.2">
      <c r="A2374">
        <v>92041</v>
      </c>
      <c r="B2374">
        <v>80041</v>
      </c>
      <c r="C2374" t="s">
        <v>5987</v>
      </c>
      <c r="D2374">
        <v>9</v>
      </c>
      <c r="E2374">
        <v>1</v>
      </c>
      <c r="F2374">
        <v>517</v>
      </c>
      <c r="G2374">
        <v>517</v>
      </c>
      <c r="H2374">
        <v>80</v>
      </c>
      <c r="I2374">
        <v>6.5</v>
      </c>
      <c r="J2374">
        <v>0.79</v>
      </c>
      <c r="K2374">
        <v>408.43</v>
      </c>
    </row>
    <row r="2375" spans="1:11" x14ac:dyDescent="0.2">
      <c r="A2375">
        <v>92035</v>
      </c>
      <c r="B2375">
        <v>80056</v>
      </c>
      <c r="C2375" t="s">
        <v>5988</v>
      </c>
      <c r="D2375">
        <v>9</v>
      </c>
      <c r="E2375">
        <v>1</v>
      </c>
      <c r="F2375">
        <v>1528</v>
      </c>
      <c r="G2375">
        <v>1528</v>
      </c>
      <c r="H2375">
        <v>100</v>
      </c>
      <c r="I2375">
        <v>15.3</v>
      </c>
      <c r="J2375">
        <v>1.99</v>
      </c>
      <c r="K2375">
        <v>3040.72</v>
      </c>
    </row>
    <row r="2376" spans="1:11" x14ac:dyDescent="0.2">
      <c r="A2376">
        <v>92046</v>
      </c>
      <c r="B2376">
        <v>80064</v>
      </c>
      <c r="C2376" t="s">
        <v>5989</v>
      </c>
      <c r="D2376">
        <v>9</v>
      </c>
      <c r="E2376">
        <v>1</v>
      </c>
      <c r="F2376">
        <v>1221</v>
      </c>
      <c r="G2376">
        <v>1221</v>
      </c>
      <c r="H2376">
        <v>200</v>
      </c>
      <c r="I2376">
        <v>6.1</v>
      </c>
      <c r="J2376">
        <v>1.79</v>
      </c>
      <c r="K2376">
        <v>2185.59</v>
      </c>
    </row>
    <row r="2377" spans="1:11" x14ac:dyDescent="0.2">
      <c r="B2377">
        <v>80070</v>
      </c>
      <c r="C2377" t="s">
        <v>5990</v>
      </c>
      <c r="D2377">
        <v>12</v>
      </c>
      <c r="E2377">
        <v>1</v>
      </c>
      <c r="F2377">
        <v>0</v>
      </c>
      <c r="G2377">
        <v>0</v>
      </c>
      <c r="H2377">
        <v>100</v>
      </c>
      <c r="I2377">
        <v>0</v>
      </c>
      <c r="J2377">
        <v>2.4900000000000002</v>
      </c>
      <c r="K2377">
        <v>0</v>
      </c>
    </row>
    <row r="2378" spans="1:11" x14ac:dyDescent="0.2">
      <c r="A2378">
        <v>92024</v>
      </c>
      <c r="B2378">
        <v>80076</v>
      </c>
      <c r="C2378" t="s">
        <v>5991</v>
      </c>
      <c r="D2378">
        <v>12</v>
      </c>
      <c r="E2378">
        <v>1</v>
      </c>
      <c r="F2378">
        <v>0</v>
      </c>
      <c r="G2378">
        <v>0</v>
      </c>
      <c r="H2378">
        <v>100</v>
      </c>
      <c r="I2378">
        <v>0</v>
      </c>
      <c r="J2378">
        <v>3.79</v>
      </c>
      <c r="K2378">
        <v>0</v>
      </c>
    </row>
    <row r="2379" spans="1:11" x14ac:dyDescent="0.2">
      <c r="B2379">
        <v>80085</v>
      </c>
      <c r="C2379" t="s">
        <v>5992</v>
      </c>
      <c r="D2379">
        <v>12</v>
      </c>
      <c r="E2379">
        <v>1</v>
      </c>
      <c r="F2379">
        <v>94</v>
      </c>
      <c r="G2379">
        <v>94</v>
      </c>
      <c r="H2379">
        <v>100</v>
      </c>
      <c r="I2379">
        <v>0.9</v>
      </c>
      <c r="J2379">
        <v>2.99</v>
      </c>
      <c r="K2379">
        <v>281.06</v>
      </c>
    </row>
    <row r="2380" spans="1:11" x14ac:dyDescent="0.2">
      <c r="A2380">
        <v>92011</v>
      </c>
      <c r="B2380">
        <v>80088</v>
      </c>
      <c r="C2380" t="s">
        <v>5993</v>
      </c>
      <c r="D2380">
        <v>9</v>
      </c>
      <c r="E2380">
        <v>1</v>
      </c>
      <c r="F2380">
        <v>3320</v>
      </c>
      <c r="G2380">
        <v>3320</v>
      </c>
      <c r="H2380">
        <v>100</v>
      </c>
      <c r="I2380">
        <v>33.200000000000003</v>
      </c>
      <c r="J2380">
        <v>1.49</v>
      </c>
      <c r="K2380">
        <v>4946.8</v>
      </c>
    </row>
    <row r="2381" spans="1:11" x14ac:dyDescent="0.2">
      <c r="A2381">
        <v>92001</v>
      </c>
      <c r="B2381">
        <v>80092</v>
      </c>
      <c r="C2381" t="s">
        <v>5994</v>
      </c>
      <c r="D2381">
        <v>10</v>
      </c>
      <c r="E2381">
        <v>1</v>
      </c>
      <c r="F2381">
        <v>3790</v>
      </c>
      <c r="G2381">
        <v>3790</v>
      </c>
      <c r="H2381">
        <v>144</v>
      </c>
      <c r="I2381">
        <v>26.3</v>
      </c>
      <c r="J2381">
        <v>3.29</v>
      </c>
      <c r="K2381">
        <v>12469.1</v>
      </c>
    </row>
    <row r="2382" spans="1:11" x14ac:dyDescent="0.2">
      <c r="A2382">
        <v>92040</v>
      </c>
      <c r="B2382">
        <v>80095</v>
      </c>
      <c r="C2382" t="s">
        <v>5995</v>
      </c>
      <c r="D2382">
        <v>10</v>
      </c>
      <c r="E2382">
        <v>1</v>
      </c>
      <c r="F2382">
        <v>3774</v>
      </c>
      <c r="G2382">
        <v>3774</v>
      </c>
      <c r="H2382">
        <v>60</v>
      </c>
      <c r="I2382">
        <v>62.9</v>
      </c>
      <c r="J2382">
        <v>2.99</v>
      </c>
      <c r="K2382">
        <v>11284.26</v>
      </c>
    </row>
    <row r="2383" spans="1:11" x14ac:dyDescent="0.2">
      <c r="A2383">
        <v>92031</v>
      </c>
      <c r="B2383">
        <v>80096</v>
      </c>
      <c r="C2383" t="s">
        <v>5996</v>
      </c>
      <c r="D2383">
        <v>9</v>
      </c>
      <c r="E2383">
        <v>1</v>
      </c>
      <c r="F2383">
        <v>1752</v>
      </c>
      <c r="G2383">
        <v>1752</v>
      </c>
      <c r="H2383">
        <v>60</v>
      </c>
      <c r="I2383">
        <v>29.2</v>
      </c>
      <c r="J2383">
        <v>2.99</v>
      </c>
      <c r="K2383">
        <v>5238.4799999999996</v>
      </c>
    </row>
    <row r="2384" spans="1:11" x14ac:dyDescent="0.2">
      <c r="B2384">
        <v>80134</v>
      </c>
      <c r="C2384" t="s">
        <v>5997</v>
      </c>
      <c r="D2384">
        <v>12</v>
      </c>
      <c r="E2384">
        <v>1</v>
      </c>
      <c r="F2384">
        <v>0</v>
      </c>
      <c r="G2384">
        <v>0</v>
      </c>
      <c r="H2384">
        <v>100</v>
      </c>
      <c r="I2384">
        <v>0</v>
      </c>
      <c r="J2384">
        <v>1.79</v>
      </c>
      <c r="K2384">
        <v>0</v>
      </c>
    </row>
    <row r="2385" spans="1:11" x14ac:dyDescent="0.2">
      <c r="B2385">
        <v>80135</v>
      </c>
      <c r="C2385" t="s">
        <v>5998</v>
      </c>
      <c r="D2385">
        <v>12</v>
      </c>
      <c r="E2385">
        <v>1</v>
      </c>
      <c r="F2385">
        <v>0</v>
      </c>
      <c r="G2385">
        <v>0</v>
      </c>
      <c r="H2385">
        <v>100</v>
      </c>
      <c r="I2385">
        <v>0</v>
      </c>
      <c r="J2385">
        <v>2.69</v>
      </c>
      <c r="K2385">
        <v>0</v>
      </c>
    </row>
    <row r="2386" spans="1:11" x14ac:dyDescent="0.2">
      <c r="B2386">
        <v>80140</v>
      </c>
      <c r="C2386" t="s">
        <v>5999</v>
      </c>
      <c r="D2386">
        <v>12</v>
      </c>
      <c r="E2386">
        <v>1</v>
      </c>
      <c r="F2386">
        <v>0</v>
      </c>
      <c r="G2386">
        <v>0</v>
      </c>
      <c r="H2386">
        <v>100</v>
      </c>
      <c r="I2386">
        <v>0</v>
      </c>
      <c r="J2386">
        <v>2.4900000000000002</v>
      </c>
      <c r="K2386">
        <v>0</v>
      </c>
    </row>
    <row r="2387" spans="1:11" x14ac:dyDescent="0.2">
      <c r="A2387">
        <v>92036</v>
      </c>
      <c r="B2387">
        <v>80142</v>
      </c>
      <c r="C2387" t="s">
        <v>6000</v>
      </c>
      <c r="D2387">
        <v>10</v>
      </c>
      <c r="E2387">
        <v>1</v>
      </c>
      <c r="F2387">
        <v>1900</v>
      </c>
      <c r="G2387">
        <v>1900</v>
      </c>
      <c r="H2387">
        <v>56</v>
      </c>
      <c r="I2387">
        <v>33.9</v>
      </c>
      <c r="J2387">
        <v>1.69</v>
      </c>
      <c r="K2387">
        <v>3211</v>
      </c>
    </row>
    <row r="2388" spans="1:11" x14ac:dyDescent="0.2">
      <c r="B2388">
        <v>80143</v>
      </c>
      <c r="C2388" t="s">
        <v>6001</v>
      </c>
      <c r="D2388">
        <v>11</v>
      </c>
      <c r="E2388">
        <v>1</v>
      </c>
      <c r="F2388">
        <v>120</v>
      </c>
      <c r="G2388">
        <v>120</v>
      </c>
      <c r="H2388">
        <v>20</v>
      </c>
      <c r="I2388">
        <v>6</v>
      </c>
      <c r="J2388">
        <v>1.99</v>
      </c>
      <c r="K2388">
        <v>238.8</v>
      </c>
    </row>
    <row r="2389" spans="1:11" x14ac:dyDescent="0.2">
      <c r="B2389">
        <v>80154</v>
      </c>
      <c r="C2389" t="s">
        <v>6002</v>
      </c>
      <c r="D2389">
        <v>11</v>
      </c>
      <c r="E2389">
        <v>1</v>
      </c>
      <c r="F2389">
        <v>518</v>
      </c>
      <c r="G2389">
        <v>518</v>
      </c>
      <c r="H2389">
        <v>115</v>
      </c>
      <c r="I2389">
        <v>4.5</v>
      </c>
      <c r="J2389">
        <v>2.59</v>
      </c>
      <c r="K2389">
        <v>1341.62</v>
      </c>
    </row>
    <row r="2390" spans="1:11" x14ac:dyDescent="0.2">
      <c r="A2390">
        <v>92034</v>
      </c>
      <c r="B2390">
        <v>80157</v>
      </c>
      <c r="C2390" t="s">
        <v>6003</v>
      </c>
      <c r="D2390">
        <v>9</v>
      </c>
      <c r="E2390">
        <v>1</v>
      </c>
      <c r="F2390">
        <v>1030</v>
      </c>
      <c r="G2390">
        <v>1030</v>
      </c>
      <c r="H2390">
        <v>100</v>
      </c>
      <c r="I2390">
        <v>10.3</v>
      </c>
      <c r="J2390">
        <v>2.4900000000000002</v>
      </c>
      <c r="K2390">
        <v>2564.6999999999998</v>
      </c>
    </row>
    <row r="2391" spans="1:11" x14ac:dyDescent="0.2">
      <c r="B2391">
        <v>80158</v>
      </c>
      <c r="C2391" t="s">
        <v>6004</v>
      </c>
      <c r="D2391">
        <v>12</v>
      </c>
      <c r="E2391">
        <v>1</v>
      </c>
      <c r="F2391">
        <v>0</v>
      </c>
      <c r="G2391">
        <v>0</v>
      </c>
      <c r="H2391">
        <v>100</v>
      </c>
      <c r="I2391">
        <v>0</v>
      </c>
      <c r="J2391">
        <v>2.4900000000000002</v>
      </c>
      <c r="K2391">
        <v>0</v>
      </c>
    </row>
    <row r="2392" spans="1:11" x14ac:dyDescent="0.2">
      <c r="B2392">
        <v>80159</v>
      </c>
      <c r="C2392" t="s">
        <v>6005</v>
      </c>
      <c r="D2392">
        <v>12</v>
      </c>
      <c r="E2392">
        <v>1</v>
      </c>
      <c r="F2392">
        <v>0</v>
      </c>
      <c r="G2392">
        <v>0</v>
      </c>
      <c r="H2392">
        <v>100</v>
      </c>
      <c r="I2392">
        <v>0</v>
      </c>
      <c r="J2392">
        <v>2.99</v>
      </c>
      <c r="K2392">
        <v>0</v>
      </c>
    </row>
    <row r="2393" spans="1:11" x14ac:dyDescent="0.2">
      <c r="A2393">
        <v>92037</v>
      </c>
      <c r="B2393">
        <v>80170</v>
      </c>
      <c r="C2393" t="s">
        <v>6006</v>
      </c>
      <c r="D2393">
        <v>9</v>
      </c>
      <c r="E2393">
        <v>1</v>
      </c>
      <c r="F2393">
        <v>11520</v>
      </c>
      <c r="G2393">
        <v>11520</v>
      </c>
      <c r="H2393">
        <v>70</v>
      </c>
      <c r="I2393">
        <v>164.6</v>
      </c>
      <c r="J2393">
        <v>0.99</v>
      </c>
      <c r="K2393">
        <v>11404.8</v>
      </c>
    </row>
    <row r="2394" spans="1:11" x14ac:dyDescent="0.2">
      <c r="A2394">
        <v>92060</v>
      </c>
      <c r="B2394">
        <v>80172</v>
      </c>
      <c r="C2394" t="s">
        <v>6007</v>
      </c>
      <c r="D2394">
        <v>9</v>
      </c>
      <c r="E2394">
        <v>1</v>
      </c>
      <c r="F2394">
        <v>1960</v>
      </c>
      <c r="G2394">
        <v>1960</v>
      </c>
      <c r="H2394">
        <v>30</v>
      </c>
      <c r="I2394">
        <v>65.3</v>
      </c>
      <c r="J2394">
        <v>1.79</v>
      </c>
      <c r="K2394">
        <v>3508.4</v>
      </c>
    </row>
    <row r="2395" spans="1:11" x14ac:dyDescent="0.2">
      <c r="A2395">
        <v>92051</v>
      </c>
      <c r="B2395">
        <v>80185</v>
      </c>
      <c r="C2395" t="s">
        <v>6008</v>
      </c>
      <c r="D2395">
        <v>9</v>
      </c>
      <c r="E2395">
        <v>1</v>
      </c>
      <c r="F2395">
        <v>3190</v>
      </c>
      <c r="G2395">
        <v>3190</v>
      </c>
      <c r="H2395">
        <v>80</v>
      </c>
      <c r="I2395">
        <v>39.9</v>
      </c>
      <c r="J2395">
        <v>1.99</v>
      </c>
      <c r="K2395">
        <v>6348.1</v>
      </c>
    </row>
    <row r="2396" spans="1:11" x14ac:dyDescent="0.2">
      <c r="B2396">
        <v>80190</v>
      </c>
      <c r="C2396" t="s">
        <v>6009</v>
      </c>
      <c r="D2396">
        <v>12</v>
      </c>
      <c r="E2396">
        <v>1</v>
      </c>
      <c r="F2396">
        <v>0</v>
      </c>
      <c r="G2396">
        <v>0</v>
      </c>
      <c r="H2396">
        <v>52</v>
      </c>
      <c r="I2396">
        <v>0</v>
      </c>
      <c r="J2396">
        <v>1.49</v>
      </c>
      <c r="K2396">
        <v>0</v>
      </c>
    </row>
    <row r="2397" spans="1:11" x14ac:dyDescent="0.2">
      <c r="A2397">
        <v>92052</v>
      </c>
      <c r="B2397">
        <v>80192</v>
      </c>
      <c r="C2397" t="s">
        <v>6010</v>
      </c>
      <c r="D2397">
        <v>9</v>
      </c>
      <c r="E2397">
        <v>1</v>
      </c>
      <c r="F2397">
        <v>1818</v>
      </c>
      <c r="G2397">
        <v>1818</v>
      </c>
      <c r="H2397">
        <v>40</v>
      </c>
      <c r="I2397">
        <v>45.5</v>
      </c>
      <c r="J2397">
        <v>2.69</v>
      </c>
      <c r="K2397">
        <v>4890.42</v>
      </c>
    </row>
    <row r="2398" spans="1:11" x14ac:dyDescent="0.2">
      <c r="A2398">
        <v>92043</v>
      </c>
      <c r="B2398">
        <v>80195</v>
      </c>
      <c r="C2398" t="s">
        <v>6011</v>
      </c>
      <c r="D2398">
        <v>9</v>
      </c>
      <c r="E2398">
        <v>1</v>
      </c>
      <c r="F2398">
        <v>1300</v>
      </c>
      <c r="G2398">
        <v>1300</v>
      </c>
      <c r="H2398">
        <v>52</v>
      </c>
      <c r="I2398">
        <v>25</v>
      </c>
      <c r="J2398">
        <v>2.4900000000000002</v>
      </c>
      <c r="K2398">
        <v>3237</v>
      </c>
    </row>
    <row r="2399" spans="1:11" x14ac:dyDescent="0.2">
      <c r="A2399">
        <v>92045</v>
      </c>
      <c r="B2399">
        <v>80215</v>
      </c>
      <c r="C2399" t="s">
        <v>6012</v>
      </c>
      <c r="D2399">
        <v>9</v>
      </c>
      <c r="E2399">
        <v>1</v>
      </c>
      <c r="F2399">
        <v>1034</v>
      </c>
      <c r="G2399">
        <v>1034</v>
      </c>
      <c r="H2399">
        <v>52</v>
      </c>
      <c r="I2399">
        <v>19.899999999999999</v>
      </c>
      <c r="J2399">
        <v>2.4900000000000002</v>
      </c>
      <c r="K2399">
        <v>2574.66</v>
      </c>
    </row>
    <row r="2400" spans="1:11" x14ac:dyDescent="0.2">
      <c r="B2400">
        <v>80229</v>
      </c>
      <c r="C2400" t="s">
        <v>6013</v>
      </c>
      <c r="D2400">
        <v>12</v>
      </c>
      <c r="E2400">
        <v>1</v>
      </c>
      <c r="F2400">
        <v>0</v>
      </c>
      <c r="G2400">
        <v>0</v>
      </c>
      <c r="H2400">
        <v>100</v>
      </c>
      <c r="I2400">
        <v>0</v>
      </c>
      <c r="J2400">
        <v>2.99</v>
      </c>
      <c r="K2400">
        <v>0</v>
      </c>
    </row>
    <row r="2401" spans="1:11" x14ac:dyDescent="0.2">
      <c r="B2401">
        <v>80242</v>
      </c>
      <c r="C2401" t="s">
        <v>6014</v>
      </c>
      <c r="D2401">
        <v>12</v>
      </c>
      <c r="E2401">
        <v>1</v>
      </c>
      <c r="F2401">
        <v>0</v>
      </c>
      <c r="G2401">
        <v>0</v>
      </c>
      <c r="H2401">
        <v>52</v>
      </c>
      <c r="I2401">
        <v>0</v>
      </c>
      <c r="J2401">
        <v>2.4900000000000002</v>
      </c>
      <c r="K2401">
        <v>0</v>
      </c>
    </row>
    <row r="2402" spans="1:11" x14ac:dyDescent="0.2">
      <c r="A2402">
        <v>92057</v>
      </c>
      <c r="B2402">
        <v>80245</v>
      </c>
      <c r="C2402" t="s">
        <v>6015</v>
      </c>
      <c r="D2402">
        <v>9</v>
      </c>
      <c r="E2402">
        <v>1</v>
      </c>
      <c r="F2402">
        <v>1457</v>
      </c>
      <c r="G2402">
        <v>1457</v>
      </c>
      <c r="H2402">
        <v>80</v>
      </c>
      <c r="I2402">
        <v>18.2</v>
      </c>
      <c r="J2402">
        <v>1.99</v>
      </c>
      <c r="K2402">
        <v>2900.23</v>
      </c>
    </row>
    <row r="2403" spans="1:11" x14ac:dyDescent="0.2">
      <c r="B2403">
        <v>80247</v>
      </c>
      <c r="C2403" t="s">
        <v>6016</v>
      </c>
      <c r="D2403">
        <v>12</v>
      </c>
      <c r="E2403">
        <v>1</v>
      </c>
      <c r="F2403">
        <v>0</v>
      </c>
      <c r="G2403">
        <v>0</v>
      </c>
      <c r="H2403">
        <v>100</v>
      </c>
      <c r="I2403">
        <v>0</v>
      </c>
      <c r="J2403">
        <v>2.4900000000000002</v>
      </c>
      <c r="K2403">
        <v>0</v>
      </c>
    </row>
    <row r="2404" spans="1:11" x14ac:dyDescent="0.2">
      <c r="A2404">
        <v>92072</v>
      </c>
      <c r="B2404">
        <v>80251</v>
      </c>
      <c r="C2404" t="s">
        <v>6017</v>
      </c>
      <c r="D2404">
        <v>9</v>
      </c>
      <c r="E2404">
        <v>1</v>
      </c>
      <c r="F2404">
        <v>1634</v>
      </c>
      <c r="G2404">
        <v>1634</v>
      </c>
      <c r="H2404">
        <v>40</v>
      </c>
      <c r="I2404">
        <v>40.9</v>
      </c>
      <c r="J2404">
        <v>2.69</v>
      </c>
      <c r="K2404">
        <v>4395.46</v>
      </c>
    </row>
    <row r="2405" spans="1:11" x14ac:dyDescent="0.2">
      <c r="A2405">
        <v>92500</v>
      </c>
      <c r="B2405">
        <v>80252</v>
      </c>
      <c r="C2405" t="s">
        <v>6018</v>
      </c>
      <c r="D2405">
        <v>11</v>
      </c>
      <c r="E2405">
        <v>1</v>
      </c>
      <c r="F2405">
        <v>40</v>
      </c>
      <c r="G2405">
        <v>40</v>
      </c>
      <c r="H2405">
        <v>100</v>
      </c>
      <c r="I2405">
        <v>0.4</v>
      </c>
      <c r="J2405">
        <v>2.99</v>
      </c>
      <c r="K2405">
        <v>119.6</v>
      </c>
    </row>
    <row r="2406" spans="1:11" x14ac:dyDescent="0.2">
      <c r="A2406">
        <v>92059</v>
      </c>
      <c r="B2406">
        <v>80275</v>
      </c>
      <c r="C2406" t="s">
        <v>6019</v>
      </c>
      <c r="D2406">
        <v>9</v>
      </c>
      <c r="E2406">
        <v>1</v>
      </c>
      <c r="F2406">
        <v>2344</v>
      </c>
      <c r="G2406">
        <v>2344</v>
      </c>
      <c r="H2406">
        <v>80</v>
      </c>
      <c r="I2406">
        <v>29.3</v>
      </c>
      <c r="J2406">
        <v>1.99</v>
      </c>
      <c r="K2406">
        <v>4663.57</v>
      </c>
    </row>
    <row r="2407" spans="1:11" x14ac:dyDescent="0.2">
      <c r="A2407">
        <v>92056</v>
      </c>
      <c r="B2407">
        <v>80281</v>
      </c>
      <c r="C2407" t="s">
        <v>6020</v>
      </c>
      <c r="D2407">
        <v>9</v>
      </c>
      <c r="E2407">
        <v>1</v>
      </c>
      <c r="F2407">
        <v>2740</v>
      </c>
      <c r="G2407">
        <v>2740</v>
      </c>
      <c r="H2407">
        <v>56</v>
      </c>
      <c r="I2407">
        <v>48.9</v>
      </c>
      <c r="J2407">
        <v>1.79</v>
      </c>
      <c r="K2407">
        <v>4904.6000000000004</v>
      </c>
    </row>
    <row r="2408" spans="1:11" x14ac:dyDescent="0.2">
      <c r="B2408">
        <v>80302</v>
      </c>
      <c r="C2408" t="s">
        <v>6021</v>
      </c>
      <c r="D2408">
        <v>11</v>
      </c>
      <c r="E2408">
        <v>1</v>
      </c>
      <c r="F2408">
        <v>154</v>
      </c>
      <c r="G2408">
        <v>154</v>
      </c>
      <c r="H2408">
        <v>80</v>
      </c>
      <c r="I2408">
        <v>1.9</v>
      </c>
      <c r="J2408">
        <v>1.99</v>
      </c>
      <c r="K2408">
        <v>306.45999999999998</v>
      </c>
    </row>
    <row r="2409" spans="1:11" x14ac:dyDescent="0.2">
      <c r="B2409">
        <v>80340</v>
      </c>
      <c r="C2409" t="s">
        <v>6022</v>
      </c>
      <c r="D2409">
        <v>12</v>
      </c>
      <c r="E2409">
        <v>1</v>
      </c>
      <c r="F2409">
        <v>0</v>
      </c>
      <c r="G2409">
        <v>0</v>
      </c>
      <c r="H2409">
        <v>88</v>
      </c>
      <c r="I2409">
        <v>0</v>
      </c>
      <c r="J2409">
        <v>2.99</v>
      </c>
      <c r="K2409">
        <v>0</v>
      </c>
    </row>
    <row r="2410" spans="1:11" x14ac:dyDescent="0.2">
      <c r="B2410">
        <v>80343</v>
      </c>
      <c r="C2410" t="s">
        <v>6023</v>
      </c>
      <c r="D2410">
        <v>12</v>
      </c>
      <c r="E2410">
        <v>1</v>
      </c>
      <c r="F2410">
        <v>0</v>
      </c>
      <c r="G2410">
        <v>0</v>
      </c>
      <c r="H2410">
        <v>60</v>
      </c>
      <c r="I2410">
        <v>0</v>
      </c>
      <c r="J2410">
        <v>2.99</v>
      </c>
      <c r="K2410">
        <v>0</v>
      </c>
    </row>
    <row r="2411" spans="1:11" x14ac:dyDescent="0.2">
      <c r="B2411">
        <v>80345</v>
      </c>
      <c r="C2411" t="s">
        <v>6024</v>
      </c>
      <c r="D2411">
        <v>12</v>
      </c>
      <c r="E2411">
        <v>1</v>
      </c>
      <c r="F2411">
        <v>0</v>
      </c>
      <c r="G2411">
        <v>0</v>
      </c>
      <c r="H2411">
        <v>100</v>
      </c>
      <c r="I2411">
        <v>0</v>
      </c>
      <c r="J2411">
        <v>2.69</v>
      </c>
      <c r="K2411">
        <v>0</v>
      </c>
    </row>
    <row r="2412" spans="1:11" x14ac:dyDescent="0.2">
      <c r="B2412">
        <v>80346</v>
      </c>
      <c r="C2412" t="s">
        <v>6025</v>
      </c>
      <c r="D2412">
        <v>12</v>
      </c>
      <c r="E2412">
        <v>1</v>
      </c>
      <c r="F2412">
        <v>0</v>
      </c>
      <c r="G2412">
        <v>0</v>
      </c>
      <c r="H2412">
        <v>56</v>
      </c>
      <c r="I2412">
        <v>0</v>
      </c>
      <c r="J2412">
        <v>1.99</v>
      </c>
      <c r="K2412">
        <v>0</v>
      </c>
    </row>
    <row r="2413" spans="1:11" x14ac:dyDescent="0.2">
      <c r="B2413">
        <v>80347</v>
      </c>
      <c r="C2413" t="s">
        <v>6026</v>
      </c>
      <c r="D2413">
        <v>12</v>
      </c>
      <c r="E2413">
        <v>1</v>
      </c>
      <c r="F2413">
        <v>0</v>
      </c>
      <c r="G2413">
        <v>0</v>
      </c>
      <c r="H2413">
        <v>100</v>
      </c>
      <c r="I2413">
        <v>0</v>
      </c>
      <c r="J2413">
        <v>5.49</v>
      </c>
      <c r="K2413">
        <v>0</v>
      </c>
    </row>
    <row r="2414" spans="1:11" x14ac:dyDescent="0.2">
      <c r="B2414">
        <v>80355</v>
      </c>
      <c r="C2414" t="s">
        <v>6027</v>
      </c>
      <c r="D2414">
        <v>12</v>
      </c>
      <c r="E2414">
        <v>1</v>
      </c>
      <c r="F2414">
        <v>0</v>
      </c>
      <c r="G2414">
        <v>0</v>
      </c>
      <c r="H2414">
        <v>100</v>
      </c>
      <c r="I2414">
        <v>0</v>
      </c>
      <c r="J2414">
        <v>5.99</v>
      </c>
      <c r="K2414">
        <v>0</v>
      </c>
    </row>
    <row r="2415" spans="1:11" x14ac:dyDescent="0.2">
      <c r="B2415">
        <v>80363</v>
      </c>
      <c r="C2415" t="s">
        <v>6028</v>
      </c>
      <c r="D2415">
        <v>12</v>
      </c>
      <c r="E2415">
        <v>1</v>
      </c>
      <c r="F2415">
        <v>0</v>
      </c>
      <c r="G2415">
        <v>0</v>
      </c>
      <c r="H2415">
        <v>100</v>
      </c>
      <c r="I2415">
        <v>0</v>
      </c>
      <c r="J2415">
        <v>2.99</v>
      </c>
      <c r="K2415">
        <v>0</v>
      </c>
    </row>
    <row r="2416" spans="1:11" x14ac:dyDescent="0.2">
      <c r="B2416">
        <v>80375</v>
      </c>
      <c r="C2416" t="s">
        <v>6029</v>
      </c>
      <c r="D2416">
        <v>12</v>
      </c>
      <c r="E2416">
        <v>1</v>
      </c>
      <c r="F2416">
        <v>0</v>
      </c>
      <c r="G2416">
        <v>0</v>
      </c>
      <c r="H2416">
        <v>80</v>
      </c>
      <c r="I2416">
        <v>0</v>
      </c>
      <c r="J2416">
        <v>1.99</v>
      </c>
      <c r="K2416">
        <v>0</v>
      </c>
    </row>
    <row r="2417" spans="1:11" x14ac:dyDescent="0.2">
      <c r="B2417">
        <v>80385</v>
      </c>
      <c r="C2417" t="s">
        <v>6030</v>
      </c>
      <c r="D2417">
        <v>12</v>
      </c>
      <c r="E2417">
        <v>1</v>
      </c>
      <c r="F2417">
        <v>0</v>
      </c>
      <c r="G2417">
        <v>0</v>
      </c>
      <c r="H2417">
        <v>100</v>
      </c>
      <c r="I2417">
        <v>0</v>
      </c>
      <c r="J2417">
        <v>1.79</v>
      </c>
      <c r="K2417">
        <v>0</v>
      </c>
    </row>
    <row r="2418" spans="1:11" x14ac:dyDescent="0.2">
      <c r="B2418">
        <v>80395</v>
      </c>
      <c r="C2418" t="s">
        <v>6031</v>
      </c>
      <c r="D2418">
        <v>12</v>
      </c>
      <c r="E2418">
        <v>1</v>
      </c>
      <c r="F2418">
        <v>-25</v>
      </c>
      <c r="G2418">
        <v>-25</v>
      </c>
      <c r="H2418">
        <v>88</v>
      </c>
      <c r="I2418">
        <v>-0.3</v>
      </c>
      <c r="J2418">
        <v>2.99</v>
      </c>
      <c r="K2418">
        <v>-74.75</v>
      </c>
    </row>
    <row r="2419" spans="1:11" x14ac:dyDescent="0.2">
      <c r="B2419">
        <v>80400</v>
      </c>
      <c r="C2419" t="s">
        <v>6032</v>
      </c>
      <c r="D2419">
        <v>12</v>
      </c>
      <c r="E2419">
        <v>1</v>
      </c>
      <c r="F2419">
        <v>0</v>
      </c>
      <c r="G2419">
        <v>0</v>
      </c>
      <c r="H2419">
        <v>56</v>
      </c>
      <c r="I2419">
        <v>0</v>
      </c>
      <c r="J2419">
        <v>1.79</v>
      </c>
      <c r="K2419">
        <v>0</v>
      </c>
    </row>
    <row r="2420" spans="1:11" x14ac:dyDescent="0.2">
      <c r="B2420">
        <v>80403</v>
      </c>
      <c r="C2420" t="s">
        <v>6033</v>
      </c>
      <c r="D2420">
        <v>12</v>
      </c>
      <c r="E2420">
        <v>1</v>
      </c>
      <c r="F2420">
        <v>170</v>
      </c>
      <c r="G2420">
        <v>170</v>
      </c>
      <c r="H2420">
        <v>56</v>
      </c>
      <c r="I2420">
        <v>3</v>
      </c>
      <c r="J2420">
        <v>1.99</v>
      </c>
      <c r="K2420">
        <v>338.3</v>
      </c>
    </row>
    <row r="2421" spans="1:11" x14ac:dyDescent="0.2">
      <c r="B2421">
        <v>80410</v>
      </c>
      <c r="C2421" t="s">
        <v>6034</v>
      </c>
      <c r="D2421">
        <v>12</v>
      </c>
      <c r="E2421">
        <v>1</v>
      </c>
      <c r="F2421">
        <v>35</v>
      </c>
      <c r="G2421">
        <v>35</v>
      </c>
      <c r="H2421">
        <v>96</v>
      </c>
      <c r="I2421">
        <v>0.4</v>
      </c>
      <c r="J2421">
        <v>2.19</v>
      </c>
      <c r="K2421">
        <v>76.650000000000006</v>
      </c>
    </row>
    <row r="2422" spans="1:11" x14ac:dyDescent="0.2">
      <c r="B2422">
        <v>80430</v>
      </c>
      <c r="C2422" t="s">
        <v>6035</v>
      </c>
      <c r="D2422">
        <v>12</v>
      </c>
      <c r="E2422">
        <v>1</v>
      </c>
      <c r="F2422">
        <v>70</v>
      </c>
      <c r="G2422">
        <v>70</v>
      </c>
      <c r="H2422">
        <v>99</v>
      </c>
      <c r="I2422">
        <v>0.7</v>
      </c>
      <c r="J2422">
        <v>1.89</v>
      </c>
      <c r="K2422">
        <v>132.30000000000001</v>
      </c>
    </row>
    <row r="2423" spans="1:11" x14ac:dyDescent="0.2">
      <c r="B2423">
        <v>80445</v>
      </c>
      <c r="C2423" t="s">
        <v>6036</v>
      </c>
      <c r="D2423">
        <v>12</v>
      </c>
      <c r="E2423">
        <v>1</v>
      </c>
      <c r="F2423">
        <v>16</v>
      </c>
      <c r="G2423">
        <v>16</v>
      </c>
      <c r="H2423">
        <v>100</v>
      </c>
      <c r="I2423">
        <v>0.2</v>
      </c>
      <c r="J2423">
        <v>1.99</v>
      </c>
      <c r="K2423">
        <v>31.84</v>
      </c>
    </row>
    <row r="2424" spans="1:11" x14ac:dyDescent="0.2">
      <c r="B2424">
        <v>80446</v>
      </c>
      <c r="C2424" t="s">
        <v>6037</v>
      </c>
      <c r="D2424">
        <v>12</v>
      </c>
      <c r="E2424">
        <v>1</v>
      </c>
      <c r="F2424">
        <v>0</v>
      </c>
      <c r="G2424">
        <v>0</v>
      </c>
      <c r="H2424">
        <v>84</v>
      </c>
      <c r="I2424">
        <v>0</v>
      </c>
      <c r="J2424">
        <v>1.39</v>
      </c>
      <c r="K2424">
        <v>0</v>
      </c>
    </row>
    <row r="2425" spans="1:11" x14ac:dyDescent="0.2">
      <c r="B2425">
        <v>80451</v>
      </c>
      <c r="C2425" t="s">
        <v>6038</v>
      </c>
      <c r="D2425">
        <v>12</v>
      </c>
      <c r="E2425">
        <v>1</v>
      </c>
      <c r="F2425">
        <v>0</v>
      </c>
      <c r="G2425">
        <v>0</v>
      </c>
      <c r="H2425">
        <v>48</v>
      </c>
      <c r="I2425">
        <v>0</v>
      </c>
      <c r="J2425">
        <v>1.99</v>
      </c>
      <c r="K2425">
        <v>0</v>
      </c>
    </row>
    <row r="2426" spans="1:11" x14ac:dyDescent="0.2">
      <c r="B2426">
        <v>80455</v>
      </c>
      <c r="C2426" t="s">
        <v>6039</v>
      </c>
      <c r="D2426">
        <v>12</v>
      </c>
      <c r="E2426">
        <v>1</v>
      </c>
      <c r="F2426">
        <v>0</v>
      </c>
      <c r="G2426">
        <v>0</v>
      </c>
      <c r="H2426">
        <v>100</v>
      </c>
      <c r="I2426">
        <v>0</v>
      </c>
      <c r="J2426">
        <v>2.99</v>
      </c>
      <c r="K2426">
        <v>0</v>
      </c>
    </row>
    <row r="2427" spans="1:11" x14ac:dyDescent="0.2">
      <c r="B2427">
        <v>80465</v>
      </c>
      <c r="C2427" t="s">
        <v>6040</v>
      </c>
      <c r="D2427">
        <v>12</v>
      </c>
      <c r="E2427">
        <v>1</v>
      </c>
      <c r="F2427">
        <v>0</v>
      </c>
      <c r="G2427">
        <v>0</v>
      </c>
      <c r="H2427">
        <v>100</v>
      </c>
      <c r="I2427">
        <v>0</v>
      </c>
      <c r="J2427">
        <v>2.29</v>
      </c>
      <c r="K2427">
        <v>0</v>
      </c>
    </row>
    <row r="2428" spans="1:11" x14ac:dyDescent="0.2">
      <c r="B2428">
        <v>80470</v>
      </c>
      <c r="C2428" t="s">
        <v>6041</v>
      </c>
      <c r="D2428">
        <v>12</v>
      </c>
      <c r="E2428">
        <v>1</v>
      </c>
      <c r="F2428">
        <v>70</v>
      </c>
      <c r="G2428">
        <v>70</v>
      </c>
      <c r="H2428">
        <v>30</v>
      </c>
      <c r="I2428">
        <v>2.2999999999999998</v>
      </c>
      <c r="J2428">
        <v>2.59</v>
      </c>
      <c r="K2428">
        <v>181.3</v>
      </c>
    </row>
    <row r="2429" spans="1:11" x14ac:dyDescent="0.2">
      <c r="B2429">
        <v>80485</v>
      </c>
      <c r="C2429" t="s">
        <v>6042</v>
      </c>
      <c r="D2429">
        <v>12</v>
      </c>
      <c r="E2429">
        <v>1</v>
      </c>
      <c r="F2429">
        <v>0</v>
      </c>
      <c r="G2429">
        <v>0</v>
      </c>
      <c r="H2429">
        <v>100</v>
      </c>
      <c r="I2429">
        <v>0</v>
      </c>
      <c r="J2429">
        <v>2.4900000000000002</v>
      </c>
      <c r="K2429">
        <v>0</v>
      </c>
    </row>
    <row r="2430" spans="1:11" x14ac:dyDescent="0.2">
      <c r="A2430">
        <v>92061</v>
      </c>
      <c r="B2430">
        <v>80490</v>
      </c>
      <c r="C2430" t="s">
        <v>6043</v>
      </c>
      <c r="D2430">
        <v>9</v>
      </c>
      <c r="E2430">
        <v>1</v>
      </c>
      <c r="F2430">
        <v>23</v>
      </c>
      <c r="G2430">
        <v>23</v>
      </c>
      <c r="H2430">
        <v>40</v>
      </c>
      <c r="I2430">
        <v>0.6</v>
      </c>
      <c r="J2430">
        <v>2.99</v>
      </c>
      <c r="K2430">
        <v>68.77</v>
      </c>
    </row>
    <row r="2431" spans="1:11" x14ac:dyDescent="0.2">
      <c r="B2431">
        <v>80505</v>
      </c>
      <c r="C2431" t="s">
        <v>6044</v>
      </c>
      <c r="D2431">
        <v>12</v>
      </c>
      <c r="E2431">
        <v>1</v>
      </c>
      <c r="F2431">
        <v>0</v>
      </c>
      <c r="G2431">
        <v>0</v>
      </c>
      <c r="H2431">
        <v>100</v>
      </c>
      <c r="I2431">
        <v>0</v>
      </c>
      <c r="J2431">
        <v>1.99</v>
      </c>
      <c r="K2431">
        <v>0</v>
      </c>
    </row>
    <row r="2432" spans="1:11" x14ac:dyDescent="0.2">
      <c r="B2432">
        <v>80510</v>
      </c>
      <c r="C2432" t="s">
        <v>6045</v>
      </c>
      <c r="D2432">
        <v>12</v>
      </c>
      <c r="E2432">
        <v>1</v>
      </c>
      <c r="F2432">
        <v>137</v>
      </c>
      <c r="G2432">
        <v>137</v>
      </c>
      <c r="H2432">
        <v>72</v>
      </c>
      <c r="I2432">
        <v>1.9</v>
      </c>
      <c r="J2432">
        <v>1.99</v>
      </c>
      <c r="K2432">
        <v>272.64</v>
      </c>
    </row>
    <row r="2433" spans="1:12" x14ac:dyDescent="0.2">
      <c r="B2433">
        <v>80538</v>
      </c>
      <c r="C2433" t="s">
        <v>6046</v>
      </c>
      <c r="D2433">
        <v>12</v>
      </c>
      <c r="E2433">
        <v>1</v>
      </c>
      <c r="F2433">
        <v>0</v>
      </c>
      <c r="G2433">
        <v>0</v>
      </c>
      <c r="H2433">
        <v>36</v>
      </c>
      <c r="I2433">
        <v>0</v>
      </c>
      <c r="J2433">
        <v>2.4900000000000002</v>
      </c>
      <c r="K2433">
        <v>0</v>
      </c>
    </row>
    <row r="2434" spans="1:12" x14ac:dyDescent="0.2">
      <c r="A2434">
        <v>92053</v>
      </c>
      <c r="B2434">
        <v>80541</v>
      </c>
      <c r="C2434" t="s">
        <v>6047</v>
      </c>
      <c r="D2434">
        <v>10</v>
      </c>
      <c r="E2434">
        <v>1</v>
      </c>
      <c r="F2434">
        <v>162</v>
      </c>
      <c r="G2434">
        <v>162</v>
      </c>
      <c r="H2434">
        <v>24</v>
      </c>
      <c r="I2434">
        <v>6.8</v>
      </c>
      <c r="J2434">
        <v>2.99</v>
      </c>
      <c r="K2434">
        <v>484.38</v>
      </c>
    </row>
    <row r="2435" spans="1:12" x14ac:dyDescent="0.2">
      <c r="B2435">
        <v>80543</v>
      </c>
      <c r="C2435" t="s">
        <v>6048</v>
      </c>
      <c r="D2435">
        <v>12</v>
      </c>
      <c r="E2435">
        <v>1</v>
      </c>
      <c r="F2435">
        <v>0</v>
      </c>
      <c r="G2435">
        <v>0</v>
      </c>
      <c r="H2435">
        <v>144</v>
      </c>
      <c r="I2435">
        <v>0</v>
      </c>
      <c r="J2435">
        <v>3.29</v>
      </c>
      <c r="K2435">
        <v>0</v>
      </c>
    </row>
    <row r="2436" spans="1:12" x14ac:dyDescent="0.2">
      <c r="A2436">
        <v>92860</v>
      </c>
      <c r="B2436">
        <v>80545</v>
      </c>
      <c r="C2436" t="s">
        <v>6049</v>
      </c>
      <c r="D2436">
        <v>12</v>
      </c>
      <c r="E2436">
        <v>1</v>
      </c>
      <c r="F2436">
        <v>0</v>
      </c>
      <c r="G2436">
        <v>0</v>
      </c>
      <c r="H2436">
        <v>30</v>
      </c>
      <c r="I2436">
        <v>0</v>
      </c>
      <c r="J2436">
        <v>1.99</v>
      </c>
      <c r="K2436">
        <v>0</v>
      </c>
      <c r="L2436" t="s">
        <v>3699</v>
      </c>
    </row>
    <row r="2437" spans="1:12" x14ac:dyDescent="0.2">
      <c r="B2437">
        <v>80546</v>
      </c>
      <c r="C2437" t="s">
        <v>6049</v>
      </c>
      <c r="D2437">
        <v>12</v>
      </c>
      <c r="E2437">
        <v>1</v>
      </c>
      <c r="F2437">
        <v>0</v>
      </c>
      <c r="G2437">
        <v>0</v>
      </c>
      <c r="H2437">
        <v>56</v>
      </c>
      <c r="I2437">
        <v>0</v>
      </c>
      <c r="J2437">
        <v>1.69</v>
      </c>
      <c r="K2437">
        <v>0</v>
      </c>
    </row>
    <row r="2438" spans="1:12" x14ac:dyDescent="0.2">
      <c r="B2438">
        <v>80576</v>
      </c>
      <c r="C2438" t="s">
        <v>6050</v>
      </c>
      <c r="D2438">
        <v>12</v>
      </c>
      <c r="E2438">
        <v>1</v>
      </c>
      <c r="F2438">
        <v>48</v>
      </c>
      <c r="G2438">
        <v>48</v>
      </c>
      <c r="H2438">
        <v>100</v>
      </c>
      <c r="I2438">
        <v>0.5</v>
      </c>
      <c r="J2438">
        <v>3.49</v>
      </c>
      <c r="K2438">
        <v>167.52</v>
      </c>
    </row>
    <row r="2439" spans="1:12" x14ac:dyDescent="0.2">
      <c r="B2439">
        <v>80581</v>
      </c>
      <c r="C2439" t="s">
        <v>6051</v>
      </c>
      <c r="D2439">
        <v>12</v>
      </c>
      <c r="E2439">
        <v>1</v>
      </c>
      <c r="F2439">
        <v>0</v>
      </c>
      <c r="G2439">
        <v>0</v>
      </c>
      <c r="H2439">
        <v>52</v>
      </c>
      <c r="I2439">
        <v>0</v>
      </c>
      <c r="J2439">
        <v>2.69</v>
      </c>
      <c r="K2439">
        <v>0</v>
      </c>
    </row>
    <row r="2440" spans="1:12" x14ac:dyDescent="0.2">
      <c r="B2440">
        <v>80601</v>
      </c>
      <c r="C2440" t="s">
        <v>6052</v>
      </c>
      <c r="D2440">
        <v>9</v>
      </c>
      <c r="E2440">
        <v>1</v>
      </c>
      <c r="F2440">
        <v>16</v>
      </c>
      <c r="G2440">
        <v>16</v>
      </c>
      <c r="H2440">
        <v>100</v>
      </c>
      <c r="I2440">
        <v>0.2</v>
      </c>
      <c r="J2440">
        <v>1.99</v>
      </c>
      <c r="K2440">
        <v>31.84</v>
      </c>
    </row>
    <row r="2441" spans="1:12" x14ac:dyDescent="0.2">
      <c r="A2441">
        <v>92039</v>
      </c>
      <c r="B2441">
        <v>80611</v>
      </c>
      <c r="C2441" t="s">
        <v>6053</v>
      </c>
      <c r="D2441">
        <v>10</v>
      </c>
      <c r="E2441">
        <v>1</v>
      </c>
      <c r="F2441">
        <v>2581</v>
      </c>
      <c r="G2441">
        <v>2581</v>
      </c>
      <c r="H2441">
        <v>70</v>
      </c>
      <c r="I2441">
        <v>36.9</v>
      </c>
      <c r="J2441">
        <v>1.49</v>
      </c>
      <c r="K2441">
        <v>3845.69</v>
      </c>
    </row>
    <row r="2442" spans="1:12" x14ac:dyDescent="0.2">
      <c r="A2442">
        <v>92171</v>
      </c>
      <c r="B2442">
        <v>80616</v>
      </c>
      <c r="C2442" t="s">
        <v>6054</v>
      </c>
      <c r="D2442">
        <v>9</v>
      </c>
      <c r="E2442">
        <v>1</v>
      </c>
      <c r="F2442">
        <v>4412</v>
      </c>
      <c r="G2442">
        <v>4412</v>
      </c>
      <c r="H2442">
        <v>264</v>
      </c>
      <c r="I2442">
        <v>16.7</v>
      </c>
      <c r="J2442">
        <v>0.99</v>
      </c>
      <c r="K2442">
        <v>4367.88</v>
      </c>
    </row>
    <row r="2443" spans="1:12" x14ac:dyDescent="0.2">
      <c r="A2443">
        <v>92807</v>
      </c>
      <c r="B2443">
        <v>80619</v>
      </c>
      <c r="C2443" t="s">
        <v>6055</v>
      </c>
      <c r="D2443">
        <v>12</v>
      </c>
      <c r="E2443">
        <v>1</v>
      </c>
      <c r="F2443">
        <v>0</v>
      </c>
      <c r="G2443">
        <v>0</v>
      </c>
      <c r="H2443">
        <v>100</v>
      </c>
      <c r="I2443">
        <v>0</v>
      </c>
      <c r="J2443">
        <v>2.4900000000000002</v>
      </c>
      <c r="K2443">
        <v>0</v>
      </c>
    </row>
    <row r="2444" spans="1:12" x14ac:dyDescent="0.2">
      <c r="A2444">
        <v>92174</v>
      </c>
      <c r="B2444">
        <v>80620</v>
      </c>
      <c r="C2444" t="s">
        <v>6056</v>
      </c>
      <c r="D2444">
        <v>10</v>
      </c>
      <c r="E2444">
        <v>1</v>
      </c>
      <c r="F2444">
        <v>919</v>
      </c>
      <c r="G2444">
        <v>919</v>
      </c>
      <c r="H2444">
        <v>80</v>
      </c>
      <c r="I2444">
        <v>11.5</v>
      </c>
      <c r="J2444">
        <v>2.89</v>
      </c>
      <c r="K2444">
        <v>2655.91</v>
      </c>
    </row>
    <row r="2445" spans="1:12" x14ac:dyDescent="0.2">
      <c r="B2445">
        <v>80622</v>
      </c>
      <c r="C2445" t="s">
        <v>6057</v>
      </c>
      <c r="D2445">
        <v>12</v>
      </c>
      <c r="E2445">
        <v>1</v>
      </c>
      <c r="F2445">
        <v>84</v>
      </c>
      <c r="G2445">
        <v>84</v>
      </c>
      <c r="H2445">
        <v>100</v>
      </c>
      <c r="I2445">
        <v>0.8</v>
      </c>
      <c r="J2445">
        <v>1.49</v>
      </c>
      <c r="K2445">
        <v>125.16</v>
      </c>
    </row>
    <row r="2446" spans="1:12" x14ac:dyDescent="0.2">
      <c r="B2446">
        <v>80640</v>
      </c>
      <c r="C2446" t="s">
        <v>6058</v>
      </c>
      <c r="D2446">
        <v>12</v>
      </c>
      <c r="E2446">
        <v>1</v>
      </c>
      <c r="F2446">
        <v>20</v>
      </c>
      <c r="G2446">
        <v>20</v>
      </c>
      <c r="H2446">
        <v>100</v>
      </c>
      <c r="I2446">
        <v>0.2</v>
      </c>
      <c r="J2446">
        <v>2.4900000000000002</v>
      </c>
      <c r="K2446">
        <v>49.8</v>
      </c>
    </row>
    <row r="2447" spans="1:12" x14ac:dyDescent="0.2">
      <c r="A2447">
        <v>92047</v>
      </c>
      <c r="B2447">
        <v>80646</v>
      </c>
      <c r="C2447" t="s">
        <v>6059</v>
      </c>
      <c r="D2447">
        <v>10</v>
      </c>
      <c r="E2447">
        <v>1</v>
      </c>
      <c r="F2447">
        <v>3145</v>
      </c>
      <c r="G2447">
        <v>3145</v>
      </c>
      <c r="H2447">
        <v>100</v>
      </c>
      <c r="I2447">
        <v>31.5</v>
      </c>
      <c r="J2447">
        <v>1.49</v>
      </c>
      <c r="K2447">
        <v>4686.05</v>
      </c>
    </row>
    <row r="2448" spans="1:12" x14ac:dyDescent="0.2">
      <c r="A2448">
        <v>92066</v>
      </c>
      <c r="B2448">
        <v>80656</v>
      </c>
      <c r="C2448" t="s">
        <v>6060</v>
      </c>
      <c r="D2448">
        <v>9</v>
      </c>
      <c r="E2448">
        <v>1</v>
      </c>
      <c r="F2448">
        <v>10618</v>
      </c>
      <c r="G2448">
        <v>10618</v>
      </c>
      <c r="H2448">
        <v>80</v>
      </c>
      <c r="I2448">
        <v>132.69999999999999</v>
      </c>
      <c r="J2448">
        <v>0.49</v>
      </c>
      <c r="K2448">
        <v>5202.82</v>
      </c>
    </row>
    <row r="2449" spans="1:11" x14ac:dyDescent="0.2">
      <c r="A2449">
        <v>92102</v>
      </c>
      <c r="B2449">
        <v>80660</v>
      </c>
      <c r="C2449" t="s">
        <v>6061</v>
      </c>
      <c r="D2449">
        <v>9</v>
      </c>
      <c r="E2449">
        <v>1</v>
      </c>
      <c r="F2449">
        <v>2220</v>
      </c>
      <c r="G2449">
        <v>2220</v>
      </c>
      <c r="H2449">
        <v>100</v>
      </c>
      <c r="I2449">
        <v>22.2</v>
      </c>
      <c r="J2449">
        <v>1.99</v>
      </c>
      <c r="K2449">
        <v>4417.8</v>
      </c>
    </row>
    <row r="2450" spans="1:11" x14ac:dyDescent="0.2">
      <c r="A2450">
        <v>92050</v>
      </c>
      <c r="B2450">
        <v>80676</v>
      </c>
      <c r="C2450" t="s">
        <v>6062</v>
      </c>
      <c r="D2450">
        <v>9</v>
      </c>
      <c r="E2450">
        <v>1</v>
      </c>
      <c r="F2450">
        <v>12122</v>
      </c>
      <c r="G2450">
        <v>12122</v>
      </c>
      <c r="H2450">
        <v>145</v>
      </c>
      <c r="I2450">
        <v>83.6</v>
      </c>
      <c r="J2450">
        <v>0.49</v>
      </c>
      <c r="K2450">
        <v>5939.78</v>
      </c>
    </row>
    <row r="2451" spans="1:11" x14ac:dyDescent="0.2">
      <c r="A2451">
        <v>92054</v>
      </c>
      <c r="B2451">
        <v>80682</v>
      </c>
      <c r="C2451" t="s">
        <v>6063</v>
      </c>
      <c r="D2451">
        <v>9</v>
      </c>
      <c r="E2451">
        <v>1</v>
      </c>
      <c r="F2451">
        <v>1830</v>
      </c>
      <c r="G2451">
        <v>1830</v>
      </c>
      <c r="H2451">
        <v>100</v>
      </c>
      <c r="I2451">
        <v>18.3</v>
      </c>
      <c r="J2451">
        <v>2.99</v>
      </c>
      <c r="K2451">
        <v>5471.7</v>
      </c>
    </row>
    <row r="2452" spans="1:11" x14ac:dyDescent="0.2">
      <c r="B2452">
        <v>80683</v>
      </c>
      <c r="C2452" t="s">
        <v>6064</v>
      </c>
      <c r="D2452">
        <v>11</v>
      </c>
      <c r="E2452">
        <v>1</v>
      </c>
      <c r="F2452">
        <v>48</v>
      </c>
      <c r="G2452">
        <v>48</v>
      </c>
      <c r="H2452">
        <v>100</v>
      </c>
      <c r="I2452">
        <v>0.5</v>
      </c>
      <c r="J2452">
        <v>2.99</v>
      </c>
      <c r="K2452">
        <v>143.52000000000001</v>
      </c>
    </row>
    <row r="2453" spans="1:11" x14ac:dyDescent="0.2">
      <c r="B2453">
        <v>80690</v>
      </c>
      <c r="C2453" t="s">
        <v>6065</v>
      </c>
      <c r="D2453">
        <v>12</v>
      </c>
      <c r="E2453">
        <v>1</v>
      </c>
      <c r="F2453">
        <v>32</v>
      </c>
      <c r="G2453">
        <v>32</v>
      </c>
      <c r="H2453">
        <v>100</v>
      </c>
      <c r="I2453">
        <v>0.3</v>
      </c>
      <c r="J2453">
        <v>1.99</v>
      </c>
      <c r="K2453">
        <v>63.68</v>
      </c>
    </row>
    <row r="2454" spans="1:11" x14ac:dyDescent="0.2">
      <c r="A2454">
        <v>92903</v>
      </c>
      <c r="B2454">
        <v>80696</v>
      </c>
      <c r="C2454" t="s">
        <v>6066</v>
      </c>
      <c r="D2454">
        <v>10</v>
      </c>
      <c r="E2454">
        <v>1</v>
      </c>
      <c r="F2454">
        <v>3112</v>
      </c>
      <c r="G2454">
        <v>3112</v>
      </c>
      <c r="H2454">
        <v>100</v>
      </c>
      <c r="I2454">
        <v>31.1</v>
      </c>
      <c r="J2454">
        <v>0.99</v>
      </c>
      <c r="K2454">
        <v>3080.88</v>
      </c>
    </row>
    <row r="2455" spans="1:11" x14ac:dyDescent="0.2">
      <c r="A2455">
        <v>92219</v>
      </c>
      <c r="B2455">
        <v>80700</v>
      </c>
      <c r="C2455" t="s">
        <v>6067</v>
      </c>
      <c r="D2455">
        <v>10</v>
      </c>
      <c r="E2455">
        <v>1</v>
      </c>
      <c r="F2455">
        <v>2728</v>
      </c>
      <c r="G2455">
        <v>2728</v>
      </c>
      <c r="H2455">
        <v>100</v>
      </c>
      <c r="I2455">
        <v>27.3</v>
      </c>
      <c r="J2455">
        <v>3.19</v>
      </c>
      <c r="K2455">
        <v>8700.73</v>
      </c>
    </row>
    <row r="2456" spans="1:11" x14ac:dyDescent="0.2">
      <c r="A2456">
        <v>92003</v>
      </c>
      <c r="B2456">
        <v>80711</v>
      </c>
      <c r="C2456" t="s">
        <v>6068</v>
      </c>
      <c r="D2456">
        <v>10</v>
      </c>
      <c r="E2456">
        <v>1</v>
      </c>
      <c r="F2456">
        <v>3440</v>
      </c>
      <c r="G2456">
        <v>3440</v>
      </c>
      <c r="H2456">
        <v>252</v>
      </c>
      <c r="I2456">
        <v>13.7</v>
      </c>
      <c r="J2456">
        <v>1.49</v>
      </c>
      <c r="K2456">
        <v>5125.6000000000004</v>
      </c>
    </row>
    <row r="2457" spans="1:11" x14ac:dyDescent="0.2">
      <c r="A2457">
        <v>92030</v>
      </c>
      <c r="B2457">
        <v>80714</v>
      </c>
      <c r="C2457" t="s">
        <v>6069</v>
      </c>
      <c r="D2457">
        <v>10</v>
      </c>
      <c r="E2457">
        <v>1</v>
      </c>
      <c r="F2457">
        <v>0</v>
      </c>
      <c r="G2457">
        <v>0</v>
      </c>
      <c r="H2457">
        <v>100</v>
      </c>
      <c r="I2457">
        <v>0</v>
      </c>
      <c r="J2457">
        <v>1.29</v>
      </c>
      <c r="K2457">
        <v>0</v>
      </c>
    </row>
    <row r="2458" spans="1:11" x14ac:dyDescent="0.2">
      <c r="A2458">
        <v>92215</v>
      </c>
      <c r="B2458">
        <v>80724</v>
      </c>
      <c r="C2458" t="s">
        <v>6070</v>
      </c>
      <c r="D2458">
        <v>10</v>
      </c>
      <c r="E2458">
        <v>1</v>
      </c>
      <c r="F2458">
        <v>1010</v>
      </c>
      <c r="G2458">
        <v>1010</v>
      </c>
      <c r="H2458">
        <v>100</v>
      </c>
      <c r="I2458">
        <v>10.1</v>
      </c>
      <c r="J2458">
        <v>1.69</v>
      </c>
      <c r="K2458">
        <v>1706.9</v>
      </c>
    </row>
    <row r="2459" spans="1:11" x14ac:dyDescent="0.2">
      <c r="A2459">
        <v>92048</v>
      </c>
      <c r="B2459">
        <v>80755</v>
      </c>
      <c r="C2459" t="s">
        <v>6071</v>
      </c>
      <c r="D2459">
        <v>9</v>
      </c>
      <c r="E2459">
        <v>1</v>
      </c>
      <c r="F2459">
        <v>1254</v>
      </c>
      <c r="G2459">
        <v>1254</v>
      </c>
      <c r="H2459">
        <v>150</v>
      </c>
      <c r="I2459">
        <v>8.4</v>
      </c>
      <c r="J2459">
        <v>1.99</v>
      </c>
      <c r="K2459">
        <v>2495.46</v>
      </c>
    </row>
    <row r="2460" spans="1:11" x14ac:dyDescent="0.2">
      <c r="B2460">
        <v>80769</v>
      </c>
      <c r="C2460" t="s">
        <v>6072</v>
      </c>
      <c r="D2460">
        <v>11</v>
      </c>
      <c r="E2460">
        <v>1</v>
      </c>
      <c r="F2460">
        <v>0</v>
      </c>
      <c r="G2460">
        <v>0</v>
      </c>
      <c r="H2460">
        <v>40</v>
      </c>
      <c r="I2460">
        <v>0</v>
      </c>
      <c r="J2460">
        <v>1.69</v>
      </c>
      <c r="K2460">
        <v>0</v>
      </c>
    </row>
    <row r="2461" spans="1:11" x14ac:dyDescent="0.2">
      <c r="B2461">
        <v>80790</v>
      </c>
      <c r="C2461" t="s">
        <v>6073</v>
      </c>
      <c r="D2461">
        <v>12</v>
      </c>
      <c r="E2461">
        <v>1</v>
      </c>
      <c r="F2461">
        <v>0</v>
      </c>
      <c r="G2461">
        <v>0</v>
      </c>
      <c r="H2461">
        <v>80</v>
      </c>
      <c r="I2461">
        <v>0</v>
      </c>
      <c r="J2461">
        <v>1.29</v>
      </c>
      <c r="K2461">
        <v>0</v>
      </c>
    </row>
    <row r="2462" spans="1:11" x14ac:dyDescent="0.2">
      <c r="B2462">
        <v>80801</v>
      </c>
      <c r="C2462" t="s">
        <v>6074</v>
      </c>
      <c r="D2462">
        <v>12</v>
      </c>
      <c r="E2462">
        <v>1</v>
      </c>
      <c r="F2462">
        <v>0</v>
      </c>
      <c r="G2462">
        <v>0</v>
      </c>
      <c r="H2462">
        <v>100</v>
      </c>
      <c r="I2462">
        <v>0</v>
      </c>
      <c r="J2462">
        <v>0.99</v>
      </c>
      <c r="K2462">
        <v>0</v>
      </c>
    </row>
    <row r="2463" spans="1:11" x14ac:dyDescent="0.2">
      <c r="B2463">
        <v>80805</v>
      </c>
      <c r="C2463" t="s">
        <v>6075</v>
      </c>
      <c r="D2463">
        <v>12</v>
      </c>
      <c r="E2463">
        <v>1</v>
      </c>
      <c r="F2463">
        <v>0</v>
      </c>
      <c r="G2463">
        <v>0</v>
      </c>
      <c r="H2463">
        <v>100</v>
      </c>
      <c r="I2463">
        <v>0</v>
      </c>
      <c r="J2463">
        <v>1.49</v>
      </c>
      <c r="K2463">
        <v>0</v>
      </c>
    </row>
    <row r="2464" spans="1:11" x14ac:dyDescent="0.2">
      <c r="B2464">
        <v>80810</v>
      </c>
      <c r="C2464" t="s">
        <v>6076</v>
      </c>
      <c r="D2464">
        <v>12</v>
      </c>
      <c r="E2464">
        <v>1</v>
      </c>
      <c r="F2464">
        <v>0</v>
      </c>
      <c r="G2464">
        <v>0</v>
      </c>
      <c r="H2464">
        <v>80</v>
      </c>
      <c r="I2464">
        <v>0</v>
      </c>
      <c r="J2464">
        <v>3.29</v>
      </c>
      <c r="K2464">
        <v>0</v>
      </c>
    </row>
    <row r="2465" spans="1:11" x14ac:dyDescent="0.2">
      <c r="B2465">
        <v>80811</v>
      </c>
      <c r="C2465" t="s">
        <v>6077</v>
      </c>
      <c r="D2465">
        <v>10</v>
      </c>
      <c r="E2465">
        <v>1</v>
      </c>
      <c r="F2465">
        <v>55</v>
      </c>
      <c r="G2465">
        <v>55</v>
      </c>
      <c r="H2465">
        <v>50</v>
      </c>
      <c r="I2465">
        <v>1.1000000000000001</v>
      </c>
      <c r="J2465">
        <v>1.99</v>
      </c>
      <c r="K2465">
        <v>109.45</v>
      </c>
    </row>
    <row r="2466" spans="1:11" x14ac:dyDescent="0.2">
      <c r="B2466">
        <v>80820</v>
      </c>
      <c r="C2466" t="s">
        <v>6078</v>
      </c>
      <c r="D2466">
        <v>10</v>
      </c>
      <c r="E2466">
        <v>1</v>
      </c>
      <c r="F2466">
        <v>24</v>
      </c>
      <c r="G2466">
        <v>24</v>
      </c>
      <c r="H2466">
        <v>80</v>
      </c>
      <c r="I2466">
        <v>0.3</v>
      </c>
      <c r="J2466">
        <v>1.99</v>
      </c>
      <c r="K2466">
        <v>47.76</v>
      </c>
    </row>
    <row r="2467" spans="1:11" x14ac:dyDescent="0.2">
      <c r="B2467">
        <v>80823</v>
      </c>
      <c r="C2467" t="s">
        <v>6079</v>
      </c>
      <c r="D2467">
        <v>12</v>
      </c>
      <c r="E2467">
        <v>1</v>
      </c>
      <c r="F2467">
        <v>0</v>
      </c>
      <c r="G2467">
        <v>0</v>
      </c>
      <c r="H2467">
        <v>1</v>
      </c>
      <c r="I2467">
        <v>0</v>
      </c>
      <c r="J2467">
        <v>1.99</v>
      </c>
      <c r="K2467">
        <v>0</v>
      </c>
    </row>
    <row r="2468" spans="1:11" x14ac:dyDescent="0.2">
      <c r="A2468">
        <v>92200</v>
      </c>
      <c r="B2468">
        <v>80835</v>
      </c>
      <c r="C2468" t="s">
        <v>6080</v>
      </c>
      <c r="D2468">
        <v>10</v>
      </c>
      <c r="E2468">
        <v>1</v>
      </c>
      <c r="F2468">
        <v>291</v>
      </c>
      <c r="G2468">
        <v>291</v>
      </c>
      <c r="H2468">
        <v>80</v>
      </c>
      <c r="I2468">
        <v>3.6</v>
      </c>
      <c r="J2468">
        <v>1.79</v>
      </c>
      <c r="K2468">
        <v>520.89</v>
      </c>
    </row>
    <row r="2469" spans="1:11" x14ac:dyDescent="0.2">
      <c r="B2469">
        <v>80915</v>
      </c>
      <c r="C2469" t="s">
        <v>6081</v>
      </c>
      <c r="D2469">
        <v>12</v>
      </c>
      <c r="E2469">
        <v>1</v>
      </c>
      <c r="F2469">
        <v>65</v>
      </c>
      <c r="G2469">
        <v>65</v>
      </c>
      <c r="H2469">
        <v>100</v>
      </c>
      <c r="I2469">
        <v>0.7</v>
      </c>
      <c r="J2469">
        <v>4.49</v>
      </c>
      <c r="K2469">
        <v>291.85000000000002</v>
      </c>
    </row>
    <row r="2470" spans="1:11" x14ac:dyDescent="0.2">
      <c r="A2470">
        <v>92070</v>
      </c>
      <c r="B2470">
        <v>80925</v>
      </c>
      <c r="C2470" t="s">
        <v>6082</v>
      </c>
      <c r="D2470">
        <v>9</v>
      </c>
      <c r="E2470">
        <v>1</v>
      </c>
      <c r="F2470">
        <v>1480</v>
      </c>
      <c r="G2470">
        <v>1480</v>
      </c>
      <c r="H2470">
        <v>100</v>
      </c>
      <c r="I2470">
        <v>14.8</v>
      </c>
      <c r="J2470">
        <v>4.29</v>
      </c>
      <c r="K2470">
        <v>6349.2</v>
      </c>
    </row>
    <row r="2471" spans="1:11" x14ac:dyDescent="0.2">
      <c r="B2471">
        <v>80930</v>
      </c>
      <c r="C2471" t="s">
        <v>6083</v>
      </c>
      <c r="D2471">
        <v>12</v>
      </c>
      <c r="E2471">
        <v>1</v>
      </c>
      <c r="F2471">
        <v>0</v>
      </c>
      <c r="G2471">
        <v>0</v>
      </c>
      <c r="H2471">
        <v>30</v>
      </c>
      <c r="I2471">
        <v>0</v>
      </c>
      <c r="J2471">
        <v>1.99</v>
      </c>
      <c r="K2471">
        <v>0</v>
      </c>
    </row>
    <row r="2472" spans="1:11" x14ac:dyDescent="0.2">
      <c r="B2472">
        <v>81500</v>
      </c>
      <c r="C2472" t="s">
        <v>6084</v>
      </c>
      <c r="D2472">
        <v>11</v>
      </c>
      <c r="E2472">
        <v>1</v>
      </c>
      <c r="F2472">
        <v>105</v>
      </c>
      <c r="G2472">
        <v>105</v>
      </c>
      <c r="H2472">
        <v>20</v>
      </c>
      <c r="I2472">
        <v>5.3</v>
      </c>
      <c r="J2472">
        <v>1.99</v>
      </c>
      <c r="K2472">
        <v>208.95</v>
      </c>
    </row>
    <row r="2473" spans="1:11" x14ac:dyDescent="0.2">
      <c r="A2473">
        <v>92042</v>
      </c>
      <c r="B2473">
        <v>81510</v>
      </c>
      <c r="C2473" t="s">
        <v>6085</v>
      </c>
      <c r="D2473">
        <v>9</v>
      </c>
      <c r="E2473">
        <v>1</v>
      </c>
      <c r="F2473">
        <v>2130</v>
      </c>
      <c r="G2473">
        <v>2130</v>
      </c>
      <c r="H2473">
        <v>60</v>
      </c>
      <c r="I2473">
        <v>35.5</v>
      </c>
      <c r="J2473">
        <v>1.99</v>
      </c>
      <c r="K2473">
        <v>4238.7</v>
      </c>
    </row>
    <row r="2474" spans="1:11" x14ac:dyDescent="0.2">
      <c r="B2474">
        <v>81516</v>
      </c>
      <c r="C2474" t="s">
        <v>6086</v>
      </c>
      <c r="D2474">
        <v>12</v>
      </c>
      <c r="E2474">
        <v>1</v>
      </c>
      <c r="F2474">
        <v>0</v>
      </c>
      <c r="G2474">
        <v>0</v>
      </c>
      <c r="H2474">
        <v>100</v>
      </c>
      <c r="I2474">
        <v>0</v>
      </c>
      <c r="J2474">
        <v>2.29</v>
      </c>
      <c r="K2474">
        <v>0</v>
      </c>
    </row>
    <row r="2475" spans="1:11" x14ac:dyDescent="0.2">
      <c r="B2475">
        <v>81523</v>
      </c>
      <c r="C2475" t="s">
        <v>6087</v>
      </c>
      <c r="D2475">
        <v>9</v>
      </c>
      <c r="E2475">
        <v>1</v>
      </c>
      <c r="F2475">
        <v>318</v>
      </c>
      <c r="G2475">
        <v>318</v>
      </c>
      <c r="H2475">
        <v>95</v>
      </c>
      <c r="I2475">
        <v>3.3</v>
      </c>
      <c r="J2475">
        <v>2.69</v>
      </c>
      <c r="K2475">
        <v>855.42</v>
      </c>
    </row>
    <row r="2476" spans="1:11" x14ac:dyDescent="0.2">
      <c r="B2476">
        <v>81531</v>
      </c>
      <c r="C2476" t="s">
        <v>6088</v>
      </c>
      <c r="D2476">
        <v>12</v>
      </c>
      <c r="E2476">
        <v>1</v>
      </c>
      <c r="F2476">
        <v>0</v>
      </c>
      <c r="G2476">
        <v>0</v>
      </c>
      <c r="H2476">
        <v>100</v>
      </c>
      <c r="I2476">
        <v>0</v>
      </c>
      <c r="J2476">
        <v>1.99</v>
      </c>
      <c r="K2476">
        <v>0</v>
      </c>
    </row>
    <row r="2477" spans="1:11" x14ac:dyDescent="0.2">
      <c r="A2477">
        <v>92166</v>
      </c>
      <c r="B2477">
        <v>81532</v>
      </c>
      <c r="C2477" t="s">
        <v>6089</v>
      </c>
      <c r="D2477">
        <v>9</v>
      </c>
      <c r="E2477">
        <v>1</v>
      </c>
      <c r="F2477">
        <v>940</v>
      </c>
      <c r="G2477">
        <v>940</v>
      </c>
      <c r="H2477">
        <v>100</v>
      </c>
      <c r="I2477">
        <v>9.4</v>
      </c>
      <c r="J2477">
        <v>1.99</v>
      </c>
      <c r="K2477">
        <v>1870.6</v>
      </c>
    </row>
    <row r="2478" spans="1:11" x14ac:dyDescent="0.2">
      <c r="A2478">
        <v>92154</v>
      </c>
      <c r="B2478">
        <v>81540</v>
      </c>
      <c r="C2478" t="s">
        <v>6090</v>
      </c>
      <c r="D2478">
        <v>10</v>
      </c>
      <c r="E2478">
        <v>1</v>
      </c>
      <c r="F2478">
        <v>1810</v>
      </c>
      <c r="G2478">
        <v>1810</v>
      </c>
      <c r="H2478">
        <v>100</v>
      </c>
      <c r="I2478">
        <v>18.100000000000001</v>
      </c>
      <c r="J2478">
        <v>1.59</v>
      </c>
      <c r="K2478">
        <v>2877.9</v>
      </c>
    </row>
    <row r="2479" spans="1:11" x14ac:dyDescent="0.2">
      <c r="B2479">
        <v>81544</v>
      </c>
      <c r="C2479" t="s">
        <v>6091</v>
      </c>
      <c r="D2479">
        <v>12</v>
      </c>
      <c r="E2479">
        <v>1</v>
      </c>
      <c r="F2479">
        <v>0</v>
      </c>
      <c r="G2479">
        <v>0</v>
      </c>
      <c r="H2479">
        <v>100</v>
      </c>
      <c r="I2479">
        <v>0</v>
      </c>
      <c r="J2479">
        <v>2.59</v>
      </c>
      <c r="K2479">
        <v>0</v>
      </c>
    </row>
    <row r="2480" spans="1:11" x14ac:dyDescent="0.2">
      <c r="B2480">
        <v>81551</v>
      </c>
      <c r="C2480" t="s">
        <v>6092</v>
      </c>
      <c r="D2480">
        <v>12</v>
      </c>
      <c r="E2480">
        <v>1</v>
      </c>
      <c r="F2480">
        <v>20</v>
      </c>
      <c r="G2480">
        <v>20</v>
      </c>
      <c r="H2480">
        <v>99</v>
      </c>
      <c r="I2480">
        <v>0.2</v>
      </c>
      <c r="J2480">
        <v>3.29</v>
      </c>
      <c r="K2480">
        <v>65.8</v>
      </c>
    </row>
    <row r="2481" spans="1:11" x14ac:dyDescent="0.2">
      <c r="B2481">
        <v>81561</v>
      </c>
      <c r="C2481" t="s">
        <v>6093</v>
      </c>
      <c r="D2481">
        <v>12</v>
      </c>
      <c r="E2481">
        <v>1</v>
      </c>
      <c r="F2481">
        <v>0</v>
      </c>
      <c r="G2481">
        <v>0</v>
      </c>
      <c r="H2481">
        <v>75</v>
      </c>
      <c r="I2481">
        <v>0</v>
      </c>
      <c r="J2481">
        <v>3.29</v>
      </c>
      <c r="K2481">
        <v>0</v>
      </c>
    </row>
    <row r="2482" spans="1:11" x14ac:dyDescent="0.2">
      <c r="A2482">
        <v>92170</v>
      </c>
      <c r="B2482">
        <v>81571</v>
      </c>
      <c r="C2482" t="s">
        <v>6094</v>
      </c>
      <c r="D2482">
        <v>9</v>
      </c>
      <c r="E2482">
        <v>1</v>
      </c>
      <c r="F2482">
        <v>975</v>
      </c>
      <c r="G2482">
        <v>975</v>
      </c>
      <c r="H2482">
        <v>40</v>
      </c>
      <c r="I2482">
        <v>24.4</v>
      </c>
      <c r="J2482">
        <v>3.29</v>
      </c>
      <c r="K2482">
        <v>3207.75</v>
      </c>
    </row>
    <row r="2483" spans="1:11" x14ac:dyDescent="0.2">
      <c r="B2483">
        <v>81580</v>
      </c>
      <c r="C2483" t="s">
        <v>6095</v>
      </c>
      <c r="D2483">
        <v>12</v>
      </c>
      <c r="E2483">
        <v>1</v>
      </c>
      <c r="F2483">
        <v>0</v>
      </c>
      <c r="G2483">
        <v>0</v>
      </c>
      <c r="H2483">
        <v>100</v>
      </c>
      <c r="I2483">
        <v>0</v>
      </c>
      <c r="J2483">
        <v>2.29</v>
      </c>
      <c r="K2483">
        <v>0</v>
      </c>
    </row>
    <row r="2484" spans="1:11" x14ac:dyDescent="0.2">
      <c r="B2484">
        <v>81662</v>
      </c>
      <c r="C2484" t="s">
        <v>6096</v>
      </c>
      <c r="D2484">
        <v>12</v>
      </c>
      <c r="E2484">
        <v>1</v>
      </c>
      <c r="F2484">
        <v>0</v>
      </c>
      <c r="G2484">
        <v>0</v>
      </c>
      <c r="H2484">
        <v>100</v>
      </c>
      <c r="I2484">
        <v>0</v>
      </c>
      <c r="J2484">
        <v>1.99</v>
      </c>
      <c r="K2484">
        <v>0</v>
      </c>
    </row>
    <row r="2485" spans="1:11" x14ac:dyDescent="0.2">
      <c r="B2485">
        <v>81669</v>
      </c>
      <c r="C2485" t="s">
        <v>6097</v>
      </c>
      <c r="D2485">
        <v>12</v>
      </c>
      <c r="E2485">
        <v>1</v>
      </c>
      <c r="F2485">
        <v>6</v>
      </c>
      <c r="G2485">
        <v>6</v>
      </c>
      <c r="H2485">
        <v>50</v>
      </c>
      <c r="I2485">
        <v>0.1</v>
      </c>
      <c r="J2485">
        <v>2.69</v>
      </c>
      <c r="K2485">
        <v>16.14</v>
      </c>
    </row>
    <row r="2486" spans="1:11" x14ac:dyDescent="0.2">
      <c r="B2486">
        <v>81672</v>
      </c>
      <c r="C2486" t="s">
        <v>6098</v>
      </c>
      <c r="D2486">
        <v>12</v>
      </c>
      <c r="E2486">
        <v>1</v>
      </c>
      <c r="F2486">
        <v>16</v>
      </c>
      <c r="G2486">
        <v>16</v>
      </c>
      <c r="H2486">
        <v>100</v>
      </c>
      <c r="I2486">
        <v>0.2</v>
      </c>
      <c r="J2486">
        <v>2.99</v>
      </c>
      <c r="K2486">
        <v>47.84</v>
      </c>
    </row>
    <row r="2487" spans="1:11" x14ac:dyDescent="0.2">
      <c r="B2487">
        <v>81676</v>
      </c>
      <c r="C2487" t="s">
        <v>6099</v>
      </c>
      <c r="D2487">
        <v>10</v>
      </c>
      <c r="E2487">
        <v>1</v>
      </c>
      <c r="F2487">
        <v>-10</v>
      </c>
      <c r="G2487">
        <v>-10</v>
      </c>
      <c r="H2487">
        <v>100</v>
      </c>
      <c r="I2487">
        <v>-0.1</v>
      </c>
      <c r="J2487">
        <v>2.99</v>
      </c>
      <c r="K2487">
        <v>-29.9</v>
      </c>
    </row>
    <row r="2488" spans="1:11" x14ac:dyDescent="0.2">
      <c r="A2488">
        <v>92186</v>
      </c>
      <c r="B2488">
        <v>82001</v>
      </c>
      <c r="C2488" t="s">
        <v>6100</v>
      </c>
      <c r="D2488">
        <v>9</v>
      </c>
      <c r="E2488">
        <v>1</v>
      </c>
      <c r="F2488">
        <v>2508</v>
      </c>
      <c r="G2488">
        <v>2508</v>
      </c>
      <c r="H2488">
        <v>50</v>
      </c>
      <c r="I2488">
        <v>50.2</v>
      </c>
      <c r="J2488">
        <v>1.29</v>
      </c>
      <c r="K2488">
        <v>3235.32</v>
      </c>
    </row>
    <row r="2489" spans="1:11" x14ac:dyDescent="0.2">
      <c r="A2489">
        <v>92173</v>
      </c>
      <c r="B2489">
        <v>82012</v>
      </c>
      <c r="C2489" t="s">
        <v>6101</v>
      </c>
      <c r="D2489">
        <v>9</v>
      </c>
      <c r="E2489">
        <v>1</v>
      </c>
      <c r="F2489">
        <v>4368</v>
      </c>
      <c r="G2489">
        <v>4368</v>
      </c>
      <c r="H2489">
        <v>100</v>
      </c>
      <c r="I2489">
        <v>43.7</v>
      </c>
      <c r="J2489">
        <v>1.79</v>
      </c>
      <c r="K2489">
        <v>7818.72</v>
      </c>
    </row>
    <row r="2490" spans="1:11" x14ac:dyDescent="0.2">
      <c r="A2490">
        <v>92007</v>
      </c>
      <c r="B2490">
        <v>82013</v>
      </c>
      <c r="C2490" t="s">
        <v>6102</v>
      </c>
      <c r="D2490">
        <v>12</v>
      </c>
      <c r="E2490">
        <v>1</v>
      </c>
      <c r="F2490">
        <v>88</v>
      </c>
      <c r="G2490">
        <v>88</v>
      </c>
      <c r="H2490">
        <v>104</v>
      </c>
      <c r="I2490">
        <v>0.8</v>
      </c>
      <c r="J2490">
        <v>1.0900000000000001</v>
      </c>
      <c r="K2490">
        <v>95.92</v>
      </c>
    </row>
    <row r="2491" spans="1:11" x14ac:dyDescent="0.2">
      <c r="A2491">
        <v>92191</v>
      </c>
      <c r="B2491">
        <v>82018</v>
      </c>
      <c r="C2491" t="s">
        <v>6103</v>
      </c>
      <c r="D2491">
        <v>10</v>
      </c>
      <c r="E2491">
        <v>1</v>
      </c>
      <c r="F2491">
        <v>3204</v>
      </c>
      <c r="G2491">
        <v>3204</v>
      </c>
      <c r="H2491">
        <v>100</v>
      </c>
      <c r="I2491">
        <v>32</v>
      </c>
      <c r="J2491">
        <v>1.89</v>
      </c>
      <c r="K2491">
        <v>6055.56</v>
      </c>
    </row>
    <row r="2492" spans="1:11" x14ac:dyDescent="0.2">
      <c r="A2492">
        <v>92058</v>
      </c>
      <c r="B2492">
        <v>82019</v>
      </c>
      <c r="C2492" t="s">
        <v>6104</v>
      </c>
      <c r="D2492">
        <v>10</v>
      </c>
      <c r="E2492">
        <v>1</v>
      </c>
      <c r="F2492">
        <v>6</v>
      </c>
      <c r="G2492">
        <v>6</v>
      </c>
      <c r="H2492">
        <v>80</v>
      </c>
      <c r="I2492">
        <v>0.1</v>
      </c>
      <c r="J2492">
        <v>1.99</v>
      </c>
      <c r="K2492">
        <v>11.94</v>
      </c>
    </row>
    <row r="2493" spans="1:11" x14ac:dyDescent="0.2">
      <c r="A2493">
        <v>92169</v>
      </c>
      <c r="B2493">
        <v>82023</v>
      </c>
      <c r="C2493" t="s">
        <v>6105</v>
      </c>
      <c r="D2493">
        <v>11</v>
      </c>
      <c r="E2493">
        <v>1</v>
      </c>
      <c r="F2493">
        <v>600</v>
      </c>
      <c r="G2493">
        <v>600</v>
      </c>
      <c r="H2493">
        <v>100</v>
      </c>
      <c r="I2493">
        <v>6</v>
      </c>
      <c r="J2493">
        <v>1.29</v>
      </c>
      <c r="K2493">
        <v>774</v>
      </c>
    </row>
    <row r="2494" spans="1:11" x14ac:dyDescent="0.2">
      <c r="A2494">
        <v>92195</v>
      </c>
      <c r="B2494">
        <v>82031</v>
      </c>
      <c r="C2494" t="s">
        <v>6106</v>
      </c>
      <c r="D2494">
        <v>9</v>
      </c>
      <c r="E2494">
        <v>1</v>
      </c>
      <c r="F2494">
        <v>2210</v>
      </c>
      <c r="G2494">
        <v>2210</v>
      </c>
      <c r="H2494">
        <v>56</v>
      </c>
      <c r="I2494">
        <v>39.5</v>
      </c>
      <c r="J2494">
        <v>0.99</v>
      </c>
      <c r="K2494">
        <v>2187.9</v>
      </c>
    </row>
    <row r="2495" spans="1:11" x14ac:dyDescent="0.2">
      <c r="A2495">
        <v>92194</v>
      </c>
      <c r="B2495">
        <v>82052</v>
      </c>
      <c r="C2495" t="s">
        <v>6107</v>
      </c>
      <c r="D2495">
        <v>9</v>
      </c>
      <c r="E2495">
        <v>1</v>
      </c>
      <c r="F2495">
        <v>3108</v>
      </c>
      <c r="G2495">
        <v>3108</v>
      </c>
      <c r="H2495">
        <v>120</v>
      </c>
      <c r="I2495">
        <v>25.9</v>
      </c>
      <c r="J2495">
        <v>1.49</v>
      </c>
      <c r="K2495">
        <v>4630.92</v>
      </c>
    </row>
    <row r="2496" spans="1:11" x14ac:dyDescent="0.2">
      <c r="A2496">
        <v>92187</v>
      </c>
      <c r="B2496">
        <v>82071</v>
      </c>
      <c r="C2496" t="s">
        <v>6108</v>
      </c>
      <c r="D2496">
        <v>9</v>
      </c>
      <c r="E2496">
        <v>1</v>
      </c>
      <c r="F2496">
        <v>1272</v>
      </c>
      <c r="G2496">
        <v>1272</v>
      </c>
      <c r="H2496">
        <v>50</v>
      </c>
      <c r="I2496">
        <v>25.4</v>
      </c>
      <c r="J2496">
        <v>1.29</v>
      </c>
      <c r="K2496">
        <v>1640.88</v>
      </c>
    </row>
    <row r="2497" spans="1:12" x14ac:dyDescent="0.2">
      <c r="A2497">
        <v>92189</v>
      </c>
      <c r="B2497">
        <v>82126</v>
      </c>
      <c r="C2497" t="s">
        <v>6109</v>
      </c>
      <c r="D2497">
        <v>12</v>
      </c>
      <c r="E2497">
        <v>1</v>
      </c>
      <c r="F2497">
        <v>96</v>
      </c>
      <c r="G2497">
        <v>96</v>
      </c>
      <c r="H2497">
        <v>100</v>
      </c>
      <c r="I2497">
        <v>1</v>
      </c>
      <c r="J2497">
        <v>0.99</v>
      </c>
      <c r="K2497">
        <v>95.04</v>
      </c>
    </row>
    <row r="2498" spans="1:12" x14ac:dyDescent="0.2">
      <c r="A2498">
        <v>92197</v>
      </c>
      <c r="B2498">
        <v>82135</v>
      </c>
      <c r="C2498" t="s">
        <v>6110</v>
      </c>
      <c r="D2498">
        <v>9</v>
      </c>
      <c r="E2498">
        <v>1</v>
      </c>
      <c r="F2498">
        <v>600</v>
      </c>
      <c r="G2498">
        <v>600</v>
      </c>
      <c r="H2498">
        <v>84</v>
      </c>
      <c r="I2498">
        <v>7.1</v>
      </c>
      <c r="J2498">
        <v>1.29</v>
      </c>
      <c r="K2498">
        <v>774</v>
      </c>
    </row>
    <row r="2499" spans="1:12" x14ac:dyDescent="0.2">
      <c r="A2499">
        <v>92188</v>
      </c>
      <c r="B2499">
        <v>82154</v>
      </c>
      <c r="C2499" t="s">
        <v>6111</v>
      </c>
      <c r="D2499">
        <v>9</v>
      </c>
      <c r="E2499">
        <v>1</v>
      </c>
      <c r="F2499">
        <v>4152</v>
      </c>
      <c r="G2499">
        <v>4152</v>
      </c>
      <c r="H2499">
        <v>30</v>
      </c>
      <c r="I2499">
        <v>138.4</v>
      </c>
      <c r="J2499">
        <v>0.99</v>
      </c>
      <c r="K2499">
        <v>4110.4799999999996</v>
      </c>
    </row>
    <row r="2500" spans="1:12" x14ac:dyDescent="0.2">
      <c r="A2500">
        <v>92199</v>
      </c>
      <c r="B2500">
        <v>82157</v>
      </c>
      <c r="C2500" t="s">
        <v>6112</v>
      </c>
      <c r="D2500">
        <v>9</v>
      </c>
      <c r="E2500">
        <v>1</v>
      </c>
      <c r="F2500">
        <v>540</v>
      </c>
      <c r="G2500">
        <v>540</v>
      </c>
      <c r="H2500">
        <v>84</v>
      </c>
      <c r="I2500">
        <v>6.4</v>
      </c>
      <c r="J2500">
        <v>1.29</v>
      </c>
      <c r="K2500">
        <v>696.6</v>
      </c>
    </row>
    <row r="2501" spans="1:12" x14ac:dyDescent="0.2">
      <c r="A2501">
        <v>92023</v>
      </c>
      <c r="B2501">
        <v>82158</v>
      </c>
      <c r="C2501" t="s">
        <v>6113</v>
      </c>
      <c r="D2501">
        <v>10</v>
      </c>
      <c r="E2501">
        <v>1</v>
      </c>
      <c r="F2501">
        <v>880</v>
      </c>
      <c r="G2501">
        <v>880</v>
      </c>
      <c r="H2501">
        <v>100</v>
      </c>
      <c r="I2501">
        <v>8.8000000000000007</v>
      </c>
      <c r="J2501">
        <v>1.89</v>
      </c>
      <c r="K2501">
        <v>1663.2</v>
      </c>
    </row>
    <row r="2502" spans="1:12" x14ac:dyDescent="0.2">
      <c r="A2502">
        <v>92101</v>
      </c>
      <c r="B2502">
        <v>82180</v>
      </c>
      <c r="C2502" t="s">
        <v>6114</v>
      </c>
      <c r="D2502">
        <v>9</v>
      </c>
      <c r="E2502">
        <v>1</v>
      </c>
      <c r="F2502">
        <v>-15</v>
      </c>
      <c r="G2502">
        <v>-15</v>
      </c>
      <c r="H2502">
        <v>80</v>
      </c>
      <c r="I2502">
        <v>-0.2</v>
      </c>
      <c r="J2502">
        <v>2.29</v>
      </c>
      <c r="K2502">
        <v>-34.35</v>
      </c>
    </row>
    <row r="2503" spans="1:12" x14ac:dyDescent="0.2">
      <c r="A2503">
        <v>92176</v>
      </c>
      <c r="B2503">
        <v>82212</v>
      </c>
      <c r="C2503" t="s">
        <v>6115</v>
      </c>
      <c r="D2503">
        <v>10</v>
      </c>
      <c r="E2503">
        <v>1</v>
      </c>
      <c r="F2503">
        <v>676</v>
      </c>
      <c r="G2503">
        <v>676</v>
      </c>
      <c r="H2503">
        <v>144</v>
      </c>
      <c r="I2503">
        <v>4.7</v>
      </c>
      <c r="J2503">
        <v>2.19</v>
      </c>
      <c r="K2503">
        <v>1480.44</v>
      </c>
    </row>
    <row r="2504" spans="1:12" x14ac:dyDescent="0.2">
      <c r="B2504">
        <v>82214</v>
      </c>
      <c r="C2504" t="s">
        <v>6116</v>
      </c>
      <c r="D2504">
        <v>12</v>
      </c>
      <c r="E2504">
        <v>1</v>
      </c>
      <c r="F2504">
        <v>0</v>
      </c>
      <c r="G2504">
        <v>0</v>
      </c>
      <c r="H2504">
        <v>100</v>
      </c>
      <c r="I2504">
        <v>0</v>
      </c>
      <c r="J2504">
        <v>1.79</v>
      </c>
      <c r="K2504">
        <v>0</v>
      </c>
    </row>
    <row r="2505" spans="1:12" x14ac:dyDescent="0.2">
      <c r="B2505">
        <v>82231</v>
      </c>
      <c r="C2505" t="s">
        <v>6117</v>
      </c>
      <c r="D2505">
        <v>12</v>
      </c>
      <c r="E2505">
        <v>1</v>
      </c>
      <c r="F2505">
        <v>0</v>
      </c>
      <c r="G2505">
        <v>0</v>
      </c>
      <c r="H2505">
        <v>144</v>
      </c>
      <c r="I2505">
        <v>0</v>
      </c>
      <c r="J2505">
        <v>0.99</v>
      </c>
      <c r="K2505">
        <v>0</v>
      </c>
      <c r="L2505" t="s">
        <v>3699</v>
      </c>
    </row>
    <row r="2506" spans="1:12" x14ac:dyDescent="0.2">
      <c r="A2506">
        <v>92182</v>
      </c>
      <c r="B2506">
        <v>82233</v>
      </c>
      <c r="C2506" t="s">
        <v>6117</v>
      </c>
      <c r="D2506">
        <v>9</v>
      </c>
      <c r="E2506">
        <v>1</v>
      </c>
      <c r="F2506">
        <v>2208</v>
      </c>
      <c r="G2506">
        <v>2208</v>
      </c>
      <c r="H2506">
        <v>100</v>
      </c>
      <c r="I2506">
        <v>22.1</v>
      </c>
      <c r="J2506">
        <v>0.99</v>
      </c>
      <c r="K2506">
        <v>2185.92</v>
      </c>
    </row>
    <row r="2507" spans="1:12" x14ac:dyDescent="0.2">
      <c r="B2507">
        <v>82236</v>
      </c>
      <c r="C2507" t="s">
        <v>6118</v>
      </c>
      <c r="D2507">
        <v>12</v>
      </c>
      <c r="E2507">
        <v>1</v>
      </c>
      <c r="F2507">
        <v>36</v>
      </c>
      <c r="G2507">
        <v>36</v>
      </c>
      <c r="H2507">
        <v>100</v>
      </c>
      <c r="I2507">
        <v>0.4</v>
      </c>
      <c r="J2507">
        <v>1.29</v>
      </c>
      <c r="K2507">
        <v>46.44</v>
      </c>
    </row>
    <row r="2508" spans="1:12" x14ac:dyDescent="0.2">
      <c r="B2508">
        <v>82261</v>
      </c>
      <c r="C2508" t="s">
        <v>6119</v>
      </c>
      <c r="D2508">
        <v>12</v>
      </c>
      <c r="E2508">
        <v>1</v>
      </c>
      <c r="F2508">
        <v>0</v>
      </c>
      <c r="G2508">
        <v>0</v>
      </c>
      <c r="H2508">
        <v>50</v>
      </c>
      <c r="I2508">
        <v>0</v>
      </c>
      <c r="J2508">
        <v>2.29</v>
      </c>
      <c r="K2508">
        <v>0</v>
      </c>
    </row>
    <row r="2509" spans="1:12" x14ac:dyDescent="0.2">
      <c r="A2509">
        <v>92119</v>
      </c>
      <c r="B2509">
        <v>82263</v>
      </c>
      <c r="C2509" t="s">
        <v>6120</v>
      </c>
      <c r="D2509">
        <v>9</v>
      </c>
      <c r="E2509">
        <v>1</v>
      </c>
      <c r="F2509">
        <v>2641</v>
      </c>
      <c r="G2509">
        <v>2641</v>
      </c>
      <c r="H2509">
        <v>44</v>
      </c>
      <c r="I2509">
        <v>60</v>
      </c>
      <c r="J2509">
        <v>1.79</v>
      </c>
      <c r="K2509">
        <v>4727.3900000000003</v>
      </c>
    </row>
    <row r="2510" spans="1:12" x14ac:dyDescent="0.2">
      <c r="A2510">
        <v>92184</v>
      </c>
      <c r="B2510">
        <v>82275</v>
      </c>
      <c r="C2510" t="s">
        <v>6121</v>
      </c>
      <c r="D2510">
        <v>11</v>
      </c>
      <c r="E2510">
        <v>1</v>
      </c>
      <c r="F2510">
        <v>60</v>
      </c>
      <c r="G2510">
        <v>60</v>
      </c>
      <c r="H2510">
        <v>68</v>
      </c>
      <c r="I2510">
        <v>0.9</v>
      </c>
      <c r="J2510">
        <v>0.99</v>
      </c>
      <c r="K2510">
        <v>59.4</v>
      </c>
    </row>
    <row r="2511" spans="1:12" x14ac:dyDescent="0.2">
      <c r="A2511">
        <v>92139</v>
      </c>
      <c r="B2511">
        <v>82276</v>
      </c>
      <c r="C2511" t="s">
        <v>6122</v>
      </c>
      <c r="D2511">
        <v>9</v>
      </c>
      <c r="E2511">
        <v>1</v>
      </c>
      <c r="F2511">
        <v>1452</v>
      </c>
      <c r="G2511">
        <v>1452</v>
      </c>
      <c r="H2511">
        <v>30</v>
      </c>
      <c r="I2511">
        <v>48.4</v>
      </c>
      <c r="J2511">
        <v>0.99</v>
      </c>
      <c r="K2511">
        <v>1437.48</v>
      </c>
    </row>
    <row r="2512" spans="1:12" x14ac:dyDescent="0.2">
      <c r="B2512">
        <v>82281</v>
      </c>
      <c r="C2512" t="s">
        <v>6123</v>
      </c>
      <c r="D2512">
        <v>12</v>
      </c>
      <c r="E2512">
        <v>1</v>
      </c>
      <c r="F2512">
        <v>0</v>
      </c>
      <c r="G2512">
        <v>0</v>
      </c>
      <c r="H2512">
        <v>60</v>
      </c>
      <c r="I2512">
        <v>0</v>
      </c>
      <c r="J2512">
        <v>2.99</v>
      </c>
      <c r="K2512">
        <v>0</v>
      </c>
    </row>
    <row r="2513" spans="1:11" x14ac:dyDescent="0.2">
      <c r="A2513">
        <v>92192</v>
      </c>
      <c r="B2513">
        <v>82317</v>
      </c>
      <c r="C2513" t="s">
        <v>6124</v>
      </c>
      <c r="D2513">
        <v>9</v>
      </c>
      <c r="E2513">
        <v>1</v>
      </c>
      <c r="F2513">
        <v>-148</v>
      </c>
      <c r="G2513">
        <v>-148</v>
      </c>
      <c r="H2513">
        <v>50</v>
      </c>
      <c r="I2513">
        <v>-3</v>
      </c>
      <c r="J2513">
        <v>1.59</v>
      </c>
      <c r="K2513">
        <v>-235.32</v>
      </c>
    </row>
    <row r="2514" spans="1:11" x14ac:dyDescent="0.2">
      <c r="A2514">
        <v>92178</v>
      </c>
      <c r="B2514">
        <v>82326</v>
      </c>
      <c r="C2514" t="s">
        <v>6125</v>
      </c>
      <c r="D2514">
        <v>9</v>
      </c>
      <c r="E2514">
        <v>1</v>
      </c>
      <c r="F2514">
        <v>1660</v>
      </c>
      <c r="G2514">
        <v>1660</v>
      </c>
      <c r="H2514">
        <v>30</v>
      </c>
      <c r="I2514">
        <v>55.3</v>
      </c>
      <c r="J2514">
        <v>1.99</v>
      </c>
      <c r="K2514">
        <v>3303.4</v>
      </c>
    </row>
    <row r="2515" spans="1:11" x14ac:dyDescent="0.2">
      <c r="B2515">
        <v>82333</v>
      </c>
      <c r="C2515" t="s">
        <v>6126</v>
      </c>
      <c r="D2515">
        <v>12</v>
      </c>
      <c r="E2515">
        <v>1</v>
      </c>
      <c r="F2515">
        <v>0</v>
      </c>
      <c r="G2515">
        <v>0</v>
      </c>
      <c r="H2515">
        <v>100</v>
      </c>
      <c r="I2515">
        <v>0</v>
      </c>
      <c r="J2515">
        <v>2.29</v>
      </c>
      <c r="K2515">
        <v>0</v>
      </c>
    </row>
    <row r="2516" spans="1:11" x14ac:dyDescent="0.2">
      <c r="A2516">
        <v>92093</v>
      </c>
      <c r="B2516">
        <v>82345</v>
      </c>
      <c r="C2516" t="s">
        <v>6127</v>
      </c>
      <c r="D2516">
        <v>9</v>
      </c>
      <c r="E2516">
        <v>1</v>
      </c>
      <c r="F2516">
        <v>2135</v>
      </c>
      <c r="G2516">
        <v>2135</v>
      </c>
      <c r="H2516">
        <v>120</v>
      </c>
      <c r="I2516">
        <v>17.8</v>
      </c>
      <c r="J2516">
        <v>1.89</v>
      </c>
      <c r="K2516">
        <v>4035.15</v>
      </c>
    </row>
    <row r="2517" spans="1:11" x14ac:dyDescent="0.2">
      <c r="B2517">
        <v>82347</v>
      </c>
      <c r="C2517" t="s">
        <v>6128</v>
      </c>
      <c r="D2517">
        <v>11</v>
      </c>
      <c r="E2517">
        <v>1</v>
      </c>
      <c r="F2517">
        <v>67</v>
      </c>
      <c r="G2517">
        <v>67</v>
      </c>
      <c r="H2517">
        <v>64</v>
      </c>
      <c r="I2517">
        <v>1</v>
      </c>
      <c r="J2517">
        <v>3.29</v>
      </c>
      <c r="K2517">
        <v>218.79</v>
      </c>
    </row>
    <row r="2518" spans="1:11" x14ac:dyDescent="0.2">
      <c r="A2518">
        <v>92300</v>
      </c>
      <c r="B2518">
        <v>82357</v>
      </c>
      <c r="C2518" t="s">
        <v>6129</v>
      </c>
      <c r="D2518">
        <v>10</v>
      </c>
      <c r="E2518">
        <v>1</v>
      </c>
      <c r="F2518">
        <v>0</v>
      </c>
      <c r="G2518">
        <v>0</v>
      </c>
      <c r="H2518">
        <v>75</v>
      </c>
      <c r="I2518">
        <v>0</v>
      </c>
      <c r="J2518">
        <v>0.99</v>
      </c>
      <c r="K2518">
        <v>0</v>
      </c>
    </row>
    <row r="2519" spans="1:11" x14ac:dyDescent="0.2">
      <c r="A2519">
        <v>92087</v>
      </c>
      <c r="B2519">
        <v>82385</v>
      </c>
      <c r="C2519" t="s">
        <v>6130</v>
      </c>
      <c r="D2519">
        <v>9</v>
      </c>
      <c r="E2519">
        <v>1</v>
      </c>
      <c r="F2519">
        <v>2832</v>
      </c>
      <c r="G2519">
        <v>2832</v>
      </c>
      <c r="H2519">
        <v>100</v>
      </c>
      <c r="I2519">
        <v>28.3</v>
      </c>
      <c r="J2519">
        <v>2.4900000000000002</v>
      </c>
      <c r="K2519">
        <v>7051.68</v>
      </c>
    </row>
    <row r="2520" spans="1:11" x14ac:dyDescent="0.2">
      <c r="A2520">
        <v>92078</v>
      </c>
      <c r="B2520">
        <v>82388</v>
      </c>
      <c r="C2520" t="s">
        <v>6131</v>
      </c>
      <c r="D2520">
        <v>9</v>
      </c>
      <c r="E2520">
        <v>1</v>
      </c>
      <c r="F2520">
        <v>950</v>
      </c>
      <c r="G2520">
        <v>950</v>
      </c>
      <c r="H2520">
        <v>100</v>
      </c>
      <c r="I2520">
        <v>9.5</v>
      </c>
      <c r="J2520">
        <v>1.69</v>
      </c>
      <c r="K2520">
        <v>1605.5</v>
      </c>
    </row>
    <row r="2521" spans="1:11" x14ac:dyDescent="0.2">
      <c r="B2521">
        <v>82390</v>
      </c>
      <c r="C2521" t="s">
        <v>6132</v>
      </c>
      <c r="D2521">
        <v>12</v>
      </c>
      <c r="E2521">
        <v>1</v>
      </c>
      <c r="F2521">
        <v>0</v>
      </c>
      <c r="G2521">
        <v>0</v>
      </c>
      <c r="H2521">
        <v>100</v>
      </c>
      <c r="I2521">
        <v>0</v>
      </c>
      <c r="J2521">
        <v>3.99</v>
      </c>
      <c r="K2521">
        <v>0</v>
      </c>
    </row>
    <row r="2522" spans="1:11" x14ac:dyDescent="0.2">
      <c r="B2522">
        <v>82391</v>
      </c>
      <c r="C2522" t="s">
        <v>6133</v>
      </c>
      <c r="D2522">
        <v>11</v>
      </c>
      <c r="E2522">
        <v>1</v>
      </c>
      <c r="F2522">
        <v>13</v>
      </c>
      <c r="G2522">
        <v>13</v>
      </c>
      <c r="H2522">
        <v>100</v>
      </c>
      <c r="I2522">
        <v>0.1</v>
      </c>
      <c r="J2522">
        <v>3.19</v>
      </c>
      <c r="K2522">
        <v>41.47</v>
      </c>
    </row>
    <row r="2523" spans="1:11" x14ac:dyDescent="0.2">
      <c r="B2523">
        <v>82395</v>
      </c>
      <c r="C2523" t="s">
        <v>6134</v>
      </c>
      <c r="D2523">
        <v>12</v>
      </c>
      <c r="E2523">
        <v>1</v>
      </c>
      <c r="F2523">
        <v>48</v>
      </c>
      <c r="G2523">
        <v>48</v>
      </c>
      <c r="H2523">
        <v>100</v>
      </c>
      <c r="I2523">
        <v>0.5</v>
      </c>
      <c r="J2523">
        <v>4.29</v>
      </c>
      <c r="K2523">
        <v>205.92</v>
      </c>
    </row>
    <row r="2524" spans="1:11" x14ac:dyDescent="0.2">
      <c r="A2524">
        <v>92091</v>
      </c>
      <c r="B2524">
        <v>82400</v>
      </c>
      <c r="C2524" t="s">
        <v>6135</v>
      </c>
      <c r="D2524">
        <v>9</v>
      </c>
      <c r="E2524">
        <v>1</v>
      </c>
      <c r="F2524">
        <v>2720</v>
      </c>
      <c r="G2524">
        <v>2720</v>
      </c>
      <c r="H2524">
        <v>224</v>
      </c>
      <c r="I2524">
        <v>12.1</v>
      </c>
      <c r="J2524">
        <v>0.99</v>
      </c>
      <c r="K2524">
        <v>2692.8</v>
      </c>
    </row>
    <row r="2525" spans="1:11" x14ac:dyDescent="0.2">
      <c r="B2525">
        <v>82401</v>
      </c>
      <c r="C2525" t="s">
        <v>6136</v>
      </c>
      <c r="D2525">
        <v>12</v>
      </c>
      <c r="E2525">
        <v>1</v>
      </c>
      <c r="F2525">
        <v>150</v>
      </c>
      <c r="G2525">
        <v>150</v>
      </c>
      <c r="H2525">
        <v>100</v>
      </c>
      <c r="I2525">
        <v>1.5</v>
      </c>
      <c r="J2525">
        <v>2.29</v>
      </c>
      <c r="K2525">
        <v>343.5</v>
      </c>
    </row>
    <row r="2526" spans="1:11" x14ac:dyDescent="0.2">
      <c r="B2526">
        <v>82403</v>
      </c>
      <c r="C2526" t="s">
        <v>6137</v>
      </c>
      <c r="D2526">
        <v>12</v>
      </c>
      <c r="E2526">
        <v>1</v>
      </c>
      <c r="F2526">
        <v>0</v>
      </c>
      <c r="G2526">
        <v>0</v>
      </c>
      <c r="H2526">
        <v>144</v>
      </c>
      <c r="I2526">
        <v>0</v>
      </c>
      <c r="J2526">
        <v>1.99</v>
      </c>
      <c r="K2526">
        <v>0</v>
      </c>
    </row>
    <row r="2527" spans="1:11" x14ac:dyDescent="0.2">
      <c r="B2527">
        <v>82415</v>
      </c>
      <c r="C2527" t="s">
        <v>6138</v>
      </c>
      <c r="D2527">
        <v>12</v>
      </c>
      <c r="E2527">
        <v>1</v>
      </c>
      <c r="F2527">
        <v>0</v>
      </c>
      <c r="G2527">
        <v>0</v>
      </c>
      <c r="H2527">
        <v>100</v>
      </c>
      <c r="I2527">
        <v>0</v>
      </c>
      <c r="J2527">
        <v>2.4900000000000002</v>
      </c>
      <c r="K2527">
        <v>0</v>
      </c>
    </row>
    <row r="2528" spans="1:11" x14ac:dyDescent="0.2">
      <c r="A2528">
        <v>92100</v>
      </c>
      <c r="B2528">
        <v>82448</v>
      </c>
      <c r="C2528" t="s">
        <v>6139</v>
      </c>
      <c r="D2528">
        <v>9</v>
      </c>
      <c r="E2528">
        <v>1</v>
      </c>
      <c r="F2528">
        <v>3150</v>
      </c>
      <c r="G2528">
        <v>3150</v>
      </c>
      <c r="H2528">
        <v>56</v>
      </c>
      <c r="I2528">
        <v>56.3</v>
      </c>
      <c r="J2528">
        <v>1.69</v>
      </c>
      <c r="K2528">
        <v>5323.5</v>
      </c>
    </row>
    <row r="2529" spans="1:11" x14ac:dyDescent="0.2">
      <c r="B2529">
        <v>82465</v>
      </c>
      <c r="C2529" t="s">
        <v>6140</v>
      </c>
      <c r="D2529">
        <v>12</v>
      </c>
      <c r="E2529">
        <v>1</v>
      </c>
      <c r="F2529">
        <v>0</v>
      </c>
      <c r="G2529">
        <v>0</v>
      </c>
      <c r="H2529">
        <v>100</v>
      </c>
      <c r="I2529">
        <v>0</v>
      </c>
      <c r="J2529">
        <v>2.69</v>
      </c>
      <c r="K2529">
        <v>0</v>
      </c>
    </row>
    <row r="2530" spans="1:11" x14ac:dyDescent="0.2">
      <c r="A2530">
        <v>92020</v>
      </c>
      <c r="B2530">
        <v>82466</v>
      </c>
      <c r="C2530" t="s">
        <v>6141</v>
      </c>
      <c r="D2530">
        <v>9</v>
      </c>
      <c r="E2530">
        <v>1</v>
      </c>
      <c r="F2530">
        <v>6090</v>
      </c>
      <c r="G2530">
        <v>6090</v>
      </c>
      <c r="H2530">
        <v>56</v>
      </c>
      <c r="I2530">
        <v>108.8</v>
      </c>
      <c r="J2530">
        <v>2.99</v>
      </c>
      <c r="K2530">
        <v>18209.099999999999</v>
      </c>
    </row>
    <row r="2531" spans="1:11" x14ac:dyDescent="0.2">
      <c r="B2531">
        <v>82497</v>
      </c>
      <c r="C2531" t="s">
        <v>6142</v>
      </c>
      <c r="D2531">
        <v>12</v>
      </c>
      <c r="E2531">
        <v>1</v>
      </c>
      <c r="F2531">
        <v>108</v>
      </c>
      <c r="G2531">
        <v>108</v>
      </c>
      <c r="H2531">
        <v>100</v>
      </c>
      <c r="I2531">
        <v>1.1000000000000001</v>
      </c>
      <c r="J2531">
        <v>3.99</v>
      </c>
      <c r="K2531">
        <v>430.92</v>
      </c>
    </row>
    <row r="2532" spans="1:11" x14ac:dyDescent="0.2">
      <c r="B2532">
        <v>82550</v>
      </c>
      <c r="C2532" t="s">
        <v>6143</v>
      </c>
      <c r="D2532">
        <v>12</v>
      </c>
      <c r="E2532">
        <v>1</v>
      </c>
      <c r="F2532">
        <v>0</v>
      </c>
      <c r="G2532">
        <v>0</v>
      </c>
      <c r="H2532">
        <v>96</v>
      </c>
      <c r="I2532">
        <v>0</v>
      </c>
      <c r="J2532">
        <v>2.79</v>
      </c>
      <c r="K2532">
        <v>0</v>
      </c>
    </row>
    <row r="2533" spans="1:11" x14ac:dyDescent="0.2">
      <c r="A2533">
        <v>92099</v>
      </c>
      <c r="B2533">
        <v>82586</v>
      </c>
      <c r="C2533" t="s">
        <v>6144</v>
      </c>
      <c r="D2533">
        <v>9</v>
      </c>
      <c r="E2533">
        <v>1</v>
      </c>
      <c r="F2533">
        <v>3224</v>
      </c>
      <c r="G2533">
        <v>3224</v>
      </c>
      <c r="H2533">
        <v>96</v>
      </c>
      <c r="I2533">
        <v>33.6</v>
      </c>
      <c r="J2533">
        <v>1.49</v>
      </c>
      <c r="K2533">
        <v>4803.76</v>
      </c>
    </row>
    <row r="2534" spans="1:11" x14ac:dyDescent="0.2">
      <c r="A2534">
        <v>92094</v>
      </c>
      <c r="B2534">
        <v>82615</v>
      </c>
      <c r="C2534" t="s">
        <v>6145</v>
      </c>
      <c r="D2534">
        <v>10</v>
      </c>
      <c r="E2534">
        <v>1</v>
      </c>
      <c r="F2534">
        <v>790</v>
      </c>
      <c r="G2534">
        <v>790</v>
      </c>
      <c r="H2534">
        <v>96</v>
      </c>
      <c r="I2534">
        <v>8.1999999999999993</v>
      </c>
      <c r="J2534">
        <v>2.99</v>
      </c>
      <c r="K2534">
        <v>2362.1</v>
      </c>
    </row>
    <row r="2535" spans="1:11" x14ac:dyDescent="0.2">
      <c r="B2535">
        <v>82676</v>
      </c>
      <c r="C2535" t="s">
        <v>6146</v>
      </c>
      <c r="D2535">
        <v>12</v>
      </c>
      <c r="E2535">
        <v>1</v>
      </c>
      <c r="F2535">
        <v>131</v>
      </c>
      <c r="G2535">
        <v>131</v>
      </c>
      <c r="H2535">
        <v>100</v>
      </c>
      <c r="I2535">
        <v>1.3</v>
      </c>
      <c r="J2535">
        <v>1.29</v>
      </c>
      <c r="K2535">
        <v>168.99</v>
      </c>
    </row>
    <row r="2536" spans="1:11" x14ac:dyDescent="0.2">
      <c r="A2536">
        <v>92183</v>
      </c>
      <c r="B2536">
        <v>82690</v>
      </c>
      <c r="C2536" t="s">
        <v>6147</v>
      </c>
      <c r="D2536">
        <v>9</v>
      </c>
      <c r="E2536">
        <v>1</v>
      </c>
      <c r="F2536">
        <v>369</v>
      </c>
      <c r="G2536">
        <v>369</v>
      </c>
      <c r="H2536">
        <v>136</v>
      </c>
      <c r="I2536">
        <v>2.7</v>
      </c>
      <c r="J2536">
        <v>1.99</v>
      </c>
      <c r="K2536">
        <v>734.31</v>
      </c>
    </row>
    <row r="2537" spans="1:11" x14ac:dyDescent="0.2">
      <c r="A2537">
        <v>92138</v>
      </c>
      <c r="B2537">
        <v>82696</v>
      </c>
      <c r="C2537" t="s">
        <v>6148</v>
      </c>
      <c r="D2537">
        <v>12</v>
      </c>
      <c r="E2537">
        <v>1</v>
      </c>
      <c r="F2537">
        <v>4</v>
      </c>
      <c r="G2537">
        <v>4</v>
      </c>
      <c r="H2537">
        <v>100</v>
      </c>
      <c r="I2537">
        <v>0</v>
      </c>
      <c r="J2537">
        <v>2.99</v>
      </c>
      <c r="K2537">
        <v>11.96</v>
      </c>
    </row>
    <row r="2538" spans="1:11" x14ac:dyDescent="0.2">
      <c r="A2538">
        <v>92038</v>
      </c>
      <c r="B2538">
        <v>82700</v>
      </c>
      <c r="C2538" t="s">
        <v>6149</v>
      </c>
      <c r="D2538">
        <v>10</v>
      </c>
      <c r="E2538">
        <v>1</v>
      </c>
      <c r="F2538">
        <v>940</v>
      </c>
      <c r="G2538">
        <v>940</v>
      </c>
      <c r="H2538">
        <v>100</v>
      </c>
      <c r="I2538">
        <v>9.4</v>
      </c>
      <c r="J2538">
        <v>2.99</v>
      </c>
      <c r="K2538">
        <v>2810.6</v>
      </c>
    </row>
    <row r="2539" spans="1:11" x14ac:dyDescent="0.2">
      <c r="B2539">
        <v>82707</v>
      </c>
      <c r="C2539" t="s">
        <v>6150</v>
      </c>
      <c r="D2539">
        <v>11</v>
      </c>
      <c r="E2539">
        <v>1</v>
      </c>
      <c r="F2539">
        <v>258</v>
      </c>
      <c r="G2539">
        <v>258</v>
      </c>
      <c r="H2539">
        <v>100</v>
      </c>
      <c r="I2539">
        <v>2.6</v>
      </c>
      <c r="J2539">
        <v>5.99</v>
      </c>
      <c r="K2539">
        <v>1545.42</v>
      </c>
    </row>
    <row r="2540" spans="1:11" x14ac:dyDescent="0.2">
      <c r="A2540">
        <v>92081</v>
      </c>
      <c r="B2540">
        <v>82712</v>
      </c>
      <c r="C2540" t="s">
        <v>6151</v>
      </c>
      <c r="D2540">
        <v>9</v>
      </c>
      <c r="E2540">
        <v>1</v>
      </c>
      <c r="F2540">
        <v>4200</v>
      </c>
      <c r="G2540">
        <v>4200</v>
      </c>
      <c r="H2540">
        <v>128</v>
      </c>
      <c r="I2540">
        <v>32.799999999999997</v>
      </c>
      <c r="J2540">
        <v>1.69</v>
      </c>
      <c r="K2540">
        <v>7098</v>
      </c>
    </row>
    <row r="2541" spans="1:11" x14ac:dyDescent="0.2">
      <c r="B2541">
        <v>82713</v>
      </c>
      <c r="C2541" t="s">
        <v>6152</v>
      </c>
      <c r="D2541">
        <v>12</v>
      </c>
      <c r="E2541">
        <v>1</v>
      </c>
      <c r="F2541">
        <v>0</v>
      </c>
      <c r="G2541">
        <v>0</v>
      </c>
      <c r="H2541">
        <v>100</v>
      </c>
      <c r="I2541">
        <v>0</v>
      </c>
      <c r="J2541">
        <v>2.99</v>
      </c>
      <c r="K2541">
        <v>0</v>
      </c>
    </row>
    <row r="2542" spans="1:11" x14ac:dyDescent="0.2">
      <c r="A2542">
        <v>92133</v>
      </c>
      <c r="B2542">
        <v>82721</v>
      </c>
      <c r="C2542" t="s">
        <v>6153</v>
      </c>
      <c r="D2542">
        <v>9</v>
      </c>
      <c r="E2542">
        <v>1</v>
      </c>
      <c r="F2542">
        <v>638</v>
      </c>
      <c r="G2542">
        <v>638</v>
      </c>
      <c r="H2542">
        <v>40</v>
      </c>
      <c r="I2542">
        <v>16</v>
      </c>
      <c r="J2542">
        <v>1.59</v>
      </c>
      <c r="K2542">
        <v>1014.42</v>
      </c>
    </row>
    <row r="2543" spans="1:11" x14ac:dyDescent="0.2">
      <c r="A2543">
        <v>92904</v>
      </c>
      <c r="B2543">
        <v>82726</v>
      </c>
      <c r="C2543" t="s">
        <v>6154</v>
      </c>
      <c r="D2543">
        <v>10</v>
      </c>
      <c r="E2543">
        <v>1</v>
      </c>
      <c r="F2543">
        <v>8360</v>
      </c>
      <c r="G2543">
        <v>8360</v>
      </c>
      <c r="H2543">
        <v>100</v>
      </c>
      <c r="I2543">
        <v>83.6</v>
      </c>
      <c r="J2543">
        <v>2.4900000000000002</v>
      </c>
      <c r="K2543">
        <v>20816.400000000001</v>
      </c>
    </row>
    <row r="2544" spans="1:11" x14ac:dyDescent="0.2">
      <c r="A2544">
        <v>92140</v>
      </c>
      <c r="B2544">
        <v>82731</v>
      </c>
      <c r="C2544" t="s">
        <v>6155</v>
      </c>
      <c r="D2544">
        <v>9</v>
      </c>
      <c r="E2544">
        <v>1</v>
      </c>
      <c r="F2544">
        <v>782</v>
      </c>
      <c r="G2544">
        <v>782</v>
      </c>
      <c r="H2544">
        <v>100</v>
      </c>
      <c r="I2544">
        <v>7.8</v>
      </c>
      <c r="J2544">
        <v>1.79</v>
      </c>
      <c r="K2544">
        <v>1399.78</v>
      </c>
    </row>
    <row r="2545" spans="1:11" x14ac:dyDescent="0.2">
      <c r="A2545">
        <v>92330</v>
      </c>
      <c r="B2545">
        <v>82746</v>
      </c>
      <c r="C2545" t="s">
        <v>6156</v>
      </c>
      <c r="D2545">
        <v>9</v>
      </c>
      <c r="E2545">
        <v>1</v>
      </c>
      <c r="F2545">
        <v>480</v>
      </c>
      <c r="G2545">
        <v>480</v>
      </c>
      <c r="H2545">
        <v>100</v>
      </c>
      <c r="I2545">
        <v>4.8</v>
      </c>
      <c r="J2545">
        <v>1.99</v>
      </c>
      <c r="K2545">
        <v>955.2</v>
      </c>
    </row>
    <row r="2546" spans="1:11" x14ac:dyDescent="0.2">
      <c r="B2546">
        <v>82754</v>
      </c>
      <c r="C2546" t="s">
        <v>6157</v>
      </c>
      <c r="D2546">
        <v>11</v>
      </c>
      <c r="E2546">
        <v>1</v>
      </c>
      <c r="F2546">
        <v>0</v>
      </c>
      <c r="G2546">
        <v>0</v>
      </c>
      <c r="H2546">
        <v>60</v>
      </c>
      <c r="I2546">
        <v>0</v>
      </c>
      <c r="J2546">
        <v>0.99</v>
      </c>
      <c r="K2546">
        <v>0</v>
      </c>
    </row>
    <row r="2547" spans="1:11" x14ac:dyDescent="0.2">
      <c r="B2547">
        <v>82755</v>
      </c>
      <c r="C2547" t="s">
        <v>6158</v>
      </c>
      <c r="D2547">
        <v>12</v>
      </c>
      <c r="E2547">
        <v>1</v>
      </c>
      <c r="F2547">
        <v>0</v>
      </c>
      <c r="G2547">
        <v>0</v>
      </c>
      <c r="H2547">
        <v>100</v>
      </c>
      <c r="I2547">
        <v>0</v>
      </c>
      <c r="J2547">
        <v>1.39</v>
      </c>
      <c r="K2547">
        <v>0</v>
      </c>
    </row>
    <row r="2548" spans="1:11" x14ac:dyDescent="0.2">
      <c r="A2548">
        <v>92125</v>
      </c>
      <c r="B2548">
        <v>82760</v>
      </c>
      <c r="C2548" t="s">
        <v>6159</v>
      </c>
      <c r="D2548">
        <v>9</v>
      </c>
      <c r="E2548">
        <v>1</v>
      </c>
      <c r="F2548">
        <v>4607</v>
      </c>
      <c r="G2548">
        <v>4607</v>
      </c>
      <c r="H2548">
        <v>48</v>
      </c>
      <c r="I2548">
        <v>96</v>
      </c>
      <c r="J2548">
        <v>1.19</v>
      </c>
      <c r="K2548">
        <v>5482.33</v>
      </c>
    </row>
    <row r="2549" spans="1:11" x14ac:dyDescent="0.2">
      <c r="B2549">
        <v>82761</v>
      </c>
      <c r="C2549" t="s">
        <v>6160</v>
      </c>
      <c r="D2549">
        <v>12</v>
      </c>
      <c r="E2549">
        <v>1</v>
      </c>
      <c r="F2549">
        <v>0</v>
      </c>
      <c r="G2549">
        <v>0</v>
      </c>
      <c r="H2549">
        <v>100</v>
      </c>
      <c r="I2549">
        <v>0</v>
      </c>
      <c r="J2549">
        <v>1.39</v>
      </c>
      <c r="K2549">
        <v>0</v>
      </c>
    </row>
    <row r="2550" spans="1:11" x14ac:dyDescent="0.2">
      <c r="A2550">
        <v>92113</v>
      </c>
      <c r="B2550">
        <v>82763</v>
      </c>
      <c r="C2550" t="s">
        <v>6161</v>
      </c>
      <c r="D2550">
        <v>9</v>
      </c>
      <c r="E2550">
        <v>1</v>
      </c>
      <c r="F2550">
        <v>1908</v>
      </c>
      <c r="G2550">
        <v>1908</v>
      </c>
      <c r="H2550">
        <v>100</v>
      </c>
      <c r="I2550">
        <v>19.100000000000001</v>
      </c>
      <c r="J2550">
        <v>1.79</v>
      </c>
      <c r="K2550">
        <v>3415.32</v>
      </c>
    </row>
    <row r="2551" spans="1:11" x14ac:dyDescent="0.2">
      <c r="B2551">
        <v>82764</v>
      </c>
      <c r="C2551" t="s">
        <v>6162</v>
      </c>
      <c r="D2551">
        <v>12</v>
      </c>
      <c r="E2551">
        <v>1</v>
      </c>
      <c r="F2551">
        <v>40</v>
      </c>
      <c r="G2551">
        <v>40</v>
      </c>
      <c r="H2551">
        <v>100</v>
      </c>
      <c r="I2551">
        <v>0.4</v>
      </c>
      <c r="J2551">
        <v>1.79</v>
      </c>
      <c r="K2551">
        <v>71.599999999999994</v>
      </c>
    </row>
    <row r="2552" spans="1:11" x14ac:dyDescent="0.2">
      <c r="A2552">
        <v>92198</v>
      </c>
      <c r="B2552">
        <v>82768</v>
      </c>
      <c r="C2552" t="s">
        <v>6163</v>
      </c>
      <c r="D2552">
        <v>10</v>
      </c>
      <c r="E2552">
        <v>1</v>
      </c>
      <c r="F2552">
        <v>0</v>
      </c>
      <c r="G2552">
        <v>0</v>
      </c>
      <c r="H2552">
        <v>100</v>
      </c>
      <c r="I2552">
        <v>0</v>
      </c>
      <c r="J2552">
        <v>1.99</v>
      </c>
      <c r="K2552">
        <v>0</v>
      </c>
    </row>
    <row r="2553" spans="1:11" x14ac:dyDescent="0.2">
      <c r="B2553">
        <v>82781</v>
      </c>
      <c r="C2553" t="s">
        <v>6164</v>
      </c>
      <c r="D2553">
        <v>12</v>
      </c>
      <c r="E2553">
        <v>1</v>
      </c>
      <c r="F2553">
        <v>0</v>
      </c>
      <c r="G2553">
        <v>0</v>
      </c>
      <c r="H2553">
        <v>100</v>
      </c>
      <c r="I2553">
        <v>0</v>
      </c>
      <c r="J2553">
        <v>1.59</v>
      </c>
      <c r="K2553">
        <v>0</v>
      </c>
    </row>
    <row r="2554" spans="1:11" x14ac:dyDescent="0.2">
      <c r="A2554">
        <v>92123</v>
      </c>
      <c r="B2554">
        <v>82792</v>
      </c>
      <c r="C2554" t="s">
        <v>6165</v>
      </c>
      <c r="D2554">
        <v>9</v>
      </c>
      <c r="E2554">
        <v>1</v>
      </c>
      <c r="F2554">
        <v>636</v>
      </c>
      <c r="G2554">
        <v>636</v>
      </c>
      <c r="H2554">
        <v>88</v>
      </c>
      <c r="I2554">
        <v>7.2</v>
      </c>
      <c r="J2554">
        <v>1.79</v>
      </c>
      <c r="K2554">
        <v>1138.44</v>
      </c>
    </row>
    <row r="2555" spans="1:11" x14ac:dyDescent="0.2">
      <c r="B2555">
        <v>82811</v>
      </c>
      <c r="C2555" t="s">
        <v>6166</v>
      </c>
      <c r="D2555">
        <v>11</v>
      </c>
      <c r="E2555">
        <v>1</v>
      </c>
      <c r="F2555">
        <v>10</v>
      </c>
      <c r="G2555">
        <v>10</v>
      </c>
      <c r="H2555">
        <v>48</v>
      </c>
      <c r="I2555">
        <v>0.2</v>
      </c>
      <c r="J2555">
        <v>1.29</v>
      </c>
      <c r="K2555">
        <v>12.9</v>
      </c>
    </row>
    <row r="2556" spans="1:11" x14ac:dyDescent="0.2">
      <c r="A2556">
        <v>92082</v>
      </c>
      <c r="B2556">
        <v>82831</v>
      </c>
      <c r="C2556" t="s">
        <v>6167</v>
      </c>
      <c r="D2556">
        <v>9</v>
      </c>
      <c r="E2556">
        <v>1</v>
      </c>
      <c r="F2556">
        <v>3472</v>
      </c>
      <c r="G2556">
        <v>3472</v>
      </c>
      <c r="H2556">
        <v>128</v>
      </c>
      <c r="I2556">
        <v>27.1</v>
      </c>
      <c r="J2556">
        <v>0.79</v>
      </c>
      <c r="K2556">
        <v>2742.88</v>
      </c>
    </row>
    <row r="2557" spans="1:11" x14ac:dyDescent="0.2">
      <c r="A2557">
        <v>92905</v>
      </c>
      <c r="B2557">
        <v>82833</v>
      </c>
      <c r="C2557" t="s">
        <v>6168</v>
      </c>
      <c r="D2557">
        <v>10</v>
      </c>
      <c r="E2557">
        <v>1</v>
      </c>
      <c r="F2557">
        <v>1572</v>
      </c>
      <c r="G2557">
        <v>1572</v>
      </c>
      <c r="H2557">
        <v>100</v>
      </c>
      <c r="I2557">
        <v>15.7</v>
      </c>
      <c r="J2557">
        <v>2.29</v>
      </c>
      <c r="K2557">
        <v>3599.88</v>
      </c>
    </row>
    <row r="2558" spans="1:11" x14ac:dyDescent="0.2">
      <c r="A2558">
        <v>92327</v>
      </c>
      <c r="B2558">
        <v>82836</v>
      </c>
      <c r="C2558" t="s">
        <v>6169</v>
      </c>
      <c r="D2558">
        <v>9</v>
      </c>
      <c r="E2558">
        <v>1</v>
      </c>
      <c r="F2558">
        <v>1142</v>
      </c>
      <c r="G2558">
        <v>1142</v>
      </c>
      <c r="H2558">
        <v>30</v>
      </c>
      <c r="I2558">
        <v>38.1</v>
      </c>
      <c r="J2558">
        <v>1.99</v>
      </c>
      <c r="K2558">
        <v>2272.58</v>
      </c>
    </row>
    <row r="2559" spans="1:11" x14ac:dyDescent="0.2">
      <c r="A2559">
        <v>92131</v>
      </c>
      <c r="B2559">
        <v>82841</v>
      </c>
      <c r="C2559" t="s">
        <v>6170</v>
      </c>
      <c r="D2559">
        <v>9</v>
      </c>
      <c r="E2559">
        <v>1</v>
      </c>
      <c r="F2559">
        <v>1088</v>
      </c>
      <c r="G2559">
        <v>1088</v>
      </c>
      <c r="H2559">
        <v>100</v>
      </c>
      <c r="I2559">
        <v>10.9</v>
      </c>
      <c r="J2559">
        <v>1.99</v>
      </c>
      <c r="K2559">
        <v>2165.12</v>
      </c>
    </row>
    <row r="2560" spans="1:11" x14ac:dyDescent="0.2">
      <c r="B2560">
        <v>82846</v>
      </c>
      <c r="C2560" t="s">
        <v>6171</v>
      </c>
      <c r="D2560">
        <v>11</v>
      </c>
      <c r="E2560">
        <v>1</v>
      </c>
      <c r="F2560">
        <v>260</v>
      </c>
      <c r="G2560">
        <v>260</v>
      </c>
      <c r="H2560">
        <v>100</v>
      </c>
      <c r="I2560">
        <v>2.6</v>
      </c>
      <c r="J2560">
        <v>1.79</v>
      </c>
      <c r="K2560">
        <v>465.4</v>
      </c>
    </row>
    <row r="2561" spans="1:11" x14ac:dyDescent="0.2">
      <c r="B2561">
        <v>82860</v>
      </c>
      <c r="C2561" t="s">
        <v>6172</v>
      </c>
      <c r="D2561">
        <v>12</v>
      </c>
      <c r="E2561">
        <v>1</v>
      </c>
      <c r="F2561">
        <v>72</v>
      </c>
      <c r="G2561">
        <v>72</v>
      </c>
      <c r="H2561">
        <v>112</v>
      </c>
      <c r="I2561">
        <v>0.6</v>
      </c>
      <c r="J2561">
        <v>1.49</v>
      </c>
      <c r="K2561">
        <v>107.28</v>
      </c>
    </row>
    <row r="2562" spans="1:11" x14ac:dyDescent="0.2">
      <c r="A2562">
        <v>92109</v>
      </c>
      <c r="B2562">
        <v>82876</v>
      </c>
      <c r="C2562" t="s">
        <v>6173</v>
      </c>
      <c r="D2562">
        <v>9</v>
      </c>
      <c r="E2562">
        <v>1</v>
      </c>
      <c r="F2562">
        <v>1447</v>
      </c>
      <c r="G2562">
        <v>1447</v>
      </c>
      <c r="H2562">
        <v>48</v>
      </c>
      <c r="I2562">
        <v>30.1</v>
      </c>
      <c r="J2562">
        <v>1.99</v>
      </c>
      <c r="K2562">
        <v>2879.53</v>
      </c>
    </row>
    <row r="2563" spans="1:11" x14ac:dyDescent="0.2">
      <c r="A2563">
        <v>92135</v>
      </c>
      <c r="B2563">
        <v>82904</v>
      </c>
      <c r="C2563" t="s">
        <v>6174</v>
      </c>
      <c r="D2563">
        <v>9</v>
      </c>
      <c r="E2563">
        <v>1</v>
      </c>
      <c r="F2563">
        <v>1632</v>
      </c>
      <c r="G2563">
        <v>1632</v>
      </c>
      <c r="H2563">
        <v>100</v>
      </c>
      <c r="I2563">
        <v>16.3</v>
      </c>
      <c r="J2563">
        <v>0.99</v>
      </c>
      <c r="K2563">
        <v>1615.68</v>
      </c>
    </row>
    <row r="2564" spans="1:11" x14ac:dyDescent="0.2">
      <c r="B2564">
        <v>82910</v>
      </c>
      <c r="C2564" t="s">
        <v>6175</v>
      </c>
      <c r="D2564">
        <v>12</v>
      </c>
      <c r="E2564">
        <v>1</v>
      </c>
      <c r="F2564">
        <v>0</v>
      </c>
      <c r="G2564">
        <v>0</v>
      </c>
      <c r="H2564">
        <v>100</v>
      </c>
      <c r="I2564">
        <v>0</v>
      </c>
      <c r="J2564">
        <v>1.49</v>
      </c>
      <c r="K2564">
        <v>0</v>
      </c>
    </row>
    <row r="2565" spans="1:11" x14ac:dyDescent="0.2">
      <c r="B2565">
        <v>82911</v>
      </c>
      <c r="C2565" t="s">
        <v>6175</v>
      </c>
      <c r="D2565">
        <v>12</v>
      </c>
      <c r="E2565">
        <v>1</v>
      </c>
      <c r="F2565">
        <v>0</v>
      </c>
      <c r="G2565">
        <v>0</v>
      </c>
      <c r="H2565">
        <v>1</v>
      </c>
      <c r="I2565">
        <v>0</v>
      </c>
      <c r="J2565">
        <v>1.29</v>
      </c>
      <c r="K2565">
        <v>0</v>
      </c>
    </row>
    <row r="2566" spans="1:11" x14ac:dyDescent="0.2">
      <c r="B2566">
        <v>82919</v>
      </c>
      <c r="C2566" t="s">
        <v>6176</v>
      </c>
      <c r="D2566">
        <v>11</v>
      </c>
      <c r="E2566">
        <v>1</v>
      </c>
      <c r="F2566">
        <v>114</v>
      </c>
      <c r="G2566">
        <v>114</v>
      </c>
      <c r="H2566">
        <v>100</v>
      </c>
      <c r="I2566">
        <v>1.1000000000000001</v>
      </c>
      <c r="J2566">
        <v>1.79</v>
      </c>
      <c r="K2566">
        <v>204.06</v>
      </c>
    </row>
    <row r="2567" spans="1:11" x14ac:dyDescent="0.2">
      <c r="A2567">
        <v>92167</v>
      </c>
      <c r="B2567">
        <v>82931</v>
      </c>
      <c r="C2567" t="s">
        <v>6177</v>
      </c>
      <c r="D2567">
        <v>9</v>
      </c>
      <c r="E2567">
        <v>1</v>
      </c>
      <c r="F2567">
        <v>160</v>
      </c>
      <c r="G2567">
        <v>160</v>
      </c>
      <c r="H2567">
        <v>100</v>
      </c>
      <c r="I2567">
        <v>1.6</v>
      </c>
      <c r="J2567">
        <v>1.19</v>
      </c>
      <c r="K2567">
        <v>190.4</v>
      </c>
    </row>
    <row r="2568" spans="1:11" x14ac:dyDescent="0.2">
      <c r="B2568">
        <v>82956</v>
      </c>
      <c r="C2568" t="s">
        <v>6178</v>
      </c>
      <c r="D2568">
        <v>11</v>
      </c>
      <c r="E2568">
        <v>1</v>
      </c>
      <c r="F2568">
        <v>76</v>
      </c>
      <c r="G2568">
        <v>76</v>
      </c>
      <c r="H2568">
        <v>100</v>
      </c>
      <c r="I2568">
        <v>0.8</v>
      </c>
      <c r="J2568">
        <v>1.59</v>
      </c>
      <c r="K2568">
        <v>120.84</v>
      </c>
    </row>
    <row r="2569" spans="1:11" x14ac:dyDescent="0.2">
      <c r="B2569">
        <v>82957</v>
      </c>
      <c r="C2569" t="s">
        <v>6179</v>
      </c>
      <c r="D2569">
        <v>11</v>
      </c>
      <c r="E2569">
        <v>1</v>
      </c>
      <c r="F2569">
        <v>-47</v>
      </c>
      <c r="G2569">
        <v>-47</v>
      </c>
      <c r="H2569">
        <v>40</v>
      </c>
      <c r="I2569">
        <v>-1.2</v>
      </c>
      <c r="J2569">
        <v>1.49</v>
      </c>
      <c r="K2569">
        <v>-70.03</v>
      </c>
    </row>
    <row r="2570" spans="1:11" x14ac:dyDescent="0.2">
      <c r="A2570">
        <v>92181</v>
      </c>
      <c r="B2570">
        <v>83015</v>
      </c>
      <c r="C2570" t="s">
        <v>6180</v>
      </c>
      <c r="D2570">
        <v>9</v>
      </c>
      <c r="E2570">
        <v>1</v>
      </c>
      <c r="F2570">
        <v>2236</v>
      </c>
      <c r="G2570">
        <v>2236</v>
      </c>
      <c r="H2570">
        <v>99</v>
      </c>
      <c r="I2570">
        <v>22.6</v>
      </c>
      <c r="J2570">
        <v>0.99</v>
      </c>
      <c r="K2570">
        <v>2213.64</v>
      </c>
    </row>
    <row r="2571" spans="1:11" x14ac:dyDescent="0.2">
      <c r="A2571">
        <v>92180</v>
      </c>
      <c r="B2571">
        <v>83018</v>
      </c>
      <c r="C2571" t="s">
        <v>6181</v>
      </c>
      <c r="D2571">
        <v>9</v>
      </c>
      <c r="E2571">
        <v>1</v>
      </c>
      <c r="F2571">
        <v>1980</v>
      </c>
      <c r="G2571">
        <v>1980</v>
      </c>
      <c r="H2571">
        <v>10</v>
      </c>
      <c r="I2571">
        <v>198</v>
      </c>
      <c r="J2571">
        <v>1.79</v>
      </c>
      <c r="K2571">
        <v>3544.2</v>
      </c>
    </row>
    <row r="2572" spans="1:11" x14ac:dyDescent="0.2">
      <c r="A2572">
        <v>92185</v>
      </c>
      <c r="B2572">
        <v>83033</v>
      </c>
      <c r="C2572" t="s">
        <v>6182</v>
      </c>
      <c r="D2572">
        <v>9</v>
      </c>
      <c r="E2572">
        <v>1</v>
      </c>
      <c r="F2572">
        <v>548</v>
      </c>
      <c r="G2572">
        <v>548</v>
      </c>
      <c r="H2572">
        <v>100</v>
      </c>
      <c r="I2572">
        <v>5.5</v>
      </c>
      <c r="J2572">
        <v>1.59</v>
      </c>
      <c r="K2572">
        <v>871.32</v>
      </c>
    </row>
    <row r="2573" spans="1:11" x14ac:dyDescent="0.2">
      <c r="B2573">
        <v>83040</v>
      </c>
      <c r="C2573" t="s">
        <v>6183</v>
      </c>
      <c r="D2573">
        <v>12</v>
      </c>
      <c r="E2573">
        <v>1</v>
      </c>
      <c r="F2573">
        <v>136</v>
      </c>
      <c r="G2573">
        <v>136</v>
      </c>
      <c r="H2573">
        <v>100</v>
      </c>
      <c r="I2573">
        <v>1.4</v>
      </c>
      <c r="J2573">
        <v>4.49</v>
      </c>
      <c r="K2573">
        <v>610.64</v>
      </c>
    </row>
    <row r="2574" spans="1:11" x14ac:dyDescent="0.2">
      <c r="A2574">
        <v>92190</v>
      </c>
      <c r="B2574">
        <v>83096</v>
      </c>
      <c r="C2574" t="s">
        <v>6184</v>
      </c>
      <c r="D2574">
        <v>9</v>
      </c>
      <c r="E2574">
        <v>1</v>
      </c>
      <c r="F2574">
        <v>1320</v>
      </c>
      <c r="G2574">
        <v>1320</v>
      </c>
      <c r="H2574">
        <v>40</v>
      </c>
      <c r="I2574">
        <v>33</v>
      </c>
      <c r="J2574">
        <v>0.99</v>
      </c>
      <c r="K2574">
        <v>1306.8</v>
      </c>
    </row>
    <row r="2575" spans="1:11" x14ac:dyDescent="0.2">
      <c r="A2575">
        <v>92830</v>
      </c>
      <c r="B2575">
        <v>83103</v>
      </c>
      <c r="C2575" t="s">
        <v>6185</v>
      </c>
      <c r="D2575">
        <v>10</v>
      </c>
      <c r="E2575">
        <v>1</v>
      </c>
      <c r="F2575">
        <v>492</v>
      </c>
      <c r="G2575">
        <v>492</v>
      </c>
      <c r="H2575">
        <v>100</v>
      </c>
      <c r="I2575">
        <v>4.9000000000000004</v>
      </c>
      <c r="J2575">
        <v>1.39</v>
      </c>
      <c r="K2575">
        <v>683.88</v>
      </c>
    </row>
    <row r="2576" spans="1:11" x14ac:dyDescent="0.2">
      <c r="B2576">
        <v>83119</v>
      </c>
      <c r="C2576" t="s">
        <v>6186</v>
      </c>
      <c r="D2576">
        <v>12</v>
      </c>
      <c r="E2576">
        <v>1</v>
      </c>
      <c r="F2576">
        <v>0</v>
      </c>
      <c r="G2576">
        <v>0</v>
      </c>
      <c r="H2576">
        <v>48</v>
      </c>
      <c r="I2576">
        <v>0</v>
      </c>
      <c r="J2576">
        <v>1.99</v>
      </c>
      <c r="K2576">
        <v>0</v>
      </c>
    </row>
    <row r="2577" spans="1:11" x14ac:dyDescent="0.2">
      <c r="A2577">
        <v>92080</v>
      </c>
      <c r="B2577">
        <v>83130</v>
      </c>
      <c r="C2577" t="s">
        <v>6187</v>
      </c>
      <c r="D2577">
        <v>9</v>
      </c>
      <c r="E2577">
        <v>1</v>
      </c>
      <c r="F2577">
        <v>1400</v>
      </c>
      <c r="G2577">
        <v>1400</v>
      </c>
      <c r="H2577">
        <v>100</v>
      </c>
      <c r="I2577">
        <v>14</v>
      </c>
      <c r="J2577">
        <v>1.99</v>
      </c>
      <c r="K2577">
        <v>2786</v>
      </c>
    </row>
    <row r="2578" spans="1:11" x14ac:dyDescent="0.2">
      <c r="A2578">
        <v>92533</v>
      </c>
      <c r="B2578">
        <v>83142</v>
      </c>
      <c r="C2578" t="s">
        <v>6188</v>
      </c>
      <c r="D2578">
        <v>12</v>
      </c>
      <c r="E2578">
        <v>1</v>
      </c>
      <c r="F2578">
        <v>0</v>
      </c>
      <c r="G2578">
        <v>0</v>
      </c>
      <c r="H2578">
        <v>100</v>
      </c>
      <c r="I2578">
        <v>0</v>
      </c>
      <c r="J2578">
        <v>1.79</v>
      </c>
      <c r="K2578">
        <v>0</v>
      </c>
    </row>
    <row r="2579" spans="1:11" x14ac:dyDescent="0.2">
      <c r="A2579">
        <v>92499</v>
      </c>
      <c r="B2579">
        <v>83162</v>
      </c>
      <c r="C2579" t="s">
        <v>6189</v>
      </c>
      <c r="D2579">
        <v>12</v>
      </c>
      <c r="E2579">
        <v>1</v>
      </c>
      <c r="F2579">
        <v>0</v>
      </c>
      <c r="G2579">
        <v>0</v>
      </c>
      <c r="H2579">
        <v>60</v>
      </c>
      <c r="I2579">
        <v>0</v>
      </c>
      <c r="J2579">
        <v>2.4900000000000002</v>
      </c>
      <c r="K2579">
        <v>0</v>
      </c>
    </row>
    <row r="2580" spans="1:11" x14ac:dyDescent="0.2">
      <c r="A2580">
        <v>92084</v>
      </c>
      <c r="B2580">
        <v>83222</v>
      </c>
      <c r="C2580" t="s">
        <v>6190</v>
      </c>
      <c r="D2580">
        <v>10</v>
      </c>
      <c r="E2580">
        <v>1</v>
      </c>
      <c r="F2580">
        <v>540</v>
      </c>
      <c r="G2580">
        <v>540</v>
      </c>
      <c r="H2580">
        <v>100</v>
      </c>
      <c r="I2580">
        <v>5.4</v>
      </c>
      <c r="J2580">
        <v>1.79</v>
      </c>
      <c r="K2580">
        <v>966.6</v>
      </c>
    </row>
    <row r="2581" spans="1:11" x14ac:dyDescent="0.2">
      <c r="A2581">
        <v>92068</v>
      </c>
      <c r="B2581">
        <v>83223</v>
      </c>
      <c r="C2581" t="s">
        <v>6191</v>
      </c>
      <c r="D2581">
        <v>9</v>
      </c>
      <c r="E2581">
        <v>1</v>
      </c>
      <c r="F2581">
        <v>4420</v>
      </c>
      <c r="G2581">
        <v>4420</v>
      </c>
      <c r="H2581">
        <v>50</v>
      </c>
      <c r="I2581">
        <v>88.4</v>
      </c>
      <c r="J2581">
        <v>2.29</v>
      </c>
      <c r="K2581">
        <v>10121.799999999999</v>
      </c>
    </row>
    <row r="2582" spans="1:11" x14ac:dyDescent="0.2">
      <c r="A2582">
        <v>92019</v>
      </c>
      <c r="B2582">
        <v>83225</v>
      </c>
      <c r="C2582" t="s">
        <v>6192</v>
      </c>
      <c r="D2582">
        <v>9</v>
      </c>
      <c r="E2582">
        <v>1</v>
      </c>
      <c r="F2582">
        <v>1386</v>
      </c>
      <c r="G2582">
        <v>1386</v>
      </c>
      <c r="H2582">
        <v>50</v>
      </c>
      <c r="I2582">
        <v>27.7</v>
      </c>
      <c r="J2582">
        <v>2.79</v>
      </c>
      <c r="K2582">
        <v>3866.94</v>
      </c>
    </row>
    <row r="2583" spans="1:11" x14ac:dyDescent="0.2">
      <c r="B2583">
        <v>83226</v>
      </c>
      <c r="C2583" t="s">
        <v>6193</v>
      </c>
      <c r="D2583">
        <v>11</v>
      </c>
      <c r="E2583">
        <v>1</v>
      </c>
      <c r="F2583">
        <v>25</v>
      </c>
      <c r="G2583">
        <v>25</v>
      </c>
      <c r="H2583">
        <v>100</v>
      </c>
      <c r="I2583">
        <v>0.3</v>
      </c>
      <c r="J2583">
        <v>2.99</v>
      </c>
      <c r="K2583">
        <v>74.75</v>
      </c>
    </row>
    <row r="2584" spans="1:11" x14ac:dyDescent="0.2">
      <c r="B2584">
        <v>83245</v>
      </c>
      <c r="C2584" t="s">
        <v>6194</v>
      </c>
      <c r="D2584">
        <v>9</v>
      </c>
      <c r="E2584">
        <v>1</v>
      </c>
      <c r="F2584">
        <v>288</v>
      </c>
      <c r="G2584">
        <v>288</v>
      </c>
      <c r="H2584">
        <v>100</v>
      </c>
      <c r="I2584">
        <v>2.9</v>
      </c>
      <c r="J2584">
        <v>2.29</v>
      </c>
      <c r="K2584">
        <v>659.52</v>
      </c>
    </row>
    <row r="2585" spans="1:11" x14ac:dyDescent="0.2">
      <c r="B2585">
        <v>83274</v>
      </c>
      <c r="C2585" t="s">
        <v>6195</v>
      </c>
      <c r="D2585">
        <v>12</v>
      </c>
      <c r="E2585">
        <v>1</v>
      </c>
      <c r="F2585">
        <v>12</v>
      </c>
      <c r="G2585">
        <v>12</v>
      </c>
      <c r="H2585">
        <v>100</v>
      </c>
      <c r="I2585">
        <v>0.1</v>
      </c>
      <c r="J2585">
        <v>2.4900000000000002</v>
      </c>
      <c r="K2585">
        <v>29.88</v>
      </c>
    </row>
    <row r="2586" spans="1:11" x14ac:dyDescent="0.2">
      <c r="A2586">
        <v>92005</v>
      </c>
      <c r="B2586">
        <v>83277</v>
      </c>
      <c r="C2586" t="s">
        <v>6196</v>
      </c>
      <c r="D2586">
        <v>9</v>
      </c>
      <c r="E2586">
        <v>1</v>
      </c>
      <c r="F2586">
        <v>3620</v>
      </c>
      <c r="G2586">
        <v>3620</v>
      </c>
      <c r="H2586">
        <v>100</v>
      </c>
      <c r="I2586">
        <v>36.200000000000003</v>
      </c>
      <c r="J2586">
        <v>3.79</v>
      </c>
      <c r="K2586">
        <v>13719.8</v>
      </c>
    </row>
    <row r="2587" spans="1:11" x14ac:dyDescent="0.2">
      <c r="A2587">
        <v>92076</v>
      </c>
      <c r="B2587">
        <v>83295</v>
      </c>
      <c r="C2587" t="s">
        <v>6197</v>
      </c>
      <c r="D2587">
        <v>9</v>
      </c>
      <c r="E2587">
        <v>1</v>
      </c>
      <c r="F2587">
        <v>2046</v>
      </c>
      <c r="G2587">
        <v>2046</v>
      </c>
      <c r="H2587">
        <v>50</v>
      </c>
      <c r="I2587">
        <v>40.9</v>
      </c>
      <c r="J2587">
        <v>2.79</v>
      </c>
      <c r="K2587">
        <v>5708.34</v>
      </c>
    </row>
    <row r="2588" spans="1:11" x14ac:dyDescent="0.2">
      <c r="A2588">
        <v>92074</v>
      </c>
      <c r="B2588">
        <v>83302</v>
      </c>
      <c r="C2588" t="s">
        <v>6198</v>
      </c>
      <c r="D2588">
        <v>10</v>
      </c>
      <c r="E2588">
        <v>1</v>
      </c>
      <c r="F2588">
        <v>2154</v>
      </c>
      <c r="G2588">
        <v>2154</v>
      </c>
      <c r="H2588">
        <v>100</v>
      </c>
      <c r="I2588">
        <v>21.5</v>
      </c>
      <c r="J2588">
        <v>2.09</v>
      </c>
      <c r="K2588">
        <v>4501.8599999999997</v>
      </c>
    </row>
    <row r="2589" spans="1:11" x14ac:dyDescent="0.2">
      <c r="A2589">
        <v>92069</v>
      </c>
      <c r="B2589">
        <v>83321</v>
      </c>
      <c r="C2589" t="s">
        <v>6199</v>
      </c>
      <c r="D2589">
        <v>9</v>
      </c>
      <c r="E2589">
        <v>1</v>
      </c>
      <c r="F2589">
        <v>480</v>
      </c>
      <c r="G2589">
        <v>480</v>
      </c>
      <c r="H2589">
        <v>88</v>
      </c>
      <c r="I2589">
        <v>5.5</v>
      </c>
      <c r="J2589">
        <v>1.29</v>
      </c>
      <c r="K2589">
        <v>619.20000000000005</v>
      </c>
    </row>
    <row r="2590" spans="1:11" x14ac:dyDescent="0.2">
      <c r="B2590">
        <v>83328</v>
      </c>
      <c r="C2590" t="s">
        <v>6200</v>
      </c>
      <c r="D2590">
        <v>12</v>
      </c>
      <c r="E2590">
        <v>1</v>
      </c>
      <c r="F2590">
        <v>-30</v>
      </c>
      <c r="G2590">
        <v>-30</v>
      </c>
      <c r="H2590">
        <v>100</v>
      </c>
      <c r="I2590">
        <v>-0.3</v>
      </c>
      <c r="J2590">
        <v>0.99</v>
      </c>
      <c r="K2590">
        <v>-29.7</v>
      </c>
    </row>
    <row r="2591" spans="1:11" x14ac:dyDescent="0.2">
      <c r="B2591">
        <v>83330</v>
      </c>
      <c r="C2591" t="s">
        <v>6201</v>
      </c>
      <c r="D2591">
        <v>9</v>
      </c>
      <c r="E2591">
        <v>1</v>
      </c>
      <c r="F2591">
        <v>10</v>
      </c>
      <c r="G2591">
        <v>10</v>
      </c>
      <c r="H2591">
        <v>100</v>
      </c>
      <c r="I2591">
        <v>0.1</v>
      </c>
      <c r="J2591">
        <v>1.29</v>
      </c>
      <c r="K2591">
        <v>12.9</v>
      </c>
    </row>
    <row r="2592" spans="1:11" x14ac:dyDescent="0.2">
      <c r="A2592">
        <v>92075</v>
      </c>
      <c r="B2592">
        <v>83331</v>
      </c>
      <c r="C2592" t="s">
        <v>6202</v>
      </c>
      <c r="D2592">
        <v>9</v>
      </c>
      <c r="E2592">
        <v>1</v>
      </c>
      <c r="F2592">
        <v>5208</v>
      </c>
      <c r="G2592">
        <v>5208</v>
      </c>
      <c r="H2592">
        <v>100</v>
      </c>
      <c r="I2592">
        <v>52.1</v>
      </c>
      <c r="J2592">
        <v>0.99</v>
      </c>
      <c r="K2592">
        <v>5155.92</v>
      </c>
    </row>
    <row r="2593" spans="1:11" x14ac:dyDescent="0.2">
      <c r="A2593">
        <v>92650</v>
      </c>
      <c r="B2593">
        <v>83348</v>
      </c>
      <c r="C2593" t="s">
        <v>6203</v>
      </c>
      <c r="D2593">
        <v>9</v>
      </c>
      <c r="E2593">
        <v>1</v>
      </c>
      <c r="F2593">
        <v>2050</v>
      </c>
      <c r="G2593">
        <v>2050</v>
      </c>
      <c r="H2593">
        <v>100</v>
      </c>
      <c r="I2593">
        <v>20.5</v>
      </c>
      <c r="J2593">
        <v>1.69</v>
      </c>
      <c r="K2593">
        <v>3464.5</v>
      </c>
    </row>
    <row r="2594" spans="1:11" x14ac:dyDescent="0.2">
      <c r="B2594">
        <v>83367</v>
      </c>
      <c r="C2594" t="s">
        <v>6204</v>
      </c>
      <c r="D2594">
        <v>9</v>
      </c>
      <c r="E2594">
        <v>1</v>
      </c>
      <c r="F2594">
        <v>90</v>
      </c>
      <c r="G2594">
        <v>90</v>
      </c>
      <c r="H2594">
        <v>100</v>
      </c>
      <c r="I2594">
        <v>0.9</v>
      </c>
      <c r="J2594">
        <v>1.19</v>
      </c>
      <c r="K2594">
        <v>107.1</v>
      </c>
    </row>
    <row r="2595" spans="1:11" x14ac:dyDescent="0.2">
      <c r="A2595">
        <v>92906</v>
      </c>
      <c r="B2595">
        <v>83368</v>
      </c>
      <c r="C2595" t="s">
        <v>6205</v>
      </c>
      <c r="D2595">
        <v>10</v>
      </c>
      <c r="E2595">
        <v>1</v>
      </c>
      <c r="F2595">
        <v>40</v>
      </c>
      <c r="G2595">
        <v>40</v>
      </c>
      <c r="H2595">
        <v>56</v>
      </c>
      <c r="I2595">
        <v>0.7</v>
      </c>
      <c r="J2595">
        <v>3.29</v>
      </c>
      <c r="K2595">
        <v>131.6</v>
      </c>
    </row>
    <row r="2596" spans="1:11" x14ac:dyDescent="0.2">
      <c r="B2596">
        <v>83377</v>
      </c>
      <c r="C2596" t="s">
        <v>6206</v>
      </c>
      <c r="D2596">
        <v>11</v>
      </c>
      <c r="E2596">
        <v>1</v>
      </c>
      <c r="F2596">
        <v>90</v>
      </c>
      <c r="G2596">
        <v>90</v>
      </c>
      <c r="H2596">
        <v>100</v>
      </c>
      <c r="I2596">
        <v>0.9</v>
      </c>
      <c r="J2596">
        <v>1.49</v>
      </c>
      <c r="K2596">
        <v>134.1</v>
      </c>
    </row>
    <row r="2597" spans="1:11" x14ac:dyDescent="0.2">
      <c r="A2597">
        <v>92073</v>
      </c>
      <c r="B2597">
        <v>83380</v>
      </c>
      <c r="C2597" t="s">
        <v>6207</v>
      </c>
      <c r="D2597">
        <v>10</v>
      </c>
      <c r="E2597">
        <v>1</v>
      </c>
      <c r="F2597">
        <v>732</v>
      </c>
      <c r="G2597">
        <v>732</v>
      </c>
      <c r="H2597">
        <v>88</v>
      </c>
      <c r="I2597">
        <v>8.3000000000000007</v>
      </c>
      <c r="J2597">
        <v>1.99</v>
      </c>
      <c r="K2597">
        <v>1456.68</v>
      </c>
    </row>
    <row r="2598" spans="1:11" x14ac:dyDescent="0.2">
      <c r="B2598">
        <v>84505</v>
      </c>
      <c r="C2598" t="s">
        <v>6208</v>
      </c>
      <c r="D2598">
        <v>12</v>
      </c>
      <c r="E2598">
        <v>1</v>
      </c>
      <c r="F2598">
        <v>0</v>
      </c>
      <c r="G2598">
        <v>0</v>
      </c>
      <c r="H2598">
        <v>100</v>
      </c>
      <c r="I2598">
        <v>0</v>
      </c>
      <c r="J2598">
        <v>1.49</v>
      </c>
      <c r="K2598">
        <v>0</v>
      </c>
    </row>
    <row r="2599" spans="1:11" x14ac:dyDescent="0.2">
      <c r="A2599">
        <v>92163</v>
      </c>
      <c r="B2599">
        <v>84511</v>
      </c>
      <c r="C2599" t="s">
        <v>6209</v>
      </c>
      <c r="D2599">
        <v>10</v>
      </c>
      <c r="E2599">
        <v>1</v>
      </c>
      <c r="F2599">
        <v>522</v>
      </c>
      <c r="G2599">
        <v>522</v>
      </c>
      <c r="H2599">
        <v>100</v>
      </c>
      <c r="I2599">
        <v>5.2</v>
      </c>
      <c r="J2599">
        <v>1.49</v>
      </c>
      <c r="K2599">
        <v>777.78</v>
      </c>
    </row>
    <row r="2600" spans="1:11" x14ac:dyDescent="0.2">
      <c r="B2600">
        <v>84520</v>
      </c>
      <c r="C2600" t="s">
        <v>6210</v>
      </c>
      <c r="D2600">
        <v>12</v>
      </c>
      <c r="E2600">
        <v>1</v>
      </c>
      <c r="F2600">
        <v>0</v>
      </c>
      <c r="G2600">
        <v>0</v>
      </c>
      <c r="H2600">
        <v>100</v>
      </c>
      <c r="I2600">
        <v>0</v>
      </c>
      <c r="J2600">
        <v>1.49</v>
      </c>
      <c r="K2600">
        <v>0</v>
      </c>
    </row>
    <row r="2601" spans="1:11" x14ac:dyDescent="0.2">
      <c r="A2601">
        <v>92151</v>
      </c>
      <c r="B2601">
        <v>84526</v>
      </c>
      <c r="C2601" t="s">
        <v>6211</v>
      </c>
      <c r="D2601">
        <v>10</v>
      </c>
      <c r="E2601">
        <v>1</v>
      </c>
      <c r="F2601">
        <v>315</v>
      </c>
      <c r="G2601">
        <v>315</v>
      </c>
      <c r="H2601">
        <v>100</v>
      </c>
      <c r="I2601">
        <v>3.2</v>
      </c>
      <c r="J2601">
        <v>1.69</v>
      </c>
      <c r="K2601">
        <v>532.35</v>
      </c>
    </row>
    <row r="2602" spans="1:11" x14ac:dyDescent="0.2">
      <c r="A2602">
        <v>92155</v>
      </c>
      <c r="B2602">
        <v>84535</v>
      </c>
      <c r="C2602" t="s">
        <v>6212</v>
      </c>
      <c r="D2602">
        <v>10</v>
      </c>
      <c r="E2602">
        <v>1</v>
      </c>
      <c r="F2602">
        <v>1680</v>
      </c>
      <c r="G2602">
        <v>1680</v>
      </c>
      <c r="H2602">
        <v>144</v>
      </c>
      <c r="I2602">
        <v>11.7</v>
      </c>
      <c r="J2602">
        <v>1.19</v>
      </c>
      <c r="K2602">
        <v>1999.2</v>
      </c>
    </row>
    <row r="2603" spans="1:11" x14ac:dyDescent="0.2">
      <c r="B2603">
        <v>84536</v>
      </c>
      <c r="C2603" t="s">
        <v>6213</v>
      </c>
      <c r="D2603">
        <v>10</v>
      </c>
      <c r="E2603">
        <v>1</v>
      </c>
      <c r="F2603">
        <v>0</v>
      </c>
      <c r="G2603">
        <v>0</v>
      </c>
      <c r="H2603">
        <v>100</v>
      </c>
      <c r="I2603">
        <v>0</v>
      </c>
      <c r="J2603">
        <v>2.79</v>
      </c>
      <c r="K2603">
        <v>0</v>
      </c>
    </row>
    <row r="2604" spans="1:11" x14ac:dyDescent="0.2">
      <c r="A2604">
        <v>92145</v>
      </c>
      <c r="B2604">
        <v>84545</v>
      </c>
      <c r="C2604" t="s">
        <v>6214</v>
      </c>
      <c r="D2604">
        <v>10</v>
      </c>
      <c r="E2604">
        <v>1</v>
      </c>
      <c r="F2604">
        <v>522</v>
      </c>
      <c r="G2604">
        <v>522</v>
      </c>
      <c r="H2604">
        <v>100</v>
      </c>
      <c r="I2604">
        <v>5.2</v>
      </c>
      <c r="J2604">
        <v>1.79</v>
      </c>
      <c r="K2604">
        <v>934.38</v>
      </c>
    </row>
    <row r="2605" spans="1:11" x14ac:dyDescent="0.2">
      <c r="B2605">
        <v>84547</v>
      </c>
      <c r="C2605" t="s">
        <v>6215</v>
      </c>
      <c r="D2605">
        <v>12</v>
      </c>
      <c r="E2605">
        <v>1</v>
      </c>
      <c r="F2605">
        <v>0</v>
      </c>
      <c r="G2605">
        <v>0</v>
      </c>
      <c r="H2605">
        <v>99</v>
      </c>
      <c r="I2605">
        <v>0</v>
      </c>
      <c r="J2605">
        <v>2.29</v>
      </c>
      <c r="K2605">
        <v>0</v>
      </c>
    </row>
    <row r="2606" spans="1:11" x14ac:dyDescent="0.2">
      <c r="A2606">
        <v>92172</v>
      </c>
      <c r="B2606">
        <v>84555</v>
      </c>
      <c r="C2606" t="s">
        <v>6216</v>
      </c>
      <c r="D2606">
        <v>10</v>
      </c>
      <c r="E2606">
        <v>1</v>
      </c>
      <c r="F2606">
        <v>135</v>
      </c>
      <c r="G2606">
        <v>135</v>
      </c>
      <c r="H2606">
        <v>100</v>
      </c>
      <c r="I2606">
        <v>1.4</v>
      </c>
      <c r="J2606">
        <v>1.49</v>
      </c>
      <c r="K2606">
        <v>201.15</v>
      </c>
    </row>
    <row r="2607" spans="1:11" x14ac:dyDescent="0.2">
      <c r="A2607">
        <v>92147</v>
      </c>
      <c r="B2607">
        <v>84570</v>
      </c>
      <c r="C2607" t="s">
        <v>6217</v>
      </c>
      <c r="D2607">
        <v>9</v>
      </c>
      <c r="E2607">
        <v>1</v>
      </c>
      <c r="F2607">
        <v>910</v>
      </c>
      <c r="G2607">
        <v>910</v>
      </c>
      <c r="H2607">
        <v>80</v>
      </c>
      <c r="I2607">
        <v>11.4</v>
      </c>
      <c r="J2607">
        <v>1.49</v>
      </c>
      <c r="K2607">
        <v>1355.9</v>
      </c>
    </row>
    <row r="2608" spans="1:11" x14ac:dyDescent="0.2">
      <c r="A2608">
        <v>92149</v>
      </c>
      <c r="B2608">
        <v>84587</v>
      </c>
      <c r="C2608" t="s">
        <v>6218</v>
      </c>
      <c r="D2608">
        <v>10</v>
      </c>
      <c r="E2608">
        <v>1</v>
      </c>
      <c r="F2608">
        <v>525</v>
      </c>
      <c r="G2608">
        <v>525</v>
      </c>
      <c r="H2608">
        <v>100</v>
      </c>
      <c r="I2608">
        <v>5.3</v>
      </c>
      <c r="J2608">
        <v>1.99</v>
      </c>
      <c r="K2608">
        <v>1044.75</v>
      </c>
    </row>
    <row r="2609" spans="1:11" x14ac:dyDescent="0.2">
      <c r="A2609">
        <v>92161</v>
      </c>
      <c r="B2609">
        <v>84611</v>
      </c>
      <c r="C2609" t="s">
        <v>6219</v>
      </c>
      <c r="D2609">
        <v>9</v>
      </c>
      <c r="E2609">
        <v>1</v>
      </c>
      <c r="F2609">
        <v>1001</v>
      </c>
      <c r="G2609">
        <v>1001</v>
      </c>
      <c r="H2609">
        <v>48</v>
      </c>
      <c r="I2609">
        <v>20.9</v>
      </c>
      <c r="J2609">
        <v>1.99</v>
      </c>
      <c r="K2609">
        <v>1991.99</v>
      </c>
    </row>
    <row r="2610" spans="1:11" x14ac:dyDescent="0.2">
      <c r="A2610">
        <v>92152</v>
      </c>
      <c r="B2610">
        <v>84617</v>
      </c>
      <c r="C2610" t="s">
        <v>6220</v>
      </c>
      <c r="D2610">
        <v>9</v>
      </c>
      <c r="E2610">
        <v>1</v>
      </c>
      <c r="F2610">
        <v>816</v>
      </c>
      <c r="G2610">
        <v>816</v>
      </c>
      <c r="H2610">
        <v>32</v>
      </c>
      <c r="I2610">
        <v>25.5</v>
      </c>
      <c r="J2610">
        <v>1.99</v>
      </c>
      <c r="K2610">
        <v>1623.84</v>
      </c>
    </row>
    <row r="2611" spans="1:11" x14ac:dyDescent="0.2">
      <c r="B2611">
        <v>84623</v>
      </c>
      <c r="C2611" t="s">
        <v>6221</v>
      </c>
      <c r="D2611">
        <v>12</v>
      </c>
      <c r="E2611">
        <v>1</v>
      </c>
      <c r="F2611">
        <v>0</v>
      </c>
      <c r="G2611">
        <v>0</v>
      </c>
      <c r="H2611">
        <v>30</v>
      </c>
      <c r="I2611">
        <v>0</v>
      </c>
      <c r="J2611">
        <v>1.99</v>
      </c>
      <c r="K2611">
        <v>0</v>
      </c>
    </row>
    <row r="2612" spans="1:11" x14ac:dyDescent="0.2">
      <c r="A2612">
        <v>92153</v>
      </c>
      <c r="B2612">
        <v>84636</v>
      </c>
      <c r="C2612" t="s">
        <v>6222</v>
      </c>
      <c r="D2612">
        <v>9</v>
      </c>
      <c r="E2612">
        <v>1</v>
      </c>
      <c r="F2612">
        <v>636</v>
      </c>
      <c r="G2612">
        <v>636</v>
      </c>
      <c r="H2612">
        <v>32</v>
      </c>
      <c r="I2612">
        <v>19.899999999999999</v>
      </c>
      <c r="J2612">
        <v>1.59</v>
      </c>
      <c r="K2612">
        <v>1011.24</v>
      </c>
    </row>
    <row r="2613" spans="1:11" x14ac:dyDescent="0.2">
      <c r="B2613">
        <v>84640</v>
      </c>
      <c r="C2613" t="s">
        <v>6223</v>
      </c>
      <c r="D2613">
        <v>12</v>
      </c>
      <c r="E2613">
        <v>1</v>
      </c>
      <c r="F2613">
        <v>0</v>
      </c>
      <c r="G2613">
        <v>0</v>
      </c>
      <c r="H2613">
        <v>100</v>
      </c>
      <c r="I2613">
        <v>0</v>
      </c>
      <c r="J2613">
        <v>2.39</v>
      </c>
      <c r="K2613">
        <v>0</v>
      </c>
    </row>
    <row r="2614" spans="1:11" x14ac:dyDescent="0.2">
      <c r="A2614">
        <v>92165</v>
      </c>
      <c r="B2614">
        <v>84650</v>
      </c>
      <c r="C2614" t="s">
        <v>6224</v>
      </c>
      <c r="D2614">
        <v>10</v>
      </c>
      <c r="E2614">
        <v>1</v>
      </c>
      <c r="F2614">
        <v>90</v>
      </c>
      <c r="G2614">
        <v>90</v>
      </c>
      <c r="H2614">
        <v>100</v>
      </c>
      <c r="I2614">
        <v>0.9</v>
      </c>
      <c r="J2614">
        <v>1.49</v>
      </c>
      <c r="K2614">
        <v>134.1</v>
      </c>
    </row>
    <row r="2615" spans="1:11" x14ac:dyDescent="0.2">
      <c r="A2615">
        <v>92159</v>
      </c>
      <c r="B2615">
        <v>84658</v>
      </c>
      <c r="C2615" t="s">
        <v>6225</v>
      </c>
      <c r="D2615">
        <v>9</v>
      </c>
      <c r="E2615">
        <v>1</v>
      </c>
      <c r="F2615">
        <v>930</v>
      </c>
      <c r="G2615">
        <v>930</v>
      </c>
      <c r="H2615">
        <v>100</v>
      </c>
      <c r="I2615">
        <v>9.3000000000000007</v>
      </c>
      <c r="J2615">
        <v>1.99</v>
      </c>
      <c r="K2615">
        <v>1850.7</v>
      </c>
    </row>
    <row r="2616" spans="1:11" x14ac:dyDescent="0.2">
      <c r="B2616">
        <v>84660</v>
      </c>
      <c r="C2616" t="s">
        <v>6226</v>
      </c>
      <c r="D2616">
        <v>12</v>
      </c>
      <c r="E2616">
        <v>1</v>
      </c>
      <c r="F2616">
        <v>0</v>
      </c>
      <c r="G2616">
        <v>0</v>
      </c>
      <c r="H2616">
        <v>100</v>
      </c>
      <c r="I2616">
        <v>0</v>
      </c>
      <c r="J2616">
        <v>1.99</v>
      </c>
      <c r="K2616">
        <v>0</v>
      </c>
    </row>
    <row r="2617" spans="1:11" x14ac:dyDescent="0.2">
      <c r="A2617">
        <v>92162</v>
      </c>
      <c r="B2617">
        <v>84661</v>
      </c>
      <c r="C2617" t="s">
        <v>6227</v>
      </c>
      <c r="D2617">
        <v>9</v>
      </c>
      <c r="E2617">
        <v>1</v>
      </c>
      <c r="F2617">
        <v>665</v>
      </c>
      <c r="G2617">
        <v>665</v>
      </c>
      <c r="H2617">
        <v>40</v>
      </c>
      <c r="I2617">
        <v>16.600000000000001</v>
      </c>
      <c r="J2617">
        <v>2.4900000000000002</v>
      </c>
      <c r="K2617">
        <v>1655.85</v>
      </c>
    </row>
    <row r="2618" spans="1:11" x14ac:dyDescent="0.2">
      <c r="A2618">
        <v>92164</v>
      </c>
      <c r="B2618">
        <v>84665</v>
      </c>
      <c r="C2618" t="s">
        <v>6228</v>
      </c>
      <c r="D2618">
        <v>9</v>
      </c>
      <c r="E2618">
        <v>1</v>
      </c>
      <c r="F2618">
        <v>1080</v>
      </c>
      <c r="G2618">
        <v>1080</v>
      </c>
      <c r="H2618">
        <v>48</v>
      </c>
      <c r="I2618">
        <v>22.5</v>
      </c>
      <c r="J2618">
        <v>1.29</v>
      </c>
      <c r="K2618">
        <v>1393.2</v>
      </c>
    </row>
    <row r="2619" spans="1:11" x14ac:dyDescent="0.2">
      <c r="A2619">
        <v>99047</v>
      </c>
      <c r="B2619">
        <v>85024</v>
      </c>
      <c r="C2619" t="s">
        <v>6229</v>
      </c>
      <c r="D2619">
        <v>10</v>
      </c>
      <c r="E2619">
        <v>8</v>
      </c>
      <c r="F2619">
        <v>0</v>
      </c>
      <c r="G2619">
        <v>0</v>
      </c>
      <c r="H2619">
        <v>42</v>
      </c>
      <c r="I2619">
        <v>0</v>
      </c>
      <c r="J2619">
        <v>1.99</v>
      </c>
      <c r="K2619">
        <v>0</v>
      </c>
    </row>
    <row r="2620" spans="1:11" x14ac:dyDescent="0.2">
      <c r="A2620">
        <v>73270</v>
      </c>
      <c r="B2620">
        <v>85138</v>
      </c>
      <c r="C2620" t="s">
        <v>6230</v>
      </c>
      <c r="D2620">
        <v>10</v>
      </c>
      <c r="E2620">
        <v>6</v>
      </c>
      <c r="F2620">
        <v>15</v>
      </c>
      <c r="G2620">
        <v>90</v>
      </c>
      <c r="H2620">
        <v>216</v>
      </c>
      <c r="I2620">
        <v>0.1</v>
      </c>
      <c r="J2620">
        <v>3.29</v>
      </c>
      <c r="K2620">
        <v>296.10000000000002</v>
      </c>
    </row>
    <row r="2621" spans="1:11" x14ac:dyDescent="0.2">
      <c r="A2621">
        <v>47604</v>
      </c>
      <c r="B2621">
        <v>85139</v>
      </c>
      <c r="C2621" t="s">
        <v>6231</v>
      </c>
      <c r="D2621">
        <v>10</v>
      </c>
      <c r="E2621">
        <v>6</v>
      </c>
      <c r="F2621">
        <v>3</v>
      </c>
      <c r="G2621">
        <v>18</v>
      </c>
      <c r="H2621">
        <v>216</v>
      </c>
      <c r="I2621">
        <v>0</v>
      </c>
      <c r="J2621">
        <v>3.99</v>
      </c>
      <c r="K2621">
        <v>71.819999999999993</v>
      </c>
    </row>
    <row r="2622" spans="1:11" x14ac:dyDescent="0.2">
      <c r="A2622">
        <v>65039</v>
      </c>
      <c r="B2622">
        <v>85154</v>
      </c>
      <c r="C2622" t="s">
        <v>6232</v>
      </c>
      <c r="D2622">
        <v>8</v>
      </c>
      <c r="E2622">
        <v>12</v>
      </c>
      <c r="F2622">
        <v>780</v>
      </c>
      <c r="G2622">
        <v>9361</v>
      </c>
      <c r="H2622">
        <v>64</v>
      </c>
      <c r="I2622">
        <v>12.2</v>
      </c>
      <c r="J2622">
        <v>1.49</v>
      </c>
      <c r="K2622">
        <v>13947.89</v>
      </c>
    </row>
    <row r="2623" spans="1:11" x14ac:dyDescent="0.2">
      <c r="B2623">
        <v>85155</v>
      </c>
      <c r="C2623" t="s">
        <v>6233</v>
      </c>
      <c r="D2623">
        <v>11</v>
      </c>
      <c r="E2623">
        <v>12</v>
      </c>
      <c r="F2623">
        <v>8</v>
      </c>
      <c r="G2623">
        <v>96</v>
      </c>
      <c r="H2623">
        <v>72</v>
      </c>
      <c r="I2623">
        <v>0.1</v>
      </c>
      <c r="J2623">
        <v>1.49</v>
      </c>
      <c r="K2623">
        <v>143.04</v>
      </c>
    </row>
    <row r="2624" spans="1:11" x14ac:dyDescent="0.2">
      <c r="A2624">
        <v>69078</v>
      </c>
      <c r="B2624">
        <v>85173</v>
      </c>
      <c r="C2624" t="s">
        <v>6234</v>
      </c>
      <c r="D2624">
        <v>9</v>
      </c>
      <c r="E2624">
        <v>16</v>
      </c>
      <c r="F2624">
        <v>564</v>
      </c>
      <c r="G2624">
        <v>9023</v>
      </c>
      <c r="H2624">
        <v>72</v>
      </c>
      <c r="I2624">
        <v>7.8</v>
      </c>
      <c r="J2624">
        <v>1.69</v>
      </c>
      <c r="K2624">
        <v>15248.87</v>
      </c>
    </row>
    <row r="2625" spans="1:11" x14ac:dyDescent="0.2">
      <c r="A2625">
        <v>93267</v>
      </c>
      <c r="B2625">
        <v>85215</v>
      </c>
      <c r="C2625" t="s">
        <v>6235</v>
      </c>
      <c r="D2625">
        <v>10</v>
      </c>
      <c r="E2625">
        <v>8</v>
      </c>
      <c r="F2625">
        <v>1</v>
      </c>
      <c r="G2625">
        <v>8</v>
      </c>
      <c r="H2625">
        <v>32</v>
      </c>
      <c r="I2625">
        <v>0</v>
      </c>
      <c r="J2625">
        <v>6.99</v>
      </c>
      <c r="K2625">
        <v>55.92</v>
      </c>
    </row>
    <row r="2626" spans="1:11" x14ac:dyDescent="0.2">
      <c r="A2626">
        <v>93109</v>
      </c>
      <c r="B2626">
        <v>85221</v>
      </c>
      <c r="C2626" t="s">
        <v>6236</v>
      </c>
      <c r="D2626">
        <v>10</v>
      </c>
      <c r="E2626">
        <v>2</v>
      </c>
      <c r="F2626">
        <v>0</v>
      </c>
      <c r="G2626">
        <v>0</v>
      </c>
      <c r="H2626">
        <v>32</v>
      </c>
      <c r="I2626">
        <v>0</v>
      </c>
      <c r="J2626">
        <v>10.99</v>
      </c>
      <c r="K2626">
        <v>0</v>
      </c>
    </row>
    <row r="2627" spans="1:11" x14ac:dyDescent="0.2">
      <c r="A2627">
        <v>93069</v>
      </c>
      <c r="B2627">
        <v>85223</v>
      </c>
      <c r="C2627" t="s">
        <v>6237</v>
      </c>
      <c r="D2627">
        <v>10</v>
      </c>
      <c r="E2627">
        <v>4</v>
      </c>
      <c r="F2627">
        <v>0</v>
      </c>
      <c r="G2627">
        <v>0</v>
      </c>
      <c r="H2627">
        <v>24</v>
      </c>
      <c r="I2627">
        <v>0</v>
      </c>
      <c r="J2627">
        <v>13.99</v>
      </c>
      <c r="K2627">
        <v>0</v>
      </c>
    </row>
    <row r="2628" spans="1:11" x14ac:dyDescent="0.2">
      <c r="A2628">
        <v>74234</v>
      </c>
      <c r="B2628">
        <v>85228</v>
      </c>
      <c r="C2628" t="s">
        <v>5272</v>
      </c>
      <c r="D2628">
        <v>8</v>
      </c>
      <c r="E2628">
        <v>36</v>
      </c>
      <c r="F2628">
        <v>146</v>
      </c>
      <c r="G2628">
        <v>5256</v>
      </c>
      <c r="H2628">
        <v>108</v>
      </c>
      <c r="I2628">
        <v>1.4</v>
      </c>
      <c r="J2628">
        <v>0.99</v>
      </c>
      <c r="K2628">
        <v>5203.4399999999996</v>
      </c>
    </row>
    <row r="2629" spans="1:11" x14ac:dyDescent="0.2">
      <c r="A2629">
        <v>84089</v>
      </c>
      <c r="B2629">
        <v>85237</v>
      </c>
      <c r="C2629" t="s">
        <v>6238</v>
      </c>
      <c r="D2629">
        <v>8</v>
      </c>
      <c r="E2629">
        <v>10</v>
      </c>
      <c r="F2629">
        <v>-9</v>
      </c>
      <c r="G2629">
        <v>-90</v>
      </c>
      <c r="H2629">
        <v>56</v>
      </c>
      <c r="I2629">
        <v>-0.2</v>
      </c>
      <c r="J2629">
        <v>2.4900000000000002</v>
      </c>
      <c r="K2629">
        <v>-224.1</v>
      </c>
    </row>
    <row r="2630" spans="1:11" x14ac:dyDescent="0.2">
      <c r="A2630">
        <v>86048</v>
      </c>
      <c r="B2630">
        <v>85266</v>
      </c>
      <c r="C2630" t="s">
        <v>6239</v>
      </c>
      <c r="D2630">
        <v>8</v>
      </c>
      <c r="E2630">
        <v>52</v>
      </c>
      <c r="F2630">
        <v>378</v>
      </c>
      <c r="G2630">
        <v>19656</v>
      </c>
      <c r="H2630">
        <v>63</v>
      </c>
      <c r="I2630">
        <v>6</v>
      </c>
      <c r="J2630">
        <v>0.55000000000000004</v>
      </c>
      <c r="K2630">
        <v>10810.8</v>
      </c>
    </row>
    <row r="2631" spans="1:11" x14ac:dyDescent="0.2">
      <c r="A2631">
        <v>86045</v>
      </c>
      <c r="B2631">
        <v>85267</v>
      </c>
      <c r="C2631" t="s">
        <v>6240</v>
      </c>
      <c r="D2631">
        <v>8</v>
      </c>
      <c r="E2631">
        <v>90</v>
      </c>
      <c r="F2631">
        <v>594</v>
      </c>
      <c r="G2631">
        <v>53460</v>
      </c>
      <c r="H2631">
        <v>99</v>
      </c>
      <c r="I2631">
        <v>6</v>
      </c>
      <c r="J2631">
        <v>0.19</v>
      </c>
      <c r="K2631">
        <v>10157.4</v>
      </c>
    </row>
    <row r="2632" spans="1:11" x14ac:dyDescent="0.2">
      <c r="A2632">
        <v>86041</v>
      </c>
      <c r="B2632">
        <v>85268</v>
      </c>
      <c r="C2632" t="s">
        <v>6241</v>
      </c>
      <c r="D2632">
        <v>8</v>
      </c>
      <c r="E2632">
        <v>7</v>
      </c>
      <c r="F2632">
        <v>360</v>
      </c>
      <c r="G2632">
        <v>2520</v>
      </c>
      <c r="H2632">
        <v>60</v>
      </c>
      <c r="I2632">
        <v>6</v>
      </c>
      <c r="J2632">
        <v>1.99</v>
      </c>
      <c r="K2632">
        <v>5014.8</v>
      </c>
    </row>
    <row r="2633" spans="1:11" x14ac:dyDescent="0.2">
      <c r="A2633">
        <v>69082</v>
      </c>
      <c r="B2633">
        <v>85302</v>
      </c>
      <c r="C2633" t="s">
        <v>6242</v>
      </c>
      <c r="D2633">
        <v>8</v>
      </c>
      <c r="E2633">
        <v>42</v>
      </c>
      <c r="F2633">
        <v>164</v>
      </c>
      <c r="G2633">
        <v>6888</v>
      </c>
      <c r="H2633">
        <v>48</v>
      </c>
      <c r="I2633">
        <v>3.4</v>
      </c>
      <c r="J2633">
        <v>2.4900000000000002</v>
      </c>
      <c r="K2633">
        <v>17151.12</v>
      </c>
    </row>
    <row r="2634" spans="1:11" x14ac:dyDescent="0.2">
      <c r="A2634">
        <v>57576</v>
      </c>
      <c r="B2634">
        <v>85369</v>
      </c>
      <c r="C2634" t="s">
        <v>6243</v>
      </c>
      <c r="D2634">
        <v>10</v>
      </c>
      <c r="E2634">
        <v>36</v>
      </c>
      <c r="F2634">
        <v>0</v>
      </c>
      <c r="G2634">
        <v>0</v>
      </c>
      <c r="H2634">
        <v>52</v>
      </c>
      <c r="I2634">
        <v>0</v>
      </c>
      <c r="J2634">
        <v>0.5</v>
      </c>
      <c r="K2634">
        <v>0</v>
      </c>
    </row>
    <row r="2635" spans="1:11" x14ac:dyDescent="0.2">
      <c r="A2635">
        <v>0</v>
      </c>
      <c r="B2635">
        <v>85472</v>
      </c>
      <c r="C2635" t="s">
        <v>6244</v>
      </c>
      <c r="D2635">
        <v>11</v>
      </c>
      <c r="E2635">
        <v>6</v>
      </c>
      <c r="F2635">
        <v>0</v>
      </c>
      <c r="G2635">
        <v>0</v>
      </c>
      <c r="H2635">
        <v>140</v>
      </c>
      <c r="I2635">
        <v>0</v>
      </c>
      <c r="J2635">
        <v>8.49</v>
      </c>
      <c r="K2635">
        <v>0</v>
      </c>
    </row>
    <row r="2636" spans="1:11" x14ac:dyDescent="0.2">
      <c r="A2636">
        <v>89025</v>
      </c>
      <c r="B2636">
        <v>85544</v>
      </c>
      <c r="C2636" t="s">
        <v>6245</v>
      </c>
      <c r="D2636">
        <v>8</v>
      </c>
      <c r="E2636">
        <v>10</v>
      </c>
      <c r="F2636">
        <v>324</v>
      </c>
      <c r="G2636">
        <v>3240</v>
      </c>
      <c r="H2636">
        <v>81</v>
      </c>
      <c r="I2636">
        <v>4</v>
      </c>
      <c r="J2636">
        <v>1.25</v>
      </c>
      <c r="K2636">
        <v>4050</v>
      </c>
    </row>
    <row r="2637" spans="1:11" x14ac:dyDescent="0.2">
      <c r="A2637">
        <v>48604</v>
      </c>
      <c r="B2637">
        <v>85602</v>
      </c>
      <c r="C2637" t="s">
        <v>6246</v>
      </c>
      <c r="D2637">
        <v>10</v>
      </c>
      <c r="E2637">
        <v>12</v>
      </c>
      <c r="F2637">
        <v>3</v>
      </c>
      <c r="G2637">
        <v>36</v>
      </c>
      <c r="H2637">
        <v>96</v>
      </c>
      <c r="I2637">
        <v>0</v>
      </c>
      <c r="J2637">
        <v>1.59</v>
      </c>
      <c r="K2637">
        <v>57.24</v>
      </c>
    </row>
    <row r="2638" spans="1:11" x14ac:dyDescent="0.2">
      <c r="B2638">
        <v>85633</v>
      </c>
      <c r="C2638" t="s">
        <v>6247</v>
      </c>
      <c r="D2638">
        <v>11</v>
      </c>
      <c r="E2638">
        <v>16</v>
      </c>
      <c r="F2638">
        <v>0</v>
      </c>
      <c r="G2638">
        <v>0</v>
      </c>
      <c r="H2638">
        <v>75</v>
      </c>
      <c r="I2638">
        <v>0</v>
      </c>
      <c r="J2638">
        <v>1.99</v>
      </c>
      <c r="K2638">
        <v>0</v>
      </c>
    </row>
    <row r="2639" spans="1:11" x14ac:dyDescent="0.2">
      <c r="A2639">
        <v>4626</v>
      </c>
      <c r="B2639">
        <v>85646</v>
      </c>
      <c r="C2639" t="s">
        <v>6248</v>
      </c>
      <c r="D2639">
        <v>6</v>
      </c>
      <c r="E2639">
        <v>28</v>
      </c>
      <c r="F2639">
        <v>0</v>
      </c>
      <c r="G2639">
        <v>0</v>
      </c>
      <c r="H2639">
        <v>64</v>
      </c>
      <c r="I2639">
        <v>0</v>
      </c>
      <c r="J2639">
        <v>1.45</v>
      </c>
      <c r="K2639">
        <v>0</v>
      </c>
    </row>
    <row r="2640" spans="1:11" x14ac:dyDescent="0.2">
      <c r="A2640">
        <v>57473</v>
      </c>
      <c r="B2640">
        <v>85671</v>
      </c>
      <c r="C2640" t="s">
        <v>6249</v>
      </c>
      <c r="D2640">
        <v>10</v>
      </c>
      <c r="E2640">
        <v>24</v>
      </c>
      <c r="F2640">
        <v>7</v>
      </c>
      <c r="G2640">
        <v>173</v>
      </c>
      <c r="H2640">
        <v>112</v>
      </c>
      <c r="I2640">
        <v>0.1</v>
      </c>
      <c r="J2640">
        <v>1.59</v>
      </c>
      <c r="K2640">
        <v>275.42</v>
      </c>
    </row>
    <row r="2641" spans="1:11" x14ac:dyDescent="0.2">
      <c r="B2641">
        <v>85692</v>
      </c>
      <c r="C2641" t="s">
        <v>6250</v>
      </c>
      <c r="D2641">
        <v>11</v>
      </c>
      <c r="E2641">
        <v>16</v>
      </c>
      <c r="F2641">
        <v>0</v>
      </c>
      <c r="G2641">
        <v>0</v>
      </c>
      <c r="H2641">
        <v>72</v>
      </c>
      <c r="I2641">
        <v>0</v>
      </c>
      <c r="J2641">
        <v>1.39</v>
      </c>
      <c r="K2641">
        <v>0</v>
      </c>
    </row>
    <row r="2642" spans="1:11" x14ac:dyDescent="0.2">
      <c r="B2642">
        <v>86046</v>
      </c>
      <c r="C2642" t="s">
        <v>6251</v>
      </c>
      <c r="D2642">
        <v>11</v>
      </c>
      <c r="E2642">
        <v>30</v>
      </c>
      <c r="F2642">
        <v>0</v>
      </c>
      <c r="G2642">
        <v>0</v>
      </c>
      <c r="H2642">
        <v>100</v>
      </c>
      <c r="I2642">
        <v>0</v>
      </c>
      <c r="J2642">
        <v>0.25</v>
      </c>
      <c r="K2642">
        <v>0</v>
      </c>
    </row>
    <row r="2643" spans="1:11" x14ac:dyDescent="0.2">
      <c r="A2643">
        <v>75085</v>
      </c>
      <c r="B2643">
        <v>86922</v>
      </c>
      <c r="C2643" t="s">
        <v>6252</v>
      </c>
      <c r="D2643">
        <v>9</v>
      </c>
      <c r="E2643">
        <v>12</v>
      </c>
      <c r="F2643">
        <v>377</v>
      </c>
      <c r="G2643">
        <v>4524</v>
      </c>
      <c r="H2643">
        <v>60</v>
      </c>
      <c r="I2643">
        <v>6.3</v>
      </c>
      <c r="J2643">
        <v>1.89</v>
      </c>
      <c r="K2643">
        <v>8550.36</v>
      </c>
    </row>
    <row r="2644" spans="1:11" x14ac:dyDescent="0.2">
      <c r="A2644">
        <v>42510</v>
      </c>
      <c r="B2644">
        <v>86947</v>
      </c>
      <c r="C2644" t="s">
        <v>6253</v>
      </c>
      <c r="D2644">
        <v>10</v>
      </c>
      <c r="E2644">
        <v>8</v>
      </c>
      <c r="F2644">
        <v>2</v>
      </c>
      <c r="G2644">
        <v>16</v>
      </c>
      <c r="H2644">
        <v>156</v>
      </c>
      <c r="I2644">
        <v>0</v>
      </c>
      <c r="J2644">
        <v>0.99</v>
      </c>
      <c r="K2644">
        <v>15.84</v>
      </c>
    </row>
    <row r="2645" spans="1:11" x14ac:dyDescent="0.2">
      <c r="A2645">
        <v>46504</v>
      </c>
      <c r="B2645">
        <v>87019</v>
      </c>
      <c r="C2645" t="s">
        <v>6254</v>
      </c>
      <c r="D2645">
        <v>10</v>
      </c>
      <c r="E2645">
        <v>18</v>
      </c>
      <c r="F2645">
        <v>-2</v>
      </c>
      <c r="G2645">
        <v>-36</v>
      </c>
      <c r="H2645">
        <v>60</v>
      </c>
      <c r="I2645">
        <v>0</v>
      </c>
      <c r="J2645">
        <v>1.49</v>
      </c>
      <c r="K2645">
        <v>-53.64</v>
      </c>
    </row>
    <row r="2646" spans="1:11" x14ac:dyDescent="0.2">
      <c r="A2646">
        <v>71182</v>
      </c>
      <c r="B2646">
        <v>87096</v>
      </c>
      <c r="C2646" t="s">
        <v>6255</v>
      </c>
      <c r="D2646">
        <v>8</v>
      </c>
      <c r="E2646">
        <v>6</v>
      </c>
      <c r="F2646">
        <v>763</v>
      </c>
      <c r="G2646">
        <v>4579</v>
      </c>
      <c r="H2646">
        <v>64</v>
      </c>
      <c r="I2646">
        <v>11.9</v>
      </c>
      <c r="J2646">
        <v>1.1000000000000001</v>
      </c>
      <c r="K2646">
        <v>5036.8999999999996</v>
      </c>
    </row>
    <row r="2647" spans="1:11" x14ac:dyDescent="0.2">
      <c r="A2647">
        <v>75071</v>
      </c>
      <c r="B2647">
        <v>87123</v>
      </c>
      <c r="C2647" t="s">
        <v>6256</v>
      </c>
      <c r="D2647">
        <v>9</v>
      </c>
      <c r="E2647">
        <v>12</v>
      </c>
      <c r="F2647">
        <v>1</v>
      </c>
      <c r="G2647">
        <v>12</v>
      </c>
      <c r="H2647">
        <v>120</v>
      </c>
      <c r="I2647">
        <v>0</v>
      </c>
      <c r="J2647">
        <v>2.39</v>
      </c>
      <c r="K2647">
        <v>28.68</v>
      </c>
    </row>
    <row r="2648" spans="1:11" x14ac:dyDescent="0.2">
      <c r="A2648">
        <v>62012</v>
      </c>
      <c r="B2648">
        <v>87125</v>
      </c>
      <c r="C2648" t="s">
        <v>6257</v>
      </c>
      <c r="D2648">
        <v>8</v>
      </c>
      <c r="E2648">
        <v>6</v>
      </c>
      <c r="F2648">
        <v>281</v>
      </c>
      <c r="G2648">
        <v>1686</v>
      </c>
      <c r="H2648">
        <v>125</v>
      </c>
      <c r="I2648">
        <v>2.2000000000000002</v>
      </c>
      <c r="J2648">
        <v>8.2899999999999991</v>
      </c>
      <c r="K2648">
        <v>13976.94</v>
      </c>
    </row>
    <row r="2649" spans="1:11" x14ac:dyDescent="0.2">
      <c r="A2649">
        <v>66270</v>
      </c>
      <c r="B2649">
        <v>87191</v>
      </c>
      <c r="C2649" t="s">
        <v>6258</v>
      </c>
      <c r="D2649">
        <v>8</v>
      </c>
      <c r="E2649">
        <v>20</v>
      </c>
      <c r="F2649">
        <v>270</v>
      </c>
      <c r="G2649">
        <v>5400</v>
      </c>
      <c r="H2649">
        <v>42</v>
      </c>
      <c r="I2649">
        <v>6.4</v>
      </c>
      <c r="J2649">
        <v>1.69</v>
      </c>
      <c r="K2649">
        <v>9126</v>
      </c>
    </row>
    <row r="2650" spans="1:11" x14ac:dyDescent="0.2">
      <c r="A2650">
        <v>75194</v>
      </c>
      <c r="B2650">
        <v>87234</v>
      </c>
      <c r="C2650" t="s">
        <v>6259</v>
      </c>
      <c r="D2650">
        <v>9</v>
      </c>
      <c r="E2650">
        <v>9</v>
      </c>
      <c r="F2650">
        <v>0</v>
      </c>
      <c r="G2650">
        <v>0</v>
      </c>
      <c r="H2650">
        <v>96</v>
      </c>
      <c r="I2650">
        <v>0</v>
      </c>
      <c r="J2650">
        <v>3.39</v>
      </c>
      <c r="K2650">
        <v>0</v>
      </c>
    </row>
    <row r="2651" spans="1:11" x14ac:dyDescent="0.2">
      <c r="A2651">
        <v>44521</v>
      </c>
      <c r="B2651">
        <v>87261</v>
      </c>
      <c r="C2651" t="s">
        <v>6260</v>
      </c>
      <c r="D2651">
        <v>6</v>
      </c>
      <c r="E2651">
        <v>8</v>
      </c>
      <c r="F2651">
        <v>0</v>
      </c>
      <c r="G2651">
        <v>0</v>
      </c>
      <c r="H2651">
        <v>120</v>
      </c>
      <c r="I2651">
        <v>0</v>
      </c>
      <c r="J2651">
        <v>3.69</v>
      </c>
      <c r="K2651">
        <v>0</v>
      </c>
    </row>
    <row r="2652" spans="1:11" x14ac:dyDescent="0.2">
      <c r="A2652">
        <v>85208</v>
      </c>
      <c r="B2652">
        <v>87347</v>
      </c>
      <c r="C2652" t="s">
        <v>6261</v>
      </c>
      <c r="D2652">
        <v>9</v>
      </c>
      <c r="E2652">
        <v>10</v>
      </c>
      <c r="F2652">
        <v>-1</v>
      </c>
      <c r="G2652">
        <v>-10</v>
      </c>
      <c r="H2652">
        <v>64</v>
      </c>
      <c r="I2652">
        <v>0</v>
      </c>
      <c r="J2652">
        <v>1.99</v>
      </c>
      <c r="K2652">
        <v>-19.899999999999999</v>
      </c>
    </row>
    <row r="2653" spans="1:11" x14ac:dyDescent="0.2">
      <c r="A2653">
        <v>46502</v>
      </c>
      <c r="B2653">
        <v>87348</v>
      </c>
      <c r="C2653" t="s">
        <v>6262</v>
      </c>
      <c r="D2653">
        <v>10</v>
      </c>
      <c r="E2653">
        <v>10</v>
      </c>
      <c r="F2653">
        <v>2</v>
      </c>
      <c r="G2653">
        <v>20</v>
      </c>
      <c r="H2653">
        <v>64</v>
      </c>
      <c r="I2653">
        <v>0</v>
      </c>
      <c r="J2653">
        <v>1.99</v>
      </c>
      <c r="K2653">
        <v>39.799999999999997</v>
      </c>
    </row>
    <row r="2654" spans="1:11" x14ac:dyDescent="0.2">
      <c r="A2654">
        <v>44500</v>
      </c>
      <c r="B2654">
        <v>87349</v>
      </c>
      <c r="C2654" t="s">
        <v>6263</v>
      </c>
      <c r="D2654">
        <v>10</v>
      </c>
      <c r="E2654">
        <v>10</v>
      </c>
      <c r="F2654">
        <v>3</v>
      </c>
      <c r="G2654">
        <v>30</v>
      </c>
      <c r="H2654">
        <v>64</v>
      </c>
      <c r="I2654">
        <v>0</v>
      </c>
      <c r="J2654">
        <v>1.99</v>
      </c>
      <c r="K2654">
        <v>59.7</v>
      </c>
    </row>
    <row r="2655" spans="1:11" x14ac:dyDescent="0.2">
      <c r="A2655">
        <v>46629</v>
      </c>
      <c r="B2655">
        <v>87428</v>
      </c>
      <c r="C2655" t="s">
        <v>6264</v>
      </c>
      <c r="D2655">
        <v>10</v>
      </c>
      <c r="E2655">
        <v>12</v>
      </c>
      <c r="F2655">
        <v>2</v>
      </c>
      <c r="G2655">
        <v>24</v>
      </c>
      <c r="H2655">
        <v>120</v>
      </c>
      <c r="I2655">
        <v>0</v>
      </c>
      <c r="J2655">
        <v>1.39</v>
      </c>
      <c r="K2655">
        <v>33.36</v>
      </c>
    </row>
    <row r="2656" spans="1:11" x14ac:dyDescent="0.2">
      <c r="A2656">
        <v>72105</v>
      </c>
      <c r="B2656">
        <v>87612</v>
      </c>
      <c r="C2656" t="s">
        <v>6265</v>
      </c>
      <c r="D2656">
        <v>8</v>
      </c>
      <c r="E2656">
        <v>12</v>
      </c>
      <c r="F2656">
        <v>268</v>
      </c>
      <c r="G2656">
        <v>3216</v>
      </c>
      <c r="H2656">
        <v>117</v>
      </c>
      <c r="I2656">
        <v>2.2999999999999998</v>
      </c>
      <c r="J2656">
        <v>1.49</v>
      </c>
      <c r="K2656">
        <v>4791.84</v>
      </c>
    </row>
    <row r="2657" spans="1:11" x14ac:dyDescent="0.2">
      <c r="A2657">
        <v>99774</v>
      </c>
      <c r="B2657">
        <v>87626</v>
      </c>
      <c r="C2657" t="s">
        <v>6266</v>
      </c>
      <c r="D2657">
        <v>10</v>
      </c>
      <c r="E2657">
        <v>11</v>
      </c>
      <c r="F2657">
        <v>0</v>
      </c>
      <c r="G2657">
        <v>0</v>
      </c>
      <c r="H2657">
        <v>54</v>
      </c>
      <c r="I2657">
        <v>0</v>
      </c>
      <c r="J2657">
        <v>2.39</v>
      </c>
      <c r="K2657">
        <v>0</v>
      </c>
    </row>
    <row r="2658" spans="1:11" x14ac:dyDescent="0.2">
      <c r="A2658">
        <v>57577</v>
      </c>
      <c r="B2658">
        <v>87723</v>
      </c>
      <c r="C2658" t="s">
        <v>6267</v>
      </c>
      <c r="D2658">
        <v>10</v>
      </c>
      <c r="E2658">
        <v>16</v>
      </c>
      <c r="F2658">
        <v>13</v>
      </c>
      <c r="G2658">
        <v>207</v>
      </c>
      <c r="H2658">
        <v>42</v>
      </c>
      <c r="I2658">
        <v>0.3</v>
      </c>
      <c r="J2658">
        <v>1</v>
      </c>
      <c r="K2658">
        <v>207</v>
      </c>
    </row>
    <row r="2659" spans="1:11" x14ac:dyDescent="0.2">
      <c r="A2659">
        <v>99859</v>
      </c>
      <c r="B2659">
        <v>87768</v>
      </c>
      <c r="C2659" t="s">
        <v>6268</v>
      </c>
      <c r="D2659">
        <v>10</v>
      </c>
      <c r="E2659">
        <v>6</v>
      </c>
      <c r="F2659">
        <v>0</v>
      </c>
      <c r="G2659">
        <v>0</v>
      </c>
      <c r="H2659">
        <v>80</v>
      </c>
      <c r="I2659">
        <v>0</v>
      </c>
      <c r="J2659">
        <v>3.39</v>
      </c>
      <c r="K2659">
        <v>0</v>
      </c>
    </row>
    <row r="2660" spans="1:11" x14ac:dyDescent="0.2">
      <c r="A2660">
        <v>99326</v>
      </c>
      <c r="B2660">
        <v>87770</v>
      </c>
      <c r="C2660" t="s">
        <v>6269</v>
      </c>
      <c r="D2660">
        <v>10</v>
      </c>
      <c r="E2660">
        <v>6</v>
      </c>
      <c r="F2660">
        <v>0</v>
      </c>
      <c r="G2660">
        <v>0</v>
      </c>
      <c r="H2660">
        <v>84</v>
      </c>
      <c r="I2660">
        <v>0</v>
      </c>
      <c r="J2660">
        <v>3.99</v>
      </c>
      <c r="K2660">
        <v>0</v>
      </c>
    </row>
    <row r="2661" spans="1:11" x14ac:dyDescent="0.2">
      <c r="A2661">
        <v>99353</v>
      </c>
      <c r="B2661">
        <v>87850</v>
      </c>
      <c r="C2661" t="s">
        <v>6270</v>
      </c>
      <c r="D2661">
        <v>10</v>
      </c>
      <c r="E2661">
        <v>16</v>
      </c>
      <c r="F2661">
        <v>0</v>
      </c>
      <c r="G2661">
        <v>0</v>
      </c>
      <c r="H2661">
        <v>77</v>
      </c>
      <c r="I2661">
        <v>0</v>
      </c>
      <c r="J2661">
        <v>1.59</v>
      </c>
      <c r="K2661">
        <v>0</v>
      </c>
    </row>
    <row r="2662" spans="1:11" x14ac:dyDescent="0.2">
      <c r="A2662">
        <v>69056</v>
      </c>
      <c r="B2662">
        <v>87916</v>
      </c>
      <c r="C2662" t="s">
        <v>6271</v>
      </c>
      <c r="D2662">
        <v>8</v>
      </c>
      <c r="E2662">
        <v>42</v>
      </c>
      <c r="F2662">
        <v>500</v>
      </c>
      <c r="G2662">
        <v>20998</v>
      </c>
      <c r="H2662">
        <v>72</v>
      </c>
      <c r="I2662">
        <v>6.9</v>
      </c>
      <c r="J2662">
        <v>1.59</v>
      </c>
      <c r="K2662">
        <v>33386.82</v>
      </c>
    </row>
    <row r="2663" spans="1:11" x14ac:dyDescent="0.2">
      <c r="B2663">
        <v>87920</v>
      </c>
      <c r="C2663" t="s">
        <v>6272</v>
      </c>
      <c r="D2663">
        <v>11</v>
      </c>
      <c r="E2663">
        <v>12</v>
      </c>
      <c r="F2663">
        <v>0</v>
      </c>
      <c r="G2663">
        <v>0</v>
      </c>
      <c r="H2663">
        <v>64</v>
      </c>
      <c r="I2663">
        <v>0</v>
      </c>
      <c r="J2663">
        <v>1.19</v>
      </c>
      <c r="K2663">
        <v>0</v>
      </c>
    </row>
    <row r="2664" spans="1:11" x14ac:dyDescent="0.2">
      <c r="A2664">
        <v>99228</v>
      </c>
      <c r="B2664">
        <v>87924</v>
      </c>
      <c r="C2664" t="s">
        <v>6273</v>
      </c>
      <c r="D2664">
        <v>10</v>
      </c>
      <c r="E2664">
        <v>8</v>
      </c>
      <c r="F2664">
        <v>0</v>
      </c>
      <c r="G2664">
        <v>0</v>
      </c>
      <c r="H2664">
        <v>70</v>
      </c>
      <c r="I2664">
        <v>0</v>
      </c>
      <c r="J2664">
        <v>2.59</v>
      </c>
      <c r="K2664">
        <v>0</v>
      </c>
    </row>
    <row r="2665" spans="1:11" x14ac:dyDescent="0.2">
      <c r="A2665">
        <v>99029</v>
      </c>
      <c r="B2665">
        <v>87929</v>
      </c>
      <c r="C2665" t="s">
        <v>6274</v>
      </c>
      <c r="D2665">
        <v>6</v>
      </c>
      <c r="E2665">
        <v>12</v>
      </c>
      <c r="F2665">
        <v>0</v>
      </c>
      <c r="G2665">
        <v>0</v>
      </c>
      <c r="H2665">
        <v>80</v>
      </c>
      <c r="I2665">
        <v>0</v>
      </c>
      <c r="J2665">
        <v>1.89</v>
      </c>
      <c r="K2665">
        <v>0</v>
      </c>
    </row>
    <row r="2666" spans="1:11" x14ac:dyDescent="0.2">
      <c r="A2666">
        <v>57474</v>
      </c>
      <c r="B2666">
        <v>87940</v>
      </c>
      <c r="C2666" t="s">
        <v>6275</v>
      </c>
      <c r="D2666">
        <v>10</v>
      </c>
      <c r="E2666">
        <v>1</v>
      </c>
      <c r="F2666">
        <v>90</v>
      </c>
      <c r="G2666">
        <v>90</v>
      </c>
      <c r="H2666">
        <v>70</v>
      </c>
      <c r="I2666">
        <v>1.3</v>
      </c>
      <c r="J2666">
        <v>4.49</v>
      </c>
      <c r="K2666">
        <v>404.1</v>
      </c>
    </row>
    <row r="2667" spans="1:11" x14ac:dyDescent="0.2">
      <c r="B2667">
        <v>87985</v>
      </c>
      <c r="C2667" t="s">
        <v>6276</v>
      </c>
      <c r="D2667">
        <v>10</v>
      </c>
      <c r="E2667">
        <v>120</v>
      </c>
      <c r="F2667">
        <v>0</v>
      </c>
      <c r="G2667">
        <v>0</v>
      </c>
      <c r="H2667">
        <v>1</v>
      </c>
      <c r="I2667">
        <v>0</v>
      </c>
      <c r="J2667">
        <v>1.69</v>
      </c>
      <c r="K2667">
        <v>0</v>
      </c>
    </row>
    <row r="2668" spans="1:11" x14ac:dyDescent="0.2">
      <c r="A2668">
        <v>3512</v>
      </c>
      <c r="B2668">
        <v>87992</v>
      </c>
      <c r="C2668" t="s">
        <v>6277</v>
      </c>
      <c r="D2668">
        <v>6</v>
      </c>
      <c r="E2668">
        <v>8</v>
      </c>
      <c r="F2668">
        <v>0</v>
      </c>
      <c r="G2668">
        <v>0</v>
      </c>
      <c r="H2668">
        <v>180</v>
      </c>
      <c r="I2668">
        <v>0</v>
      </c>
      <c r="J2668">
        <v>1.65</v>
      </c>
      <c r="K2668">
        <v>0</v>
      </c>
    </row>
    <row r="2669" spans="1:11" x14ac:dyDescent="0.2">
      <c r="A2669">
        <v>86066</v>
      </c>
      <c r="B2669">
        <v>88095</v>
      </c>
      <c r="C2669" t="s">
        <v>6278</v>
      </c>
      <c r="D2669">
        <v>8</v>
      </c>
      <c r="E2669">
        <v>12</v>
      </c>
      <c r="F2669">
        <v>243</v>
      </c>
      <c r="G2669">
        <v>2916</v>
      </c>
      <c r="H2669">
        <v>81</v>
      </c>
      <c r="I2669">
        <v>3</v>
      </c>
      <c r="J2669">
        <v>0.89</v>
      </c>
      <c r="K2669">
        <v>2595.2399999999998</v>
      </c>
    </row>
    <row r="2670" spans="1:11" x14ac:dyDescent="0.2">
      <c r="B2670">
        <v>88162</v>
      </c>
      <c r="C2670" t="s">
        <v>6279</v>
      </c>
      <c r="D2670">
        <v>11</v>
      </c>
      <c r="E2670">
        <v>6</v>
      </c>
      <c r="F2670">
        <v>-7</v>
      </c>
      <c r="G2670">
        <v>-42</v>
      </c>
      <c r="H2670">
        <v>105</v>
      </c>
      <c r="I2670">
        <v>-0.1</v>
      </c>
      <c r="J2670">
        <v>1.67</v>
      </c>
      <c r="K2670">
        <v>-70.14</v>
      </c>
    </row>
    <row r="2671" spans="1:11" x14ac:dyDescent="0.2">
      <c r="A2671">
        <v>91115</v>
      </c>
      <c r="B2671">
        <v>88225</v>
      </c>
      <c r="C2671" t="s">
        <v>6280</v>
      </c>
      <c r="D2671">
        <v>8</v>
      </c>
      <c r="E2671">
        <v>7</v>
      </c>
      <c r="F2671">
        <v>134</v>
      </c>
      <c r="G2671">
        <v>937</v>
      </c>
      <c r="H2671">
        <v>60</v>
      </c>
      <c r="I2671">
        <v>2.2000000000000002</v>
      </c>
      <c r="J2671">
        <v>3.79</v>
      </c>
      <c r="K2671">
        <v>3551.23</v>
      </c>
    </row>
    <row r="2672" spans="1:11" x14ac:dyDescent="0.2">
      <c r="A2672">
        <v>85204</v>
      </c>
      <c r="B2672">
        <v>88252</v>
      </c>
      <c r="C2672" t="s">
        <v>6281</v>
      </c>
      <c r="D2672">
        <v>9</v>
      </c>
      <c r="E2672">
        <v>6</v>
      </c>
      <c r="F2672">
        <v>237</v>
      </c>
      <c r="G2672">
        <v>1422</v>
      </c>
      <c r="H2672">
        <v>120</v>
      </c>
      <c r="I2672">
        <v>2</v>
      </c>
      <c r="J2672">
        <v>2.99</v>
      </c>
      <c r="K2672">
        <v>4251.78</v>
      </c>
    </row>
    <row r="2673" spans="1:11" x14ac:dyDescent="0.2">
      <c r="A2673">
        <v>74262</v>
      </c>
      <c r="B2673">
        <v>88282</v>
      </c>
      <c r="C2673" t="s">
        <v>6282</v>
      </c>
      <c r="D2673">
        <v>8</v>
      </c>
      <c r="E2673">
        <v>56</v>
      </c>
      <c r="F2673">
        <v>237</v>
      </c>
      <c r="G2673">
        <v>13272</v>
      </c>
      <c r="H2673">
        <v>136</v>
      </c>
      <c r="I2673">
        <v>1.7</v>
      </c>
      <c r="J2673">
        <v>0.69</v>
      </c>
      <c r="K2673">
        <v>9157.68</v>
      </c>
    </row>
    <row r="2674" spans="1:11" x14ac:dyDescent="0.2">
      <c r="A2674">
        <v>42674</v>
      </c>
      <c r="B2674">
        <v>88379</v>
      </c>
      <c r="C2674" t="s">
        <v>6283</v>
      </c>
      <c r="D2674">
        <v>10</v>
      </c>
      <c r="E2674">
        <v>6</v>
      </c>
      <c r="F2674">
        <v>0</v>
      </c>
      <c r="G2674">
        <v>0</v>
      </c>
      <c r="H2674">
        <v>144</v>
      </c>
      <c r="I2674">
        <v>0</v>
      </c>
      <c r="J2674">
        <v>6.99</v>
      </c>
      <c r="K2674">
        <v>0</v>
      </c>
    </row>
    <row r="2675" spans="1:11" x14ac:dyDescent="0.2">
      <c r="A2675">
        <v>57679</v>
      </c>
      <c r="B2675">
        <v>88427</v>
      </c>
      <c r="C2675" t="s">
        <v>6284</v>
      </c>
      <c r="D2675">
        <v>10</v>
      </c>
      <c r="E2675">
        <v>12</v>
      </c>
      <c r="F2675">
        <v>7</v>
      </c>
      <c r="G2675">
        <v>80</v>
      </c>
      <c r="H2675">
        <v>120</v>
      </c>
      <c r="I2675">
        <v>0.1</v>
      </c>
      <c r="J2675">
        <v>1.69</v>
      </c>
      <c r="K2675">
        <v>135.19999999999999</v>
      </c>
    </row>
    <row r="2676" spans="1:11" x14ac:dyDescent="0.2">
      <c r="A2676">
        <v>70107</v>
      </c>
      <c r="B2676">
        <v>88436</v>
      </c>
      <c r="C2676" t="s">
        <v>6285</v>
      </c>
      <c r="D2676">
        <v>8</v>
      </c>
      <c r="E2676">
        <v>16</v>
      </c>
      <c r="F2676">
        <v>242</v>
      </c>
      <c r="G2676">
        <v>3872</v>
      </c>
      <c r="H2676">
        <v>133</v>
      </c>
      <c r="I2676">
        <v>1.8</v>
      </c>
      <c r="J2676">
        <v>1.38</v>
      </c>
      <c r="K2676">
        <v>5343.36</v>
      </c>
    </row>
    <row r="2677" spans="1:11" x14ac:dyDescent="0.2">
      <c r="A2677">
        <v>82076</v>
      </c>
      <c r="B2677">
        <v>88451</v>
      </c>
      <c r="C2677" t="s">
        <v>6286</v>
      </c>
      <c r="D2677">
        <v>8</v>
      </c>
      <c r="E2677">
        <v>8</v>
      </c>
      <c r="F2677">
        <v>516</v>
      </c>
      <c r="G2677">
        <v>4128</v>
      </c>
      <c r="H2677">
        <v>144</v>
      </c>
      <c r="I2677">
        <v>3.6</v>
      </c>
      <c r="J2677">
        <v>2.92</v>
      </c>
      <c r="K2677">
        <v>12053.76</v>
      </c>
    </row>
    <row r="2678" spans="1:11" x14ac:dyDescent="0.2">
      <c r="B2678">
        <v>89129</v>
      </c>
      <c r="C2678" t="s">
        <v>6287</v>
      </c>
      <c r="D2678">
        <v>10</v>
      </c>
      <c r="E2678">
        <v>12</v>
      </c>
      <c r="F2678">
        <v>0</v>
      </c>
      <c r="G2678">
        <v>0</v>
      </c>
      <c r="H2678">
        <v>36</v>
      </c>
      <c r="I2678">
        <v>0</v>
      </c>
      <c r="J2678">
        <v>6.99</v>
      </c>
      <c r="K2678">
        <v>0</v>
      </c>
    </row>
    <row r="2679" spans="1:11" x14ac:dyDescent="0.2">
      <c r="A2679">
        <v>65076</v>
      </c>
      <c r="B2679">
        <v>89686</v>
      </c>
      <c r="C2679" t="s">
        <v>6288</v>
      </c>
      <c r="D2679">
        <v>8</v>
      </c>
      <c r="E2679">
        <v>6</v>
      </c>
      <c r="F2679">
        <v>1207</v>
      </c>
      <c r="G2679">
        <v>7242</v>
      </c>
      <c r="H2679">
        <v>90</v>
      </c>
      <c r="I2679">
        <v>13.4</v>
      </c>
      <c r="J2679">
        <v>2.29</v>
      </c>
      <c r="K2679">
        <v>16584.18</v>
      </c>
    </row>
    <row r="2680" spans="1:11" x14ac:dyDescent="0.2">
      <c r="A2680">
        <v>4630</v>
      </c>
      <c r="B2680">
        <v>89720</v>
      </c>
      <c r="C2680" t="s">
        <v>6289</v>
      </c>
      <c r="D2680">
        <v>6</v>
      </c>
      <c r="E2680">
        <v>10</v>
      </c>
      <c r="F2680">
        <v>8</v>
      </c>
      <c r="G2680">
        <v>84</v>
      </c>
      <c r="H2680">
        <v>54</v>
      </c>
      <c r="I2680">
        <v>0.2</v>
      </c>
      <c r="J2680">
        <v>4.99</v>
      </c>
      <c r="K2680">
        <v>419.16</v>
      </c>
    </row>
    <row r="2681" spans="1:11" x14ac:dyDescent="0.2">
      <c r="A2681">
        <v>74237</v>
      </c>
      <c r="B2681">
        <v>89901</v>
      </c>
      <c r="C2681" t="s">
        <v>6290</v>
      </c>
      <c r="D2681">
        <v>8</v>
      </c>
      <c r="E2681">
        <v>33</v>
      </c>
      <c r="F2681">
        <v>324</v>
      </c>
      <c r="G2681">
        <v>10692</v>
      </c>
      <c r="H2681">
        <v>108</v>
      </c>
      <c r="I2681">
        <v>3</v>
      </c>
      <c r="J2681">
        <v>1.39</v>
      </c>
      <c r="K2681">
        <v>14861.88</v>
      </c>
    </row>
    <row r="2682" spans="1:11" x14ac:dyDescent="0.2">
      <c r="A2682">
        <v>88034</v>
      </c>
      <c r="B2682">
        <v>89960</v>
      </c>
      <c r="C2682" t="s">
        <v>6291</v>
      </c>
      <c r="D2682">
        <v>9</v>
      </c>
      <c r="E2682">
        <v>10</v>
      </c>
      <c r="F2682">
        <v>120</v>
      </c>
      <c r="G2682">
        <v>1200</v>
      </c>
      <c r="H2682">
        <v>120</v>
      </c>
      <c r="I2682">
        <v>1</v>
      </c>
      <c r="J2682">
        <v>5.95</v>
      </c>
      <c r="K2682">
        <v>7140</v>
      </c>
    </row>
    <row r="2683" spans="1:11" x14ac:dyDescent="0.2">
      <c r="A2683">
        <v>67058</v>
      </c>
      <c r="B2683">
        <v>90018</v>
      </c>
      <c r="C2683" t="s">
        <v>6292</v>
      </c>
      <c r="D2683">
        <v>8</v>
      </c>
      <c r="E2683">
        <v>11</v>
      </c>
      <c r="F2683">
        <v>1123</v>
      </c>
      <c r="G2683">
        <v>12350</v>
      </c>
      <c r="H2683">
        <v>72</v>
      </c>
      <c r="I2683">
        <v>15.6</v>
      </c>
      <c r="J2683">
        <v>0.5</v>
      </c>
      <c r="K2683">
        <v>6175</v>
      </c>
    </row>
    <row r="2684" spans="1:11" x14ac:dyDescent="0.2">
      <c r="B2684">
        <v>90066</v>
      </c>
      <c r="C2684" t="s">
        <v>6293</v>
      </c>
      <c r="D2684">
        <v>12</v>
      </c>
      <c r="E2684">
        <v>1</v>
      </c>
      <c r="F2684">
        <v>0</v>
      </c>
      <c r="G2684">
        <v>0</v>
      </c>
      <c r="H2684">
        <v>576</v>
      </c>
      <c r="I2684">
        <v>0</v>
      </c>
      <c r="J2684">
        <v>0.8</v>
      </c>
      <c r="K2684">
        <v>0</v>
      </c>
    </row>
    <row r="2685" spans="1:11" x14ac:dyDescent="0.2">
      <c r="B2685">
        <v>90066</v>
      </c>
      <c r="C2685" t="s">
        <v>6293</v>
      </c>
      <c r="D2685">
        <v>11</v>
      </c>
      <c r="E2685">
        <v>24</v>
      </c>
      <c r="F2685">
        <v>0</v>
      </c>
      <c r="G2685">
        <v>0</v>
      </c>
      <c r="H2685">
        <v>32</v>
      </c>
      <c r="I2685">
        <v>0</v>
      </c>
      <c r="J2685">
        <v>0.8</v>
      </c>
      <c r="K2685">
        <v>0</v>
      </c>
    </row>
    <row r="2686" spans="1:11" x14ac:dyDescent="0.2">
      <c r="A2686">
        <v>73023</v>
      </c>
      <c r="B2686">
        <v>90166</v>
      </c>
      <c r="C2686" t="s">
        <v>6294</v>
      </c>
      <c r="D2686">
        <v>8</v>
      </c>
      <c r="E2686">
        <v>12</v>
      </c>
      <c r="F2686">
        <v>394</v>
      </c>
      <c r="G2686">
        <v>4728</v>
      </c>
      <c r="H2686">
        <v>160</v>
      </c>
      <c r="I2686">
        <v>2.5</v>
      </c>
      <c r="J2686">
        <v>1.79</v>
      </c>
      <c r="K2686">
        <v>8463.1200000000008</v>
      </c>
    </row>
    <row r="2687" spans="1:11" x14ac:dyDescent="0.2">
      <c r="A2687">
        <v>99980</v>
      </c>
      <c r="B2687">
        <v>90290</v>
      </c>
      <c r="C2687" t="s">
        <v>6295</v>
      </c>
      <c r="D2687">
        <v>10</v>
      </c>
      <c r="E2687">
        <v>24</v>
      </c>
      <c r="F2687">
        <v>0</v>
      </c>
      <c r="G2687">
        <v>0</v>
      </c>
      <c r="H2687">
        <v>75</v>
      </c>
      <c r="I2687">
        <v>0</v>
      </c>
      <c r="J2687">
        <v>1.6</v>
      </c>
      <c r="K2687">
        <v>0</v>
      </c>
    </row>
    <row r="2688" spans="1:11" x14ac:dyDescent="0.2">
      <c r="A2688">
        <v>61100</v>
      </c>
      <c r="B2688">
        <v>90291</v>
      </c>
      <c r="C2688" t="s">
        <v>6296</v>
      </c>
      <c r="D2688">
        <v>8</v>
      </c>
      <c r="E2688">
        <v>6</v>
      </c>
      <c r="F2688">
        <v>853</v>
      </c>
      <c r="G2688">
        <v>5118</v>
      </c>
      <c r="H2688">
        <v>105</v>
      </c>
      <c r="I2688">
        <v>8.1</v>
      </c>
      <c r="J2688">
        <v>3.69</v>
      </c>
      <c r="K2688">
        <v>18885.419999999998</v>
      </c>
    </row>
    <row r="2689" spans="1:11" x14ac:dyDescent="0.2">
      <c r="A2689">
        <v>4643</v>
      </c>
      <c r="B2689">
        <v>90455</v>
      </c>
      <c r="C2689" t="s">
        <v>6297</v>
      </c>
      <c r="D2689">
        <v>6</v>
      </c>
      <c r="E2689">
        <v>18</v>
      </c>
      <c r="F2689">
        <v>0</v>
      </c>
      <c r="G2689">
        <v>0</v>
      </c>
      <c r="H2689">
        <v>90</v>
      </c>
      <c r="I2689">
        <v>0</v>
      </c>
      <c r="J2689">
        <v>1.99</v>
      </c>
      <c r="K2689">
        <v>0</v>
      </c>
    </row>
    <row r="2690" spans="1:11" x14ac:dyDescent="0.2">
      <c r="A2690">
        <v>99554</v>
      </c>
      <c r="B2690">
        <v>90469</v>
      </c>
      <c r="C2690" t="s">
        <v>6298</v>
      </c>
      <c r="D2690">
        <v>10</v>
      </c>
      <c r="E2690">
        <v>20</v>
      </c>
      <c r="F2690">
        <v>0</v>
      </c>
      <c r="G2690">
        <v>0</v>
      </c>
      <c r="H2690">
        <v>36</v>
      </c>
      <c r="I2690">
        <v>0</v>
      </c>
      <c r="J2690">
        <v>6.19</v>
      </c>
      <c r="K2690">
        <v>0</v>
      </c>
    </row>
    <row r="2691" spans="1:11" x14ac:dyDescent="0.2">
      <c r="A2691">
        <v>62237</v>
      </c>
      <c r="B2691">
        <v>90481</v>
      </c>
      <c r="C2691" t="s">
        <v>6299</v>
      </c>
      <c r="D2691">
        <v>7</v>
      </c>
      <c r="E2691">
        <v>6</v>
      </c>
      <c r="F2691">
        <v>-19</v>
      </c>
      <c r="G2691">
        <v>-113</v>
      </c>
      <c r="H2691">
        <v>126</v>
      </c>
      <c r="I2691">
        <v>-0.1</v>
      </c>
      <c r="J2691">
        <v>1.89</v>
      </c>
      <c r="K2691">
        <v>-213.57</v>
      </c>
    </row>
    <row r="2692" spans="1:11" x14ac:dyDescent="0.2">
      <c r="A2692">
        <v>69019</v>
      </c>
      <c r="B2692">
        <v>90560</v>
      </c>
      <c r="C2692" t="s">
        <v>6300</v>
      </c>
      <c r="D2692">
        <v>8</v>
      </c>
      <c r="E2692">
        <v>24</v>
      </c>
      <c r="F2692">
        <v>579</v>
      </c>
      <c r="G2692">
        <v>13896</v>
      </c>
      <c r="H2692">
        <v>120</v>
      </c>
      <c r="I2692">
        <v>4.8</v>
      </c>
      <c r="J2692">
        <v>1.69</v>
      </c>
      <c r="K2692">
        <v>23484.240000000002</v>
      </c>
    </row>
    <row r="2693" spans="1:11" x14ac:dyDescent="0.2">
      <c r="A2693">
        <v>70047</v>
      </c>
      <c r="B2693">
        <v>90903</v>
      </c>
      <c r="C2693" t="s">
        <v>6301</v>
      </c>
      <c r="D2693">
        <v>9</v>
      </c>
      <c r="E2693">
        <v>20</v>
      </c>
      <c r="F2693">
        <v>118</v>
      </c>
      <c r="G2693">
        <v>2360</v>
      </c>
      <c r="H2693">
        <v>60</v>
      </c>
      <c r="I2693">
        <v>2</v>
      </c>
      <c r="J2693">
        <v>1.1499999999999999</v>
      </c>
      <c r="K2693">
        <v>2714</v>
      </c>
    </row>
    <row r="2694" spans="1:11" x14ac:dyDescent="0.2">
      <c r="A2694">
        <v>74232</v>
      </c>
      <c r="B2694">
        <v>91232</v>
      </c>
      <c r="C2694" t="s">
        <v>6302</v>
      </c>
      <c r="D2694">
        <v>8</v>
      </c>
      <c r="E2694">
        <v>32</v>
      </c>
      <c r="F2694">
        <v>161</v>
      </c>
      <c r="G2694">
        <v>5151</v>
      </c>
      <c r="H2694">
        <v>108</v>
      </c>
      <c r="I2694">
        <v>1.5</v>
      </c>
      <c r="J2694">
        <v>1.39</v>
      </c>
      <c r="K2694">
        <v>7159.89</v>
      </c>
    </row>
    <row r="2695" spans="1:11" x14ac:dyDescent="0.2">
      <c r="A2695">
        <v>42627</v>
      </c>
      <c r="B2695">
        <v>91438</v>
      </c>
      <c r="C2695" t="s">
        <v>6303</v>
      </c>
      <c r="D2695">
        <v>10</v>
      </c>
      <c r="E2695">
        <v>12</v>
      </c>
      <c r="F2695">
        <v>1</v>
      </c>
      <c r="G2695">
        <v>12</v>
      </c>
      <c r="H2695">
        <v>120</v>
      </c>
      <c r="I2695">
        <v>0</v>
      </c>
      <c r="J2695">
        <v>1.69</v>
      </c>
      <c r="K2695">
        <v>20.28</v>
      </c>
    </row>
    <row r="2696" spans="1:11" x14ac:dyDescent="0.2">
      <c r="A2696">
        <v>65237</v>
      </c>
      <c r="B2696">
        <v>91448</v>
      </c>
      <c r="C2696" t="s">
        <v>6304</v>
      </c>
      <c r="D2696">
        <v>8</v>
      </c>
      <c r="E2696">
        <v>12</v>
      </c>
      <c r="F2696">
        <v>264</v>
      </c>
      <c r="G2696">
        <v>3168</v>
      </c>
      <c r="H2696">
        <v>126</v>
      </c>
      <c r="I2696">
        <v>2.1</v>
      </c>
      <c r="J2696">
        <v>0.99</v>
      </c>
      <c r="K2696">
        <v>3136.32</v>
      </c>
    </row>
    <row r="2697" spans="1:11" x14ac:dyDescent="0.2">
      <c r="B2697">
        <v>91643</v>
      </c>
      <c r="C2697" t="s">
        <v>6305</v>
      </c>
      <c r="D2697">
        <v>11</v>
      </c>
      <c r="E2697">
        <v>1</v>
      </c>
      <c r="F2697">
        <v>0</v>
      </c>
      <c r="G2697">
        <v>0</v>
      </c>
      <c r="H2697">
        <v>189</v>
      </c>
      <c r="I2697">
        <v>0</v>
      </c>
      <c r="J2697">
        <v>2.09</v>
      </c>
      <c r="K2697">
        <v>0</v>
      </c>
    </row>
    <row r="2698" spans="1:11" x14ac:dyDescent="0.2">
      <c r="B2698">
        <v>91906</v>
      </c>
      <c r="C2698" t="s">
        <v>6306</v>
      </c>
      <c r="D2698">
        <v>11</v>
      </c>
      <c r="E2698">
        <v>8</v>
      </c>
      <c r="F2698">
        <v>-27</v>
      </c>
      <c r="G2698">
        <v>-216</v>
      </c>
      <c r="H2698">
        <v>96</v>
      </c>
      <c r="I2698">
        <v>-0.3</v>
      </c>
      <c r="J2698">
        <v>3.59</v>
      </c>
      <c r="K2698">
        <v>-775.44</v>
      </c>
    </row>
    <row r="2699" spans="1:11" x14ac:dyDescent="0.2">
      <c r="A2699">
        <v>70036</v>
      </c>
      <c r="B2699">
        <v>91919</v>
      </c>
      <c r="C2699" t="s">
        <v>6307</v>
      </c>
      <c r="D2699">
        <v>8</v>
      </c>
      <c r="E2699">
        <v>19</v>
      </c>
      <c r="F2699">
        <v>403</v>
      </c>
      <c r="G2699">
        <v>7657</v>
      </c>
      <c r="H2699">
        <v>102</v>
      </c>
      <c r="I2699">
        <v>4</v>
      </c>
      <c r="J2699">
        <v>1.69</v>
      </c>
      <c r="K2699">
        <v>12940.33</v>
      </c>
    </row>
    <row r="2700" spans="1:11" x14ac:dyDescent="0.2">
      <c r="A2700">
        <v>70215</v>
      </c>
      <c r="B2700">
        <v>91976</v>
      </c>
      <c r="C2700" t="s">
        <v>6308</v>
      </c>
      <c r="D2700">
        <v>8</v>
      </c>
      <c r="E2700">
        <v>16</v>
      </c>
      <c r="F2700">
        <v>76</v>
      </c>
      <c r="G2700">
        <v>1216</v>
      </c>
      <c r="H2700">
        <v>133</v>
      </c>
      <c r="I2700">
        <v>0.6</v>
      </c>
      <c r="J2700">
        <v>0.85</v>
      </c>
      <c r="K2700">
        <v>1033.5999999999999</v>
      </c>
    </row>
    <row r="2701" spans="1:11" x14ac:dyDescent="0.2">
      <c r="A2701">
        <v>99984</v>
      </c>
      <c r="B2701">
        <v>91982</v>
      </c>
      <c r="C2701" t="s">
        <v>6309</v>
      </c>
      <c r="D2701">
        <v>10</v>
      </c>
      <c r="E2701">
        <v>12</v>
      </c>
      <c r="F2701">
        <v>0</v>
      </c>
      <c r="G2701">
        <v>0</v>
      </c>
      <c r="H2701">
        <v>144</v>
      </c>
      <c r="I2701">
        <v>0</v>
      </c>
      <c r="J2701">
        <v>1.39</v>
      </c>
      <c r="K2701">
        <v>0</v>
      </c>
    </row>
    <row r="2702" spans="1:11" x14ac:dyDescent="0.2">
      <c r="A2702">
        <v>4644</v>
      </c>
      <c r="B2702">
        <v>92306</v>
      </c>
      <c r="C2702" t="s">
        <v>6310</v>
      </c>
      <c r="D2702">
        <v>6</v>
      </c>
      <c r="E2702">
        <v>12</v>
      </c>
      <c r="F2702">
        <v>0</v>
      </c>
      <c r="G2702">
        <v>0</v>
      </c>
      <c r="H2702">
        <v>48</v>
      </c>
      <c r="I2702">
        <v>0</v>
      </c>
      <c r="J2702">
        <v>2.19</v>
      </c>
      <c r="K2702">
        <v>0</v>
      </c>
    </row>
    <row r="2703" spans="1:11" x14ac:dyDescent="0.2">
      <c r="A2703">
        <v>93206</v>
      </c>
      <c r="B2703">
        <v>92369</v>
      </c>
      <c r="C2703" t="s">
        <v>6311</v>
      </c>
      <c r="D2703">
        <v>10</v>
      </c>
      <c r="E2703">
        <v>12</v>
      </c>
      <c r="F2703">
        <v>0</v>
      </c>
      <c r="G2703">
        <v>0</v>
      </c>
      <c r="H2703">
        <v>24</v>
      </c>
      <c r="I2703">
        <v>0</v>
      </c>
      <c r="J2703">
        <v>2.59</v>
      </c>
      <c r="K2703">
        <v>0</v>
      </c>
    </row>
    <row r="2704" spans="1:11" x14ac:dyDescent="0.2">
      <c r="B2704">
        <v>92372</v>
      </c>
      <c r="C2704" t="s">
        <v>6312</v>
      </c>
      <c r="D2704">
        <v>11</v>
      </c>
      <c r="E2704">
        <v>24</v>
      </c>
      <c r="F2704">
        <v>0</v>
      </c>
      <c r="G2704">
        <v>0</v>
      </c>
      <c r="H2704">
        <v>90</v>
      </c>
      <c r="I2704">
        <v>0</v>
      </c>
      <c r="J2704">
        <v>1.39</v>
      </c>
      <c r="K2704">
        <v>0</v>
      </c>
    </row>
    <row r="2705" spans="1:11" x14ac:dyDescent="0.2">
      <c r="A2705">
        <v>80069</v>
      </c>
      <c r="B2705">
        <v>92387</v>
      </c>
      <c r="C2705" t="s">
        <v>6313</v>
      </c>
      <c r="D2705">
        <v>8</v>
      </c>
      <c r="E2705">
        <v>3</v>
      </c>
      <c r="F2705">
        <v>698</v>
      </c>
      <c r="G2705">
        <v>2094</v>
      </c>
      <c r="H2705">
        <v>90</v>
      </c>
      <c r="I2705">
        <v>7.8</v>
      </c>
      <c r="J2705">
        <v>2.99</v>
      </c>
      <c r="K2705">
        <v>6261.06</v>
      </c>
    </row>
    <row r="2706" spans="1:11" x14ac:dyDescent="0.2">
      <c r="A2706">
        <v>80083</v>
      </c>
      <c r="B2706">
        <v>92393</v>
      </c>
      <c r="C2706" t="s">
        <v>6314</v>
      </c>
      <c r="D2706">
        <v>8</v>
      </c>
      <c r="E2706">
        <v>4</v>
      </c>
      <c r="F2706">
        <v>439</v>
      </c>
      <c r="G2706">
        <v>1756</v>
      </c>
      <c r="H2706">
        <v>99</v>
      </c>
      <c r="I2706">
        <v>4.4000000000000004</v>
      </c>
      <c r="J2706">
        <v>1.29</v>
      </c>
      <c r="K2706">
        <v>2265.2399999999998</v>
      </c>
    </row>
    <row r="2707" spans="1:11" x14ac:dyDescent="0.2">
      <c r="A2707">
        <v>80039</v>
      </c>
      <c r="B2707">
        <v>92394</v>
      </c>
      <c r="C2707" t="s">
        <v>6315</v>
      </c>
      <c r="D2707">
        <v>8</v>
      </c>
      <c r="E2707">
        <v>4</v>
      </c>
      <c r="F2707">
        <v>1050</v>
      </c>
      <c r="G2707">
        <v>4199</v>
      </c>
      <c r="H2707">
        <v>108</v>
      </c>
      <c r="I2707">
        <v>9.6999999999999993</v>
      </c>
      <c r="J2707">
        <v>1.35</v>
      </c>
      <c r="K2707">
        <v>5668.65</v>
      </c>
    </row>
    <row r="2708" spans="1:11" x14ac:dyDescent="0.2">
      <c r="B2708">
        <v>92429</v>
      </c>
      <c r="C2708" t="s">
        <v>6316</v>
      </c>
      <c r="D2708">
        <v>11</v>
      </c>
      <c r="E2708">
        <v>30</v>
      </c>
      <c r="F2708">
        <v>0</v>
      </c>
      <c r="G2708">
        <v>0</v>
      </c>
      <c r="H2708">
        <v>60</v>
      </c>
      <c r="I2708">
        <v>0</v>
      </c>
      <c r="J2708">
        <v>0.99</v>
      </c>
      <c r="K2708">
        <v>0</v>
      </c>
    </row>
    <row r="2709" spans="1:11" x14ac:dyDescent="0.2">
      <c r="A2709">
        <v>93268</v>
      </c>
      <c r="B2709">
        <v>92449</v>
      </c>
      <c r="C2709" t="s">
        <v>6317</v>
      </c>
      <c r="D2709">
        <v>10</v>
      </c>
      <c r="E2709">
        <v>8</v>
      </c>
      <c r="F2709">
        <v>2</v>
      </c>
      <c r="G2709">
        <v>16</v>
      </c>
      <c r="H2709">
        <v>100</v>
      </c>
      <c r="I2709">
        <v>0</v>
      </c>
      <c r="J2709">
        <v>6.99</v>
      </c>
      <c r="K2709">
        <v>111.84</v>
      </c>
    </row>
    <row r="2710" spans="1:11" x14ac:dyDescent="0.2">
      <c r="A2710">
        <v>80065</v>
      </c>
      <c r="B2710">
        <v>92483</v>
      </c>
      <c r="C2710" t="s">
        <v>6318</v>
      </c>
      <c r="D2710">
        <v>8</v>
      </c>
      <c r="E2710">
        <v>4</v>
      </c>
      <c r="F2710">
        <v>553</v>
      </c>
      <c r="G2710">
        <v>2212</v>
      </c>
      <c r="H2710">
        <v>99</v>
      </c>
      <c r="I2710">
        <v>5.6</v>
      </c>
      <c r="J2710">
        <v>1.78</v>
      </c>
      <c r="K2710">
        <v>3937.36</v>
      </c>
    </row>
    <row r="2711" spans="1:11" x14ac:dyDescent="0.2">
      <c r="A2711">
        <v>57558</v>
      </c>
      <c r="B2711">
        <v>92506</v>
      </c>
      <c r="C2711" t="s">
        <v>6319</v>
      </c>
      <c r="D2711">
        <v>10</v>
      </c>
      <c r="E2711">
        <v>315</v>
      </c>
      <c r="F2711">
        <v>1</v>
      </c>
      <c r="G2711">
        <v>253</v>
      </c>
      <c r="H2711">
        <v>4</v>
      </c>
      <c r="I2711">
        <v>0.2</v>
      </c>
      <c r="J2711">
        <v>0.99</v>
      </c>
      <c r="K2711">
        <v>250.47</v>
      </c>
    </row>
    <row r="2712" spans="1:11" x14ac:dyDescent="0.2">
      <c r="A2712">
        <v>57015</v>
      </c>
      <c r="B2712">
        <v>92510</v>
      </c>
      <c r="C2712" t="s">
        <v>3697</v>
      </c>
      <c r="D2712">
        <v>11</v>
      </c>
      <c r="E2712">
        <v>1</v>
      </c>
      <c r="F2712">
        <v>0</v>
      </c>
      <c r="G2712">
        <v>0</v>
      </c>
      <c r="H2712">
        <v>160</v>
      </c>
      <c r="I2712">
        <v>0</v>
      </c>
      <c r="J2712">
        <v>0.3</v>
      </c>
      <c r="K2712">
        <v>0</v>
      </c>
    </row>
    <row r="2713" spans="1:11" x14ac:dyDescent="0.2">
      <c r="A2713">
        <v>45502</v>
      </c>
      <c r="B2713">
        <v>92516</v>
      </c>
      <c r="C2713" t="s">
        <v>6320</v>
      </c>
      <c r="D2713">
        <v>10</v>
      </c>
      <c r="E2713">
        <v>6</v>
      </c>
      <c r="F2713">
        <v>2</v>
      </c>
      <c r="G2713">
        <v>12</v>
      </c>
      <c r="H2713">
        <v>120</v>
      </c>
      <c r="I2713">
        <v>0</v>
      </c>
      <c r="J2713">
        <v>2.99</v>
      </c>
      <c r="K2713">
        <v>35.880000000000003</v>
      </c>
    </row>
    <row r="2714" spans="1:11" x14ac:dyDescent="0.2">
      <c r="A2714">
        <v>80128</v>
      </c>
      <c r="B2714">
        <v>92543</v>
      </c>
      <c r="C2714" t="s">
        <v>6321</v>
      </c>
      <c r="D2714">
        <v>8</v>
      </c>
      <c r="E2714">
        <v>4</v>
      </c>
      <c r="F2714">
        <v>248</v>
      </c>
      <c r="G2714">
        <v>992</v>
      </c>
      <c r="H2714">
        <v>120</v>
      </c>
      <c r="I2714">
        <v>2.1</v>
      </c>
      <c r="J2714">
        <v>1.99</v>
      </c>
      <c r="K2714">
        <v>1974.08</v>
      </c>
    </row>
    <row r="2715" spans="1:11" x14ac:dyDescent="0.2">
      <c r="A2715">
        <v>80047</v>
      </c>
      <c r="B2715">
        <v>92566</v>
      </c>
      <c r="C2715" t="s">
        <v>6322</v>
      </c>
      <c r="D2715">
        <v>8</v>
      </c>
      <c r="E2715">
        <v>4</v>
      </c>
      <c r="F2715">
        <v>455</v>
      </c>
      <c r="G2715">
        <v>1820</v>
      </c>
      <c r="H2715">
        <v>99</v>
      </c>
      <c r="I2715">
        <v>4.5999999999999996</v>
      </c>
      <c r="J2715">
        <v>2.25</v>
      </c>
      <c r="K2715">
        <v>4095</v>
      </c>
    </row>
    <row r="2716" spans="1:11" x14ac:dyDescent="0.2">
      <c r="A2716">
        <v>99508</v>
      </c>
      <c r="B2716">
        <v>92570</v>
      </c>
      <c r="C2716" t="s">
        <v>6323</v>
      </c>
      <c r="D2716">
        <v>10</v>
      </c>
      <c r="E2716">
        <v>25</v>
      </c>
      <c r="F2716">
        <v>0</v>
      </c>
      <c r="G2716">
        <v>0</v>
      </c>
      <c r="H2716">
        <v>64</v>
      </c>
      <c r="I2716">
        <v>0</v>
      </c>
      <c r="J2716">
        <v>1.29</v>
      </c>
      <c r="K2716">
        <v>0</v>
      </c>
    </row>
    <row r="2717" spans="1:11" x14ac:dyDescent="0.2">
      <c r="A2717">
        <v>89043</v>
      </c>
      <c r="B2717">
        <v>92621</v>
      </c>
      <c r="C2717" t="s">
        <v>6324</v>
      </c>
      <c r="D2717">
        <v>8</v>
      </c>
      <c r="E2717">
        <v>8</v>
      </c>
      <c r="F2717">
        <v>720</v>
      </c>
      <c r="G2717">
        <v>5760</v>
      </c>
      <c r="H2717">
        <v>72</v>
      </c>
      <c r="I2717">
        <v>10</v>
      </c>
      <c r="J2717">
        <v>1.64</v>
      </c>
      <c r="K2717">
        <v>9446.4</v>
      </c>
    </row>
    <row r="2718" spans="1:11" x14ac:dyDescent="0.2">
      <c r="A2718">
        <v>99051</v>
      </c>
      <c r="B2718">
        <v>92626</v>
      </c>
      <c r="C2718" t="s">
        <v>6325</v>
      </c>
      <c r="D2718">
        <v>10</v>
      </c>
      <c r="E2718">
        <v>6</v>
      </c>
      <c r="F2718">
        <v>0</v>
      </c>
      <c r="G2718">
        <v>0</v>
      </c>
      <c r="H2718">
        <v>50</v>
      </c>
      <c r="I2718">
        <v>0</v>
      </c>
      <c r="J2718">
        <v>3.29</v>
      </c>
      <c r="K2718">
        <v>0</v>
      </c>
    </row>
    <row r="2719" spans="1:11" x14ac:dyDescent="0.2">
      <c r="A2719">
        <v>57680</v>
      </c>
      <c r="B2719">
        <v>92638</v>
      </c>
      <c r="C2719" t="s">
        <v>5749</v>
      </c>
      <c r="D2719">
        <v>10</v>
      </c>
      <c r="E2719">
        <v>36</v>
      </c>
      <c r="F2719">
        <v>9</v>
      </c>
      <c r="G2719">
        <v>321</v>
      </c>
      <c r="H2719">
        <v>28</v>
      </c>
      <c r="I2719">
        <v>0.3</v>
      </c>
      <c r="J2719">
        <v>0.79</v>
      </c>
      <c r="K2719">
        <v>253.59</v>
      </c>
    </row>
    <row r="2720" spans="1:11" x14ac:dyDescent="0.2">
      <c r="A2720">
        <v>99261</v>
      </c>
      <c r="B2720">
        <v>92651</v>
      </c>
      <c r="C2720" t="s">
        <v>6326</v>
      </c>
      <c r="D2720">
        <v>10</v>
      </c>
      <c r="E2720">
        <v>16</v>
      </c>
      <c r="F2720">
        <v>0</v>
      </c>
      <c r="G2720">
        <v>0</v>
      </c>
      <c r="H2720">
        <v>91</v>
      </c>
      <c r="I2720">
        <v>0</v>
      </c>
      <c r="J2720">
        <v>1.49</v>
      </c>
      <c r="K2720">
        <v>0</v>
      </c>
    </row>
    <row r="2721" spans="1:11" x14ac:dyDescent="0.2">
      <c r="A2721">
        <v>86017</v>
      </c>
      <c r="B2721">
        <v>92778</v>
      </c>
      <c r="C2721" t="s">
        <v>6327</v>
      </c>
      <c r="D2721">
        <v>8</v>
      </c>
      <c r="E2721">
        <v>8</v>
      </c>
      <c r="F2721">
        <v>612</v>
      </c>
      <c r="G2721">
        <v>4896</v>
      </c>
      <c r="H2721">
        <v>36</v>
      </c>
      <c r="I2721">
        <v>17</v>
      </c>
      <c r="J2721">
        <v>1.99</v>
      </c>
      <c r="K2721">
        <v>9743.0400000000009</v>
      </c>
    </row>
    <row r="2722" spans="1:11" x14ac:dyDescent="0.2">
      <c r="A2722">
        <v>86024</v>
      </c>
      <c r="B2722">
        <v>92779</v>
      </c>
      <c r="C2722" t="s">
        <v>6328</v>
      </c>
      <c r="D2722">
        <v>8</v>
      </c>
      <c r="E2722">
        <v>8</v>
      </c>
      <c r="F2722">
        <v>0</v>
      </c>
      <c r="G2722">
        <v>0</v>
      </c>
      <c r="H2722">
        <v>40</v>
      </c>
      <c r="I2722">
        <v>0</v>
      </c>
      <c r="J2722">
        <v>1.99</v>
      </c>
      <c r="K2722">
        <v>0</v>
      </c>
    </row>
    <row r="2723" spans="1:11" x14ac:dyDescent="0.2">
      <c r="A2723">
        <v>86033</v>
      </c>
      <c r="B2723">
        <v>92785</v>
      </c>
      <c r="C2723" t="s">
        <v>6329</v>
      </c>
      <c r="D2723">
        <v>8</v>
      </c>
      <c r="E2723">
        <v>84</v>
      </c>
      <c r="F2723">
        <v>0</v>
      </c>
      <c r="G2723">
        <v>0</v>
      </c>
      <c r="H2723">
        <v>24</v>
      </c>
      <c r="I2723">
        <v>0</v>
      </c>
      <c r="J2723">
        <v>0.28999999999999998</v>
      </c>
      <c r="K2723">
        <v>0</v>
      </c>
    </row>
    <row r="2724" spans="1:11" x14ac:dyDescent="0.2">
      <c r="A2724">
        <v>80248</v>
      </c>
      <c r="B2724">
        <v>92813</v>
      </c>
      <c r="C2724" t="s">
        <v>6253</v>
      </c>
      <c r="D2724">
        <v>8</v>
      </c>
      <c r="E2724">
        <v>8</v>
      </c>
      <c r="F2724">
        <v>290</v>
      </c>
      <c r="G2724">
        <v>2320</v>
      </c>
      <c r="H2724">
        <v>108</v>
      </c>
      <c r="I2724">
        <v>2.7</v>
      </c>
      <c r="J2724">
        <v>1.1299999999999999</v>
      </c>
      <c r="K2724">
        <v>2621.6</v>
      </c>
    </row>
    <row r="2725" spans="1:11" x14ac:dyDescent="0.2">
      <c r="A2725">
        <v>80160</v>
      </c>
      <c r="B2725">
        <v>92814</v>
      </c>
      <c r="C2725" t="s">
        <v>6330</v>
      </c>
      <c r="D2725">
        <v>8</v>
      </c>
      <c r="E2725">
        <v>6</v>
      </c>
      <c r="F2725">
        <v>572</v>
      </c>
      <c r="G2725">
        <v>3432</v>
      </c>
      <c r="H2725">
        <v>88</v>
      </c>
      <c r="I2725">
        <v>6.5</v>
      </c>
      <c r="J2725">
        <v>1.65</v>
      </c>
      <c r="K2725">
        <v>5662.8</v>
      </c>
    </row>
    <row r="2726" spans="1:11" x14ac:dyDescent="0.2">
      <c r="A2726">
        <v>71017</v>
      </c>
      <c r="B2726">
        <v>92815</v>
      </c>
      <c r="C2726" t="s">
        <v>6331</v>
      </c>
      <c r="D2726">
        <v>8</v>
      </c>
      <c r="E2726">
        <v>3</v>
      </c>
      <c r="F2726">
        <v>1050</v>
      </c>
      <c r="G2726">
        <v>3150</v>
      </c>
      <c r="H2726">
        <v>56</v>
      </c>
      <c r="I2726">
        <v>18.8</v>
      </c>
      <c r="J2726">
        <v>8.09</v>
      </c>
      <c r="K2726">
        <v>25483.5</v>
      </c>
    </row>
    <row r="2727" spans="1:11" x14ac:dyDescent="0.2">
      <c r="A2727">
        <v>66259</v>
      </c>
      <c r="B2727">
        <v>92820</v>
      </c>
      <c r="C2727" t="s">
        <v>6332</v>
      </c>
      <c r="D2727">
        <v>8</v>
      </c>
      <c r="E2727">
        <v>24</v>
      </c>
      <c r="F2727">
        <v>197</v>
      </c>
      <c r="G2727">
        <v>4728</v>
      </c>
      <c r="H2727">
        <v>16</v>
      </c>
      <c r="I2727">
        <v>12.3</v>
      </c>
      <c r="J2727">
        <v>1.1499999999999999</v>
      </c>
      <c r="K2727">
        <v>5437.2</v>
      </c>
    </row>
    <row r="2728" spans="1:11" x14ac:dyDescent="0.2">
      <c r="A2728">
        <v>65160</v>
      </c>
      <c r="B2728">
        <v>92822</v>
      </c>
      <c r="C2728" t="s">
        <v>6333</v>
      </c>
      <c r="D2728">
        <v>8</v>
      </c>
      <c r="E2728">
        <v>24</v>
      </c>
      <c r="F2728">
        <v>519</v>
      </c>
      <c r="G2728">
        <v>12456</v>
      </c>
      <c r="H2728">
        <v>60</v>
      </c>
      <c r="I2728">
        <v>8.6999999999999993</v>
      </c>
      <c r="J2728">
        <v>2.79</v>
      </c>
      <c r="K2728">
        <v>34752.239999999998</v>
      </c>
    </row>
    <row r="2729" spans="1:11" x14ac:dyDescent="0.2">
      <c r="A2729">
        <v>99803</v>
      </c>
      <c r="B2729">
        <v>92827</v>
      </c>
      <c r="C2729" t="s">
        <v>6334</v>
      </c>
      <c r="D2729">
        <v>10</v>
      </c>
      <c r="E2729">
        <v>12</v>
      </c>
      <c r="F2729">
        <v>0</v>
      </c>
      <c r="G2729">
        <v>0</v>
      </c>
      <c r="H2729">
        <v>48</v>
      </c>
      <c r="I2729">
        <v>0</v>
      </c>
      <c r="J2729">
        <v>12.99</v>
      </c>
      <c r="K2729">
        <v>0</v>
      </c>
    </row>
    <row r="2730" spans="1:11" x14ac:dyDescent="0.2">
      <c r="A2730">
        <v>70184</v>
      </c>
      <c r="B2730">
        <v>92853</v>
      </c>
      <c r="C2730" t="s">
        <v>6335</v>
      </c>
      <c r="D2730">
        <v>8</v>
      </c>
      <c r="E2730">
        <v>13</v>
      </c>
      <c r="F2730">
        <v>157</v>
      </c>
      <c r="G2730">
        <v>2041</v>
      </c>
      <c r="H2730">
        <v>126</v>
      </c>
      <c r="I2730">
        <v>1.2</v>
      </c>
      <c r="J2730">
        <v>1.49</v>
      </c>
      <c r="K2730">
        <v>3041.09</v>
      </c>
    </row>
    <row r="2731" spans="1:11" x14ac:dyDescent="0.2">
      <c r="A2731">
        <v>70228</v>
      </c>
      <c r="B2731">
        <v>92854</v>
      </c>
      <c r="C2731" t="s">
        <v>6336</v>
      </c>
      <c r="D2731">
        <v>8</v>
      </c>
      <c r="E2731">
        <v>13</v>
      </c>
      <c r="F2731">
        <v>845</v>
      </c>
      <c r="G2731">
        <v>10985</v>
      </c>
      <c r="H2731">
        <v>144</v>
      </c>
      <c r="I2731">
        <v>5.9</v>
      </c>
      <c r="J2731">
        <v>1.49</v>
      </c>
      <c r="K2731">
        <v>16367.65</v>
      </c>
    </row>
    <row r="2732" spans="1:11" x14ac:dyDescent="0.2">
      <c r="B2732">
        <v>92855</v>
      </c>
      <c r="C2732" t="s">
        <v>6337</v>
      </c>
      <c r="D2732">
        <v>11</v>
      </c>
      <c r="E2732">
        <v>15</v>
      </c>
      <c r="F2732">
        <v>0</v>
      </c>
      <c r="G2732">
        <v>0</v>
      </c>
      <c r="H2732">
        <v>138</v>
      </c>
      <c r="I2732">
        <v>0</v>
      </c>
      <c r="J2732">
        <v>1.79</v>
      </c>
      <c r="K2732">
        <v>0</v>
      </c>
    </row>
    <row r="2733" spans="1:11" x14ac:dyDescent="0.2">
      <c r="A2733">
        <v>45620</v>
      </c>
      <c r="B2733">
        <v>92882</v>
      </c>
      <c r="C2733" t="s">
        <v>6338</v>
      </c>
      <c r="D2733">
        <v>10</v>
      </c>
      <c r="E2733">
        <v>30</v>
      </c>
      <c r="F2733">
        <v>0</v>
      </c>
      <c r="G2733">
        <v>0</v>
      </c>
      <c r="H2733">
        <v>16</v>
      </c>
      <c r="I2733">
        <v>0</v>
      </c>
      <c r="J2733">
        <v>0.99</v>
      </c>
      <c r="K2733">
        <v>0</v>
      </c>
    </row>
    <row r="2734" spans="1:11" x14ac:dyDescent="0.2">
      <c r="A2734">
        <v>45618</v>
      </c>
      <c r="B2734">
        <v>92883</v>
      </c>
      <c r="C2734" t="s">
        <v>6339</v>
      </c>
      <c r="D2734">
        <v>10</v>
      </c>
      <c r="E2734">
        <v>16</v>
      </c>
      <c r="F2734">
        <v>0</v>
      </c>
      <c r="G2734">
        <v>0</v>
      </c>
      <c r="H2734">
        <v>16</v>
      </c>
      <c r="I2734">
        <v>0</v>
      </c>
      <c r="J2734">
        <v>0.99</v>
      </c>
      <c r="K2734">
        <v>0</v>
      </c>
    </row>
    <row r="2735" spans="1:11" x14ac:dyDescent="0.2">
      <c r="A2735">
        <v>45619</v>
      </c>
      <c r="B2735">
        <v>92884</v>
      </c>
      <c r="C2735" t="s">
        <v>6340</v>
      </c>
      <c r="D2735">
        <v>10</v>
      </c>
      <c r="E2735">
        <v>20</v>
      </c>
      <c r="F2735">
        <v>0</v>
      </c>
      <c r="G2735">
        <v>0</v>
      </c>
      <c r="H2735">
        <v>16</v>
      </c>
      <c r="I2735">
        <v>0</v>
      </c>
      <c r="J2735">
        <v>1.99</v>
      </c>
      <c r="K2735">
        <v>0</v>
      </c>
    </row>
    <row r="2736" spans="1:11" x14ac:dyDescent="0.2">
      <c r="A2736">
        <v>45621</v>
      </c>
      <c r="B2736">
        <v>92885</v>
      </c>
      <c r="C2736" t="s">
        <v>6341</v>
      </c>
      <c r="D2736">
        <v>10</v>
      </c>
      <c r="E2736">
        <v>8</v>
      </c>
      <c r="F2736">
        <v>0</v>
      </c>
      <c r="G2736">
        <v>0</v>
      </c>
      <c r="H2736">
        <v>16</v>
      </c>
      <c r="I2736">
        <v>0</v>
      </c>
      <c r="J2736">
        <v>1.49</v>
      </c>
      <c r="K2736">
        <v>0</v>
      </c>
    </row>
    <row r="2737" spans="1:11" x14ac:dyDescent="0.2">
      <c r="A2737">
        <v>93335</v>
      </c>
      <c r="B2737">
        <v>92927</v>
      </c>
      <c r="C2737" t="s">
        <v>6342</v>
      </c>
      <c r="D2737">
        <v>10</v>
      </c>
      <c r="E2737">
        <v>8</v>
      </c>
      <c r="F2737">
        <v>2</v>
      </c>
      <c r="G2737">
        <v>16</v>
      </c>
      <c r="H2737">
        <v>24</v>
      </c>
      <c r="I2737">
        <v>0.1</v>
      </c>
      <c r="J2737">
        <v>6.99</v>
      </c>
      <c r="K2737">
        <v>111.84</v>
      </c>
    </row>
    <row r="2738" spans="1:11" x14ac:dyDescent="0.2">
      <c r="A2738">
        <v>93360</v>
      </c>
      <c r="B2738">
        <v>92928</v>
      </c>
      <c r="C2738" t="s">
        <v>6343</v>
      </c>
      <c r="D2738">
        <v>10</v>
      </c>
      <c r="E2738">
        <v>12</v>
      </c>
      <c r="F2738">
        <v>0</v>
      </c>
      <c r="G2738">
        <v>0</v>
      </c>
      <c r="H2738">
        <v>24</v>
      </c>
      <c r="I2738">
        <v>0</v>
      </c>
      <c r="J2738">
        <v>2.99</v>
      </c>
      <c r="K2738">
        <v>0</v>
      </c>
    </row>
    <row r="2739" spans="1:11" x14ac:dyDescent="0.2">
      <c r="A2739">
        <v>93374</v>
      </c>
      <c r="B2739">
        <v>92929</v>
      </c>
      <c r="C2739" t="s">
        <v>6344</v>
      </c>
      <c r="D2739">
        <v>10</v>
      </c>
      <c r="E2739">
        <v>12</v>
      </c>
      <c r="F2739">
        <v>1</v>
      </c>
      <c r="G2739">
        <v>12</v>
      </c>
      <c r="H2739">
        <v>32</v>
      </c>
      <c r="I2739">
        <v>0</v>
      </c>
      <c r="J2739">
        <v>2.99</v>
      </c>
      <c r="K2739">
        <v>35.880000000000003</v>
      </c>
    </row>
    <row r="2740" spans="1:11" x14ac:dyDescent="0.2">
      <c r="A2740">
        <v>2642</v>
      </c>
      <c r="B2740">
        <v>92952</v>
      </c>
      <c r="C2740" t="s">
        <v>6345</v>
      </c>
      <c r="D2740">
        <v>6</v>
      </c>
      <c r="E2740">
        <v>12</v>
      </c>
      <c r="F2740">
        <v>180</v>
      </c>
      <c r="G2740">
        <v>2160</v>
      </c>
      <c r="H2740">
        <v>60</v>
      </c>
      <c r="I2740">
        <v>3</v>
      </c>
      <c r="J2740">
        <v>5.09</v>
      </c>
      <c r="K2740">
        <v>10994.4</v>
      </c>
    </row>
    <row r="2741" spans="1:11" x14ac:dyDescent="0.2">
      <c r="B2741">
        <v>92963</v>
      </c>
      <c r="C2741" t="s">
        <v>6346</v>
      </c>
      <c r="D2741">
        <v>11</v>
      </c>
      <c r="E2741">
        <v>24</v>
      </c>
      <c r="F2741">
        <v>0</v>
      </c>
      <c r="G2741">
        <v>0</v>
      </c>
      <c r="H2741">
        <v>72</v>
      </c>
      <c r="I2741">
        <v>0</v>
      </c>
      <c r="J2741">
        <v>3.59</v>
      </c>
      <c r="K2741">
        <v>0</v>
      </c>
    </row>
    <row r="2742" spans="1:11" x14ac:dyDescent="0.2">
      <c r="A2742">
        <v>46628</v>
      </c>
      <c r="B2742">
        <v>92973</v>
      </c>
      <c r="C2742" t="s">
        <v>6347</v>
      </c>
      <c r="D2742">
        <v>10</v>
      </c>
      <c r="E2742">
        <v>12</v>
      </c>
      <c r="F2742">
        <v>1</v>
      </c>
      <c r="G2742">
        <v>12</v>
      </c>
      <c r="H2742">
        <v>210</v>
      </c>
      <c r="I2742">
        <v>0</v>
      </c>
      <c r="J2742">
        <v>1.99</v>
      </c>
      <c r="K2742">
        <v>23.88</v>
      </c>
    </row>
    <row r="2743" spans="1:11" x14ac:dyDescent="0.2">
      <c r="A2743">
        <v>57381</v>
      </c>
      <c r="B2743">
        <v>93038</v>
      </c>
      <c r="C2743" t="s">
        <v>6348</v>
      </c>
      <c r="D2743">
        <v>10</v>
      </c>
      <c r="E2743">
        <v>30</v>
      </c>
      <c r="F2743">
        <v>0</v>
      </c>
      <c r="G2743">
        <v>0</v>
      </c>
      <c r="H2743">
        <v>81</v>
      </c>
      <c r="I2743">
        <v>0</v>
      </c>
      <c r="J2743">
        <v>1.4</v>
      </c>
      <c r="K2743">
        <v>0</v>
      </c>
    </row>
    <row r="2744" spans="1:11" x14ac:dyDescent="0.2">
      <c r="A2744">
        <v>1606</v>
      </c>
      <c r="B2744">
        <v>93195</v>
      </c>
      <c r="C2744" t="s">
        <v>6349</v>
      </c>
      <c r="D2744">
        <v>6</v>
      </c>
      <c r="E2744">
        <v>10</v>
      </c>
      <c r="F2744">
        <v>0</v>
      </c>
      <c r="G2744">
        <v>0</v>
      </c>
      <c r="H2744">
        <v>60</v>
      </c>
      <c r="I2744">
        <v>0</v>
      </c>
      <c r="J2744">
        <v>1.29</v>
      </c>
      <c r="K2744">
        <v>0</v>
      </c>
    </row>
    <row r="2745" spans="1:11" x14ac:dyDescent="0.2">
      <c r="B2745">
        <v>93625</v>
      </c>
      <c r="C2745" t="s">
        <v>6350</v>
      </c>
      <c r="D2745">
        <v>6</v>
      </c>
      <c r="E2745">
        <v>4</v>
      </c>
      <c r="F2745">
        <v>3</v>
      </c>
      <c r="G2745">
        <v>12</v>
      </c>
      <c r="H2745">
        <v>180</v>
      </c>
      <c r="I2745">
        <v>0</v>
      </c>
      <c r="J2745">
        <v>2.19</v>
      </c>
      <c r="K2745">
        <v>26.28</v>
      </c>
    </row>
    <row r="2746" spans="1:11" x14ac:dyDescent="0.2">
      <c r="B2746">
        <v>93626</v>
      </c>
      <c r="C2746" t="s">
        <v>6351</v>
      </c>
      <c r="D2746">
        <v>11</v>
      </c>
      <c r="E2746">
        <v>4</v>
      </c>
      <c r="F2746">
        <v>0</v>
      </c>
      <c r="G2746">
        <v>0</v>
      </c>
      <c r="H2746">
        <v>180</v>
      </c>
      <c r="I2746">
        <v>0</v>
      </c>
      <c r="J2746">
        <v>2.19</v>
      </c>
      <c r="K2746">
        <v>0</v>
      </c>
    </row>
    <row r="2747" spans="1:11" x14ac:dyDescent="0.2">
      <c r="A2747">
        <v>42512</v>
      </c>
      <c r="B2747">
        <v>93667</v>
      </c>
      <c r="C2747" t="s">
        <v>6352</v>
      </c>
      <c r="D2747">
        <v>10</v>
      </c>
      <c r="E2747">
        <v>6</v>
      </c>
      <c r="F2747">
        <v>3</v>
      </c>
      <c r="G2747">
        <v>18</v>
      </c>
      <c r="H2747">
        <v>80</v>
      </c>
      <c r="I2747">
        <v>0</v>
      </c>
      <c r="J2747">
        <v>3.99</v>
      </c>
      <c r="K2747">
        <v>71.819999999999993</v>
      </c>
    </row>
    <row r="2748" spans="1:11" x14ac:dyDescent="0.2">
      <c r="B2748">
        <v>94149</v>
      </c>
      <c r="C2748" t="s">
        <v>6353</v>
      </c>
      <c r="D2748">
        <v>11</v>
      </c>
      <c r="E2748">
        <v>12</v>
      </c>
      <c r="F2748">
        <v>0</v>
      </c>
      <c r="G2748">
        <v>0</v>
      </c>
      <c r="H2748">
        <v>48</v>
      </c>
      <c r="I2748">
        <v>0</v>
      </c>
      <c r="J2748">
        <v>4.29</v>
      </c>
      <c r="K2748">
        <v>0</v>
      </c>
    </row>
    <row r="2749" spans="1:11" x14ac:dyDescent="0.2">
      <c r="A2749">
        <v>74041</v>
      </c>
      <c r="B2749">
        <v>94324</v>
      </c>
      <c r="C2749" t="s">
        <v>6354</v>
      </c>
      <c r="D2749">
        <v>8</v>
      </c>
      <c r="E2749">
        <v>18</v>
      </c>
      <c r="F2749">
        <v>315</v>
      </c>
      <c r="G2749">
        <v>5670</v>
      </c>
      <c r="H2749">
        <v>64</v>
      </c>
      <c r="I2749">
        <v>4.9000000000000004</v>
      </c>
      <c r="J2749">
        <v>1.39</v>
      </c>
      <c r="K2749">
        <v>7881.3</v>
      </c>
    </row>
    <row r="2750" spans="1:11" x14ac:dyDescent="0.2">
      <c r="A2750">
        <v>99011</v>
      </c>
      <c r="B2750">
        <v>94567</v>
      </c>
      <c r="C2750" t="s">
        <v>6355</v>
      </c>
      <c r="D2750">
        <v>10</v>
      </c>
      <c r="E2750">
        <v>12</v>
      </c>
      <c r="F2750">
        <v>0</v>
      </c>
      <c r="G2750">
        <v>0</v>
      </c>
      <c r="H2750">
        <v>49</v>
      </c>
      <c r="I2750">
        <v>0</v>
      </c>
      <c r="J2750">
        <v>3.19</v>
      </c>
      <c r="K2750">
        <v>0</v>
      </c>
    </row>
    <row r="2751" spans="1:11" x14ac:dyDescent="0.2">
      <c r="A2751">
        <v>38510</v>
      </c>
      <c r="B2751">
        <v>94646</v>
      </c>
      <c r="C2751" t="s">
        <v>6356</v>
      </c>
      <c r="D2751">
        <v>10</v>
      </c>
      <c r="E2751">
        <v>4</v>
      </c>
      <c r="F2751">
        <v>0</v>
      </c>
      <c r="G2751">
        <v>0</v>
      </c>
      <c r="H2751">
        <v>180</v>
      </c>
      <c r="I2751">
        <v>0</v>
      </c>
      <c r="J2751">
        <v>2.19</v>
      </c>
      <c r="K2751">
        <v>0</v>
      </c>
    </row>
    <row r="2752" spans="1:11" x14ac:dyDescent="0.2">
      <c r="B2752">
        <v>94647</v>
      </c>
      <c r="C2752" t="s">
        <v>6357</v>
      </c>
      <c r="D2752">
        <v>11</v>
      </c>
      <c r="E2752">
        <v>4</v>
      </c>
      <c r="F2752">
        <v>0</v>
      </c>
      <c r="G2752">
        <v>0</v>
      </c>
      <c r="H2752">
        <v>180</v>
      </c>
      <c r="I2752">
        <v>0</v>
      </c>
      <c r="J2752">
        <v>2.19</v>
      </c>
      <c r="K2752">
        <v>0</v>
      </c>
    </row>
    <row r="2753" spans="1:11" x14ac:dyDescent="0.2">
      <c r="A2753">
        <v>57313</v>
      </c>
      <c r="B2753">
        <v>95047</v>
      </c>
      <c r="C2753" t="s">
        <v>6358</v>
      </c>
      <c r="D2753">
        <v>10</v>
      </c>
      <c r="E2753">
        <v>16</v>
      </c>
      <c r="F2753">
        <v>0</v>
      </c>
      <c r="G2753">
        <v>0</v>
      </c>
      <c r="H2753">
        <v>72</v>
      </c>
      <c r="I2753">
        <v>0</v>
      </c>
      <c r="J2753">
        <v>1.79</v>
      </c>
      <c r="K2753">
        <v>0</v>
      </c>
    </row>
    <row r="2754" spans="1:11" x14ac:dyDescent="0.2">
      <c r="A2754">
        <v>2515</v>
      </c>
      <c r="B2754">
        <v>95124</v>
      </c>
      <c r="C2754" t="s">
        <v>6359</v>
      </c>
      <c r="D2754">
        <v>6</v>
      </c>
      <c r="E2754">
        <v>18</v>
      </c>
      <c r="F2754">
        <v>0</v>
      </c>
      <c r="G2754">
        <v>0</v>
      </c>
      <c r="H2754">
        <v>56</v>
      </c>
      <c r="I2754">
        <v>0</v>
      </c>
      <c r="J2754">
        <v>1.79</v>
      </c>
      <c r="K2754">
        <v>0</v>
      </c>
    </row>
    <row r="2755" spans="1:11" x14ac:dyDescent="0.2">
      <c r="A2755">
        <v>3627</v>
      </c>
      <c r="B2755">
        <v>95385</v>
      </c>
      <c r="C2755" t="s">
        <v>6360</v>
      </c>
      <c r="D2755">
        <v>6</v>
      </c>
      <c r="E2755">
        <v>165</v>
      </c>
      <c r="F2755">
        <v>0</v>
      </c>
      <c r="G2755">
        <v>0</v>
      </c>
      <c r="H2755">
        <v>4</v>
      </c>
      <c r="I2755">
        <v>0</v>
      </c>
      <c r="J2755">
        <v>0.99</v>
      </c>
      <c r="K2755">
        <v>0</v>
      </c>
    </row>
    <row r="2756" spans="1:11" x14ac:dyDescent="0.2">
      <c r="A2756">
        <v>69071</v>
      </c>
      <c r="B2756">
        <v>95400</v>
      </c>
      <c r="C2756" t="s">
        <v>6361</v>
      </c>
      <c r="D2756">
        <v>8</v>
      </c>
      <c r="E2756">
        <v>24</v>
      </c>
      <c r="F2756">
        <v>774</v>
      </c>
      <c r="G2756">
        <v>18576</v>
      </c>
      <c r="H2756">
        <v>96</v>
      </c>
      <c r="I2756">
        <v>8.1</v>
      </c>
      <c r="J2756">
        <v>1.41</v>
      </c>
      <c r="K2756">
        <v>26192.16</v>
      </c>
    </row>
    <row r="2757" spans="1:11" x14ac:dyDescent="0.2">
      <c r="A2757">
        <v>0</v>
      </c>
      <c r="B2757">
        <v>95440</v>
      </c>
      <c r="C2757" t="s">
        <v>6362</v>
      </c>
      <c r="D2757">
        <v>10</v>
      </c>
      <c r="E2757">
        <v>24</v>
      </c>
      <c r="F2757">
        <v>0</v>
      </c>
      <c r="G2757">
        <v>0</v>
      </c>
      <c r="H2757">
        <v>72</v>
      </c>
      <c r="I2757">
        <v>0</v>
      </c>
      <c r="J2757">
        <v>1.29</v>
      </c>
      <c r="K2757">
        <v>0</v>
      </c>
    </row>
    <row r="2758" spans="1:11" x14ac:dyDescent="0.2">
      <c r="A2758">
        <v>42513</v>
      </c>
      <c r="B2758">
        <v>95454</v>
      </c>
      <c r="C2758" t="s">
        <v>6363</v>
      </c>
      <c r="D2758">
        <v>10</v>
      </c>
      <c r="E2758">
        <v>12</v>
      </c>
      <c r="F2758">
        <v>3</v>
      </c>
      <c r="G2758">
        <v>36</v>
      </c>
      <c r="H2758">
        <v>75</v>
      </c>
      <c r="I2758">
        <v>0</v>
      </c>
      <c r="J2758">
        <v>1.49</v>
      </c>
      <c r="K2758">
        <v>53.64</v>
      </c>
    </row>
    <row r="2759" spans="1:11" x14ac:dyDescent="0.2">
      <c r="A2759">
        <v>57314</v>
      </c>
      <c r="B2759">
        <v>95463</v>
      </c>
      <c r="C2759" t="s">
        <v>6364</v>
      </c>
      <c r="D2759">
        <v>10</v>
      </c>
      <c r="E2759">
        <v>20</v>
      </c>
      <c r="F2759">
        <v>0</v>
      </c>
      <c r="G2759">
        <v>0</v>
      </c>
      <c r="H2759">
        <v>28</v>
      </c>
      <c r="I2759">
        <v>0</v>
      </c>
      <c r="J2759">
        <v>0.5</v>
      </c>
      <c r="K2759">
        <v>0</v>
      </c>
    </row>
    <row r="2760" spans="1:11" x14ac:dyDescent="0.2">
      <c r="A2760">
        <v>72036</v>
      </c>
      <c r="B2760">
        <v>95507</v>
      </c>
      <c r="C2760" t="s">
        <v>6365</v>
      </c>
      <c r="D2760">
        <v>8</v>
      </c>
      <c r="E2760">
        <v>31</v>
      </c>
      <c r="F2760">
        <v>164</v>
      </c>
      <c r="G2760">
        <v>5084</v>
      </c>
      <c r="H2760">
        <v>52</v>
      </c>
      <c r="I2760">
        <v>3.2</v>
      </c>
      <c r="J2760">
        <v>0.99</v>
      </c>
      <c r="K2760">
        <v>5033.16</v>
      </c>
    </row>
    <row r="2761" spans="1:11" x14ac:dyDescent="0.2">
      <c r="B2761">
        <v>95573</v>
      </c>
      <c r="C2761" t="s">
        <v>6366</v>
      </c>
      <c r="D2761">
        <v>11</v>
      </c>
      <c r="E2761">
        <v>7</v>
      </c>
      <c r="F2761">
        <v>-14</v>
      </c>
      <c r="G2761">
        <v>-98</v>
      </c>
      <c r="H2761">
        <v>80</v>
      </c>
      <c r="I2761">
        <v>-0.2</v>
      </c>
      <c r="J2761">
        <v>2.59</v>
      </c>
      <c r="K2761">
        <v>-253.82</v>
      </c>
    </row>
    <row r="2762" spans="1:11" x14ac:dyDescent="0.2">
      <c r="A2762">
        <v>73116</v>
      </c>
      <c r="B2762">
        <v>95660</v>
      </c>
      <c r="C2762" t="s">
        <v>6367</v>
      </c>
      <c r="D2762">
        <v>8</v>
      </c>
      <c r="E2762">
        <v>8</v>
      </c>
      <c r="F2762">
        <v>298</v>
      </c>
      <c r="G2762">
        <v>2384</v>
      </c>
      <c r="H2762">
        <v>130</v>
      </c>
      <c r="I2762">
        <v>2.2999999999999998</v>
      </c>
      <c r="J2762">
        <v>3.49</v>
      </c>
      <c r="K2762">
        <v>8320.16</v>
      </c>
    </row>
    <row r="2763" spans="1:11" x14ac:dyDescent="0.2">
      <c r="A2763">
        <v>71270</v>
      </c>
      <c r="B2763">
        <v>96021</v>
      </c>
      <c r="C2763" t="s">
        <v>6368</v>
      </c>
      <c r="D2763">
        <v>8</v>
      </c>
      <c r="E2763">
        <v>6</v>
      </c>
      <c r="F2763">
        <v>1373</v>
      </c>
      <c r="G2763">
        <v>8238</v>
      </c>
      <c r="H2763">
        <v>60</v>
      </c>
      <c r="I2763">
        <v>22.9</v>
      </c>
      <c r="J2763">
        <v>1.55</v>
      </c>
      <c r="K2763">
        <v>12768.9</v>
      </c>
    </row>
    <row r="2764" spans="1:11" x14ac:dyDescent="0.2">
      <c r="A2764">
        <v>99052</v>
      </c>
      <c r="B2764">
        <v>96120</v>
      </c>
      <c r="C2764" t="s">
        <v>6369</v>
      </c>
      <c r="D2764">
        <v>10</v>
      </c>
      <c r="E2764">
        <v>12</v>
      </c>
      <c r="F2764">
        <v>0</v>
      </c>
      <c r="G2764">
        <v>0</v>
      </c>
      <c r="H2764">
        <v>72</v>
      </c>
      <c r="I2764">
        <v>0</v>
      </c>
      <c r="J2764">
        <v>3.19</v>
      </c>
      <c r="K2764">
        <v>0</v>
      </c>
    </row>
    <row r="2765" spans="1:11" x14ac:dyDescent="0.2">
      <c r="B2765">
        <v>96171</v>
      </c>
      <c r="C2765" t="s">
        <v>6370</v>
      </c>
      <c r="D2765">
        <v>11</v>
      </c>
      <c r="E2765">
        <v>40</v>
      </c>
      <c r="F2765">
        <v>0</v>
      </c>
      <c r="G2765">
        <v>0</v>
      </c>
      <c r="H2765">
        <v>48</v>
      </c>
      <c r="I2765">
        <v>0</v>
      </c>
      <c r="J2765">
        <v>1.35</v>
      </c>
      <c r="K2765">
        <v>0</v>
      </c>
    </row>
    <row r="2766" spans="1:11" x14ac:dyDescent="0.2">
      <c r="A2766">
        <v>52623</v>
      </c>
      <c r="B2766">
        <v>96286</v>
      </c>
      <c r="C2766" t="s">
        <v>6371</v>
      </c>
      <c r="D2766">
        <v>6</v>
      </c>
      <c r="E2766">
        <v>16</v>
      </c>
      <c r="F2766">
        <v>144</v>
      </c>
      <c r="G2766">
        <v>2304</v>
      </c>
      <c r="H2766">
        <v>48</v>
      </c>
      <c r="I2766">
        <v>3</v>
      </c>
      <c r="J2766">
        <v>4.1900000000000004</v>
      </c>
      <c r="K2766">
        <v>9653.76</v>
      </c>
    </row>
    <row r="2767" spans="1:11" x14ac:dyDescent="0.2">
      <c r="B2767">
        <v>96728</v>
      </c>
      <c r="C2767" t="s">
        <v>6372</v>
      </c>
      <c r="D2767">
        <v>11</v>
      </c>
      <c r="E2767">
        <v>3</v>
      </c>
      <c r="F2767">
        <v>-17</v>
      </c>
      <c r="G2767">
        <v>-51</v>
      </c>
      <c r="H2767">
        <v>120</v>
      </c>
      <c r="I2767">
        <v>-0.1</v>
      </c>
      <c r="J2767">
        <v>1.67</v>
      </c>
      <c r="K2767">
        <v>-85.17</v>
      </c>
    </row>
    <row r="2768" spans="1:11" x14ac:dyDescent="0.2">
      <c r="A2768">
        <v>57578</v>
      </c>
      <c r="B2768">
        <v>96764</v>
      </c>
      <c r="C2768" t="s">
        <v>6373</v>
      </c>
      <c r="D2768">
        <v>10</v>
      </c>
      <c r="E2768">
        <v>20</v>
      </c>
      <c r="F2768">
        <v>0</v>
      </c>
      <c r="G2768">
        <v>0</v>
      </c>
      <c r="H2768">
        <v>32</v>
      </c>
      <c r="I2768">
        <v>0</v>
      </c>
      <c r="J2768">
        <v>0.5</v>
      </c>
      <c r="K2768">
        <v>0</v>
      </c>
    </row>
    <row r="2769" spans="1:11" x14ac:dyDescent="0.2">
      <c r="A2769">
        <v>99857</v>
      </c>
      <c r="B2769">
        <v>96781</v>
      </c>
      <c r="C2769" t="s">
        <v>6374</v>
      </c>
      <c r="D2769">
        <v>10</v>
      </c>
      <c r="E2769">
        <v>20</v>
      </c>
      <c r="F2769">
        <v>0</v>
      </c>
      <c r="G2769">
        <v>0</v>
      </c>
      <c r="H2769">
        <v>48</v>
      </c>
      <c r="I2769">
        <v>0</v>
      </c>
      <c r="J2769">
        <v>4.99</v>
      </c>
      <c r="K2769">
        <v>0</v>
      </c>
    </row>
    <row r="2770" spans="1:11" x14ac:dyDescent="0.2">
      <c r="A2770">
        <v>57681</v>
      </c>
      <c r="B2770">
        <v>96790</v>
      </c>
      <c r="C2770" t="s">
        <v>6375</v>
      </c>
      <c r="D2770">
        <v>10</v>
      </c>
      <c r="E2770">
        <v>24</v>
      </c>
      <c r="F2770">
        <v>3</v>
      </c>
      <c r="G2770">
        <v>62</v>
      </c>
      <c r="H2770">
        <v>56</v>
      </c>
      <c r="I2770">
        <v>0</v>
      </c>
      <c r="J2770">
        <v>1.99</v>
      </c>
      <c r="K2770">
        <v>123.38</v>
      </c>
    </row>
    <row r="2771" spans="1:11" x14ac:dyDescent="0.2">
      <c r="A2771">
        <v>85256</v>
      </c>
      <c r="B2771">
        <v>96900</v>
      </c>
      <c r="C2771" t="s">
        <v>3783</v>
      </c>
      <c r="D2771">
        <v>10</v>
      </c>
      <c r="E2771">
        <v>6</v>
      </c>
      <c r="F2771">
        <v>0</v>
      </c>
      <c r="G2771">
        <v>0</v>
      </c>
      <c r="H2771">
        <v>150</v>
      </c>
      <c r="I2771">
        <v>0</v>
      </c>
      <c r="J2771">
        <v>1.89</v>
      </c>
      <c r="K2771">
        <v>0</v>
      </c>
    </row>
    <row r="2772" spans="1:11" x14ac:dyDescent="0.2">
      <c r="A2772">
        <v>66232</v>
      </c>
      <c r="B2772">
        <v>96907</v>
      </c>
      <c r="C2772" t="s">
        <v>6376</v>
      </c>
      <c r="D2772">
        <v>8</v>
      </c>
      <c r="E2772">
        <v>25</v>
      </c>
      <c r="F2772">
        <v>363</v>
      </c>
      <c r="G2772">
        <v>9075</v>
      </c>
      <c r="H2772">
        <v>42</v>
      </c>
      <c r="I2772">
        <v>8.6</v>
      </c>
      <c r="J2772">
        <v>1.0900000000000001</v>
      </c>
      <c r="K2772">
        <v>9891.75</v>
      </c>
    </row>
    <row r="2773" spans="1:11" x14ac:dyDescent="0.2">
      <c r="A2773">
        <v>92930</v>
      </c>
      <c r="B2773">
        <v>96994</v>
      </c>
      <c r="C2773" t="s">
        <v>6377</v>
      </c>
      <c r="D2773">
        <v>7</v>
      </c>
      <c r="E2773">
        <v>8</v>
      </c>
      <c r="F2773">
        <v>14</v>
      </c>
      <c r="G2773">
        <v>112</v>
      </c>
      <c r="H2773">
        <v>24</v>
      </c>
      <c r="I2773">
        <v>0.6</v>
      </c>
      <c r="J2773">
        <v>3.99</v>
      </c>
      <c r="K2773">
        <v>446.88</v>
      </c>
    </row>
    <row r="2774" spans="1:11" x14ac:dyDescent="0.2">
      <c r="B2774">
        <v>96995</v>
      </c>
      <c r="C2774" t="s">
        <v>6378</v>
      </c>
      <c r="D2774">
        <v>11</v>
      </c>
      <c r="E2774">
        <v>2</v>
      </c>
      <c r="F2774">
        <v>0</v>
      </c>
      <c r="G2774">
        <v>0</v>
      </c>
      <c r="H2774">
        <v>100</v>
      </c>
      <c r="I2774">
        <v>0</v>
      </c>
      <c r="J2774">
        <v>7.99</v>
      </c>
      <c r="K2774">
        <v>0</v>
      </c>
    </row>
    <row r="2775" spans="1:11" x14ac:dyDescent="0.2">
      <c r="B2775">
        <v>97049</v>
      </c>
      <c r="C2775" t="s">
        <v>6379</v>
      </c>
      <c r="D2775">
        <v>11</v>
      </c>
      <c r="E2775">
        <v>8</v>
      </c>
      <c r="F2775">
        <v>0</v>
      </c>
      <c r="G2775">
        <v>0</v>
      </c>
      <c r="H2775">
        <v>168</v>
      </c>
      <c r="I2775">
        <v>0</v>
      </c>
      <c r="J2775">
        <v>1.69</v>
      </c>
      <c r="K2775">
        <v>0</v>
      </c>
    </row>
    <row r="2776" spans="1:11" x14ac:dyDescent="0.2">
      <c r="A2776">
        <v>0</v>
      </c>
      <c r="B2776">
        <v>97050</v>
      </c>
      <c r="C2776" t="s">
        <v>6380</v>
      </c>
      <c r="D2776">
        <v>11</v>
      </c>
      <c r="E2776">
        <v>8</v>
      </c>
      <c r="F2776">
        <v>0</v>
      </c>
      <c r="G2776">
        <v>0</v>
      </c>
      <c r="H2776">
        <v>168</v>
      </c>
      <c r="I2776">
        <v>0</v>
      </c>
      <c r="J2776">
        <v>1.69</v>
      </c>
      <c r="K2776">
        <v>0</v>
      </c>
    </row>
    <row r="2777" spans="1:11" x14ac:dyDescent="0.2">
      <c r="A2777">
        <v>48506</v>
      </c>
      <c r="B2777">
        <v>97073</v>
      </c>
      <c r="C2777" t="s">
        <v>6381</v>
      </c>
      <c r="D2777">
        <v>10</v>
      </c>
      <c r="E2777">
        <v>10</v>
      </c>
      <c r="F2777">
        <v>0</v>
      </c>
      <c r="G2777">
        <v>0</v>
      </c>
      <c r="H2777">
        <v>56</v>
      </c>
      <c r="I2777">
        <v>0</v>
      </c>
      <c r="J2777">
        <v>17.989999999999998</v>
      </c>
      <c r="K2777">
        <v>0</v>
      </c>
    </row>
    <row r="2778" spans="1:11" x14ac:dyDescent="0.2">
      <c r="A2778">
        <v>38643</v>
      </c>
      <c r="B2778">
        <v>97099</v>
      </c>
      <c r="C2778" t="s">
        <v>6382</v>
      </c>
      <c r="D2778">
        <v>10</v>
      </c>
      <c r="E2778">
        <v>12</v>
      </c>
      <c r="F2778">
        <v>1</v>
      </c>
      <c r="G2778">
        <v>12</v>
      </c>
      <c r="H2778">
        <v>60</v>
      </c>
      <c r="I2778">
        <v>0</v>
      </c>
      <c r="J2778">
        <v>2.29</v>
      </c>
      <c r="K2778">
        <v>27.48</v>
      </c>
    </row>
    <row r="2779" spans="1:11" x14ac:dyDescent="0.2">
      <c r="A2779">
        <v>93236</v>
      </c>
      <c r="B2779">
        <v>97151</v>
      </c>
      <c r="C2779" t="s">
        <v>5592</v>
      </c>
      <c r="D2779">
        <v>10</v>
      </c>
      <c r="E2779">
        <v>8</v>
      </c>
      <c r="F2779">
        <v>0</v>
      </c>
      <c r="G2779">
        <v>0</v>
      </c>
      <c r="H2779">
        <v>16</v>
      </c>
      <c r="I2779">
        <v>0</v>
      </c>
      <c r="J2779">
        <v>3.99</v>
      </c>
      <c r="K2779">
        <v>0</v>
      </c>
    </row>
    <row r="2780" spans="1:11" x14ac:dyDescent="0.2">
      <c r="B2780">
        <v>97151</v>
      </c>
      <c r="C2780" t="s">
        <v>5592</v>
      </c>
      <c r="D2780">
        <v>12</v>
      </c>
      <c r="E2780">
        <v>100</v>
      </c>
      <c r="F2780">
        <v>0</v>
      </c>
      <c r="G2780">
        <v>0</v>
      </c>
      <c r="H2780">
        <v>1</v>
      </c>
      <c r="I2780">
        <v>0</v>
      </c>
      <c r="J2780">
        <v>3.99</v>
      </c>
      <c r="K2780">
        <v>0</v>
      </c>
    </row>
    <row r="2781" spans="1:11" x14ac:dyDescent="0.2">
      <c r="A2781">
        <v>87001</v>
      </c>
      <c r="B2781">
        <v>97156</v>
      </c>
      <c r="C2781" t="s">
        <v>6383</v>
      </c>
      <c r="D2781">
        <v>8</v>
      </c>
      <c r="E2781">
        <v>6</v>
      </c>
      <c r="F2781">
        <v>594</v>
      </c>
      <c r="G2781">
        <v>3564</v>
      </c>
      <c r="H2781">
        <v>66</v>
      </c>
      <c r="I2781">
        <v>9</v>
      </c>
      <c r="J2781">
        <v>2.68</v>
      </c>
      <c r="K2781">
        <v>9551.52</v>
      </c>
    </row>
    <row r="2782" spans="1:11" x14ac:dyDescent="0.2">
      <c r="A2782">
        <v>87017</v>
      </c>
      <c r="B2782">
        <v>97157</v>
      </c>
      <c r="C2782" t="s">
        <v>6384</v>
      </c>
      <c r="D2782">
        <v>8</v>
      </c>
      <c r="E2782">
        <v>8</v>
      </c>
      <c r="F2782">
        <v>84</v>
      </c>
      <c r="G2782">
        <v>672</v>
      </c>
      <c r="H2782">
        <v>84</v>
      </c>
      <c r="I2782">
        <v>1</v>
      </c>
      <c r="J2782">
        <v>1.31</v>
      </c>
      <c r="K2782">
        <v>880.32</v>
      </c>
    </row>
    <row r="2783" spans="1:11" x14ac:dyDescent="0.2">
      <c r="A2783">
        <v>87019</v>
      </c>
      <c r="B2783">
        <v>97160</v>
      </c>
      <c r="C2783" t="s">
        <v>6385</v>
      </c>
      <c r="D2783">
        <v>8</v>
      </c>
      <c r="E2783">
        <v>6</v>
      </c>
      <c r="F2783">
        <v>264</v>
      </c>
      <c r="G2783">
        <v>1584</v>
      </c>
      <c r="H2783">
        <v>66</v>
      </c>
      <c r="I2783">
        <v>4</v>
      </c>
      <c r="J2783">
        <v>2.62</v>
      </c>
      <c r="K2783">
        <v>4150.08</v>
      </c>
    </row>
    <row r="2784" spans="1:11" x14ac:dyDescent="0.2">
      <c r="A2784">
        <v>87013</v>
      </c>
      <c r="B2784">
        <v>97162</v>
      </c>
      <c r="C2784" t="s">
        <v>6386</v>
      </c>
      <c r="D2784">
        <v>8</v>
      </c>
      <c r="E2784">
        <v>6</v>
      </c>
      <c r="F2784">
        <v>528</v>
      </c>
      <c r="G2784">
        <v>3168</v>
      </c>
      <c r="H2784">
        <v>66</v>
      </c>
      <c r="I2784">
        <v>8</v>
      </c>
      <c r="J2784">
        <v>2.99</v>
      </c>
      <c r="K2784">
        <v>9472.32</v>
      </c>
    </row>
    <row r="2785" spans="1:11" x14ac:dyDescent="0.2">
      <c r="A2785">
        <v>70043</v>
      </c>
      <c r="B2785">
        <v>97168</v>
      </c>
      <c r="C2785" t="s">
        <v>6387</v>
      </c>
      <c r="D2785">
        <v>8</v>
      </c>
      <c r="E2785">
        <v>32</v>
      </c>
      <c r="F2785">
        <v>423</v>
      </c>
      <c r="G2785">
        <v>13543</v>
      </c>
      <c r="H2785">
        <v>70</v>
      </c>
      <c r="I2785">
        <v>6</v>
      </c>
      <c r="J2785">
        <v>0.65</v>
      </c>
      <c r="K2785">
        <v>8802.9500000000007</v>
      </c>
    </row>
    <row r="2786" spans="1:11" x14ac:dyDescent="0.2">
      <c r="A2786">
        <v>57475</v>
      </c>
      <c r="B2786">
        <v>97200</v>
      </c>
      <c r="C2786" t="s">
        <v>6388</v>
      </c>
      <c r="D2786">
        <v>10</v>
      </c>
      <c r="E2786">
        <v>6</v>
      </c>
      <c r="F2786">
        <v>1</v>
      </c>
      <c r="G2786">
        <v>6</v>
      </c>
      <c r="H2786">
        <v>72</v>
      </c>
      <c r="I2786">
        <v>0</v>
      </c>
      <c r="J2786">
        <v>2.99</v>
      </c>
      <c r="K2786">
        <v>17.940000000000001</v>
      </c>
    </row>
    <row r="2787" spans="1:11" x14ac:dyDescent="0.2">
      <c r="B2787">
        <v>97231</v>
      </c>
      <c r="C2787" t="s">
        <v>6389</v>
      </c>
      <c r="D2787">
        <v>11</v>
      </c>
      <c r="E2787">
        <v>1</v>
      </c>
      <c r="F2787">
        <v>-30</v>
      </c>
      <c r="G2787">
        <v>-30</v>
      </c>
      <c r="H2787">
        <v>416</v>
      </c>
      <c r="I2787">
        <v>-0.1</v>
      </c>
      <c r="J2787">
        <v>6.89</v>
      </c>
      <c r="K2787">
        <v>-206.7</v>
      </c>
    </row>
    <row r="2788" spans="1:11" x14ac:dyDescent="0.2">
      <c r="A2788">
        <v>80001</v>
      </c>
      <c r="B2788">
        <v>97237</v>
      </c>
      <c r="C2788" t="s">
        <v>6390</v>
      </c>
      <c r="D2788">
        <v>8</v>
      </c>
      <c r="E2788">
        <v>3</v>
      </c>
      <c r="F2788">
        <v>685</v>
      </c>
      <c r="G2788">
        <v>2056</v>
      </c>
      <c r="H2788">
        <v>99</v>
      </c>
      <c r="I2788">
        <v>6.9</v>
      </c>
      <c r="J2788">
        <v>1.85</v>
      </c>
      <c r="K2788">
        <v>3803.6</v>
      </c>
    </row>
    <row r="2789" spans="1:11" x14ac:dyDescent="0.2">
      <c r="A2789">
        <v>72186</v>
      </c>
      <c r="B2789">
        <v>97336</v>
      </c>
      <c r="C2789" t="s">
        <v>6391</v>
      </c>
      <c r="D2789">
        <v>8</v>
      </c>
      <c r="E2789">
        <v>15</v>
      </c>
      <c r="F2789">
        <v>197</v>
      </c>
      <c r="G2789">
        <v>2955</v>
      </c>
      <c r="H2789">
        <v>48</v>
      </c>
      <c r="I2789">
        <v>4.0999999999999996</v>
      </c>
      <c r="J2789">
        <v>2.69</v>
      </c>
      <c r="K2789">
        <v>7948.95</v>
      </c>
    </row>
    <row r="2790" spans="1:11" x14ac:dyDescent="0.2">
      <c r="A2790">
        <v>42611</v>
      </c>
      <c r="B2790">
        <v>97385</v>
      </c>
      <c r="C2790" t="s">
        <v>6392</v>
      </c>
      <c r="D2790">
        <v>10</v>
      </c>
      <c r="E2790">
        <v>9</v>
      </c>
      <c r="F2790">
        <v>0</v>
      </c>
      <c r="G2790">
        <v>0</v>
      </c>
      <c r="H2790">
        <v>28</v>
      </c>
      <c r="I2790">
        <v>0</v>
      </c>
      <c r="J2790">
        <v>1.69</v>
      </c>
      <c r="K2790">
        <v>0</v>
      </c>
    </row>
    <row r="2791" spans="1:11" x14ac:dyDescent="0.2">
      <c r="A2791">
        <v>47680</v>
      </c>
      <c r="B2791">
        <v>97448</v>
      </c>
      <c r="C2791" t="s">
        <v>6393</v>
      </c>
      <c r="D2791">
        <v>10</v>
      </c>
      <c r="E2791">
        <v>25</v>
      </c>
      <c r="F2791">
        <v>3</v>
      </c>
      <c r="G2791">
        <v>75</v>
      </c>
      <c r="H2791">
        <v>144</v>
      </c>
      <c r="I2791">
        <v>0</v>
      </c>
      <c r="J2791">
        <v>1.49</v>
      </c>
      <c r="K2791">
        <v>111.75</v>
      </c>
    </row>
    <row r="2792" spans="1:11" x14ac:dyDescent="0.2">
      <c r="A2792">
        <v>62215</v>
      </c>
      <c r="B2792">
        <v>97471</v>
      </c>
      <c r="C2792" t="s">
        <v>6394</v>
      </c>
      <c r="D2792">
        <v>8</v>
      </c>
      <c r="E2792">
        <v>12</v>
      </c>
      <c r="F2792">
        <v>741</v>
      </c>
      <c r="G2792">
        <v>8892</v>
      </c>
      <c r="H2792">
        <v>72</v>
      </c>
      <c r="I2792">
        <v>10.3</v>
      </c>
      <c r="J2792">
        <v>1.79</v>
      </c>
      <c r="K2792">
        <v>15916.68</v>
      </c>
    </row>
    <row r="2793" spans="1:11" x14ac:dyDescent="0.2">
      <c r="B2793">
        <v>97488</v>
      </c>
      <c r="C2793" t="s">
        <v>6395</v>
      </c>
      <c r="D2793">
        <v>11</v>
      </c>
      <c r="E2793">
        <v>44</v>
      </c>
      <c r="F2793">
        <v>0</v>
      </c>
      <c r="G2793">
        <v>0</v>
      </c>
      <c r="H2793">
        <v>64</v>
      </c>
      <c r="I2793">
        <v>0</v>
      </c>
      <c r="J2793">
        <v>1.99</v>
      </c>
      <c r="K2793">
        <v>0</v>
      </c>
    </row>
    <row r="2794" spans="1:11" x14ac:dyDescent="0.2">
      <c r="A2794">
        <v>99079</v>
      </c>
      <c r="B2794">
        <v>97511</v>
      </c>
      <c r="C2794" t="s">
        <v>6396</v>
      </c>
      <c r="D2794">
        <v>10</v>
      </c>
      <c r="E2794">
        <v>10</v>
      </c>
      <c r="F2794">
        <v>0</v>
      </c>
      <c r="G2794">
        <v>0</v>
      </c>
      <c r="H2794">
        <v>84</v>
      </c>
      <c r="I2794">
        <v>0</v>
      </c>
      <c r="J2794">
        <v>7.49</v>
      </c>
      <c r="K2794">
        <v>0</v>
      </c>
    </row>
    <row r="2795" spans="1:11" x14ac:dyDescent="0.2">
      <c r="A2795">
        <v>57682</v>
      </c>
      <c r="B2795">
        <v>97546</v>
      </c>
      <c r="C2795" t="s">
        <v>6397</v>
      </c>
      <c r="D2795">
        <v>10</v>
      </c>
      <c r="E2795">
        <v>6</v>
      </c>
      <c r="F2795">
        <v>6</v>
      </c>
      <c r="G2795">
        <v>37</v>
      </c>
      <c r="H2795">
        <v>133</v>
      </c>
      <c r="I2795">
        <v>0</v>
      </c>
      <c r="J2795">
        <v>4.99</v>
      </c>
      <c r="K2795">
        <v>184.63</v>
      </c>
    </row>
    <row r="2796" spans="1:11" x14ac:dyDescent="0.2">
      <c r="A2796">
        <v>73049</v>
      </c>
      <c r="B2796">
        <v>97578</v>
      </c>
      <c r="C2796" t="s">
        <v>6398</v>
      </c>
      <c r="D2796">
        <v>8</v>
      </c>
      <c r="E2796">
        <v>10</v>
      </c>
      <c r="F2796">
        <v>130</v>
      </c>
      <c r="G2796">
        <v>1300</v>
      </c>
      <c r="H2796">
        <v>66</v>
      </c>
      <c r="I2796">
        <v>2</v>
      </c>
      <c r="J2796">
        <v>12</v>
      </c>
      <c r="K2796">
        <v>15600</v>
      </c>
    </row>
    <row r="2797" spans="1:11" x14ac:dyDescent="0.2">
      <c r="A2797">
        <v>73061</v>
      </c>
      <c r="B2797">
        <v>97580</v>
      </c>
      <c r="C2797" t="s">
        <v>6399</v>
      </c>
      <c r="D2797">
        <v>8</v>
      </c>
      <c r="E2797">
        <v>10</v>
      </c>
      <c r="F2797">
        <v>73</v>
      </c>
      <c r="G2797">
        <v>730</v>
      </c>
      <c r="H2797">
        <v>64</v>
      </c>
      <c r="I2797">
        <v>1.1000000000000001</v>
      </c>
      <c r="J2797">
        <v>12</v>
      </c>
      <c r="K2797">
        <v>8760</v>
      </c>
    </row>
    <row r="2798" spans="1:11" x14ac:dyDescent="0.2">
      <c r="B2798">
        <v>97589</v>
      </c>
      <c r="C2798" t="s">
        <v>6400</v>
      </c>
      <c r="D2798">
        <v>11</v>
      </c>
      <c r="E2798">
        <v>6</v>
      </c>
      <c r="F2798">
        <v>0</v>
      </c>
      <c r="G2798">
        <v>0</v>
      </c>
      <c r="H2798">
        <v>66</v>
      </c>
      <c r="I2798">
        <v>0</v>
      </c>
      <c r="J2798">
        <v>2.69</v>
      </c>
      <c r="K2798">
        <v>0</v>
      </c>
    </row>
    <row r="2799" spans="1:11" x14ac:dyDescent="0.2">
      <c r="B2799">
        <v>97602</v>
      </c>
      <c r="C2799" t="s">
        <v>6401</v>
      </c>
      <c r="D2799">
        <v>11</v>
      </c>
      <c r="E2799">
        <v>12</v>
      </c>
      <c r="F2799">
        <v>0</v>
      </c>
      <c r="G2799">
        <v>0</v>
      </c>
      <c r="H2799">
        <v>65</v>
      </c>
      <c r="I2799">
        <v>0</v>
      </c>
      <c r="J2799">
        <v>1.49</v>
      </c>
      <c r="K2799">
        <v>0</v>
      </c>
    </row>
    <row r="2800" spans="1:11" x14ac:dyDescent="0.2">
      <c r="A2800">
        <v>2643</v>
      </c>
      <c r="B2800">
        <v>97639</v>
      </c>
      <c r="C2800" t="s">
        <v>6402</v>
      </c>
      <c r="D2800">
        <v>6</v>
      </c>
      <c r="E2800">
        <v>9</v>
      </c>
      <c r="F2800">
        <v>0</v>
      </c>
      <c r="G2800">
        <v>0</v>
      </c>
      <c r="H2800">
        <v>72</v>
      </c>
      <c r="I2800">
        <v>0</v>
      </c>
      <c r="J2800">
        <v>3.89</v>
      </c>
      <c r="K2800">
        <v>0</v>
      </c>
    </row>
    <row r="2801" spans="1:11" x14ac:dyDescent="0.2">
      <c r="A2801">
        <v>88053</v>
      </c>
      <c r="B2801">
        <v>97656</v>
      </c>
      <c r="C2801" t="s">
        <v>6403</v>
      </c>
      <c r="D2801">
        <v>8</v>
      </c>
      <c r="E2801">
        <v>12</v>
      </c>
      <c r="F2801">
        <v>162</v>
      </c>
      <c r="G2801">
        <v>1944</v>
      </c>
      <c r="H2801">
        <v>45</v>
      </c>
      <c r="I2801">
        <v>3.6</v>
      </c>
      <c r="J2801">
        <v>1.99</v>
      </c>
      <c r="K2801">
        <v>3868.56</v>
      </c>
    </row>
    <row r="2802" spans="1:11" x14ac:dyDescent="0.2">
      <c r="A2802">
        <v>42515</v>
      </c>
      <c r="B2802">
        <v>97774</v>
      </c>
      <c r="C2802" t="s">
        <v>5318</v>
      </c>
      <c r="D2802">
        <v>10</v>
      </c>
      <c r="E2802">
        <v>16</v>
      </c>
      <c r="F2802">
        <v>3</v>
      </c>
      <c r="G2802">
        <v>48</v>
      </c>
      <c r="H2802">
        <v>56</v>
      </c>
      <c r="I2802">
        <v>0.1</v>
      </c>
      <c r="J2802">
        <v>1.49</v>
      </c>
      <c r="K2802">
        <v>71.52</v>
      </c>
    </row>
    <row r="2803" spans="1:11" x14ac:dyDescent="0.2">
      <c r="A2803">
        <v>42516</v>
      </c>
      <c r="B2803">
        <v>97775</v>
      </c>
      <c r="C2803" t="s">
        <v>6404</v>
      </c>
      <c r="D2803">
        <v>10</v>
      </c>
      <c r="E2803">
        <v>16</v>
      </c>
      <c r="F2803">
        <v>3</v>
      </c>
      <c r="G2803">
        <v>48</v>
      </c>
      <c r="H2803">
        <v>56</v>
      </c>
      <c r="I2803">
        <v>0.1</v>
      </c>
      <c r="J2803">
        <v>1.49</v>
      </c>
      <c r="K2803">
        <v>71.52</v>
      </c>
    </row>
    <row r="2804" spans="1:11" x14ac:dyDescent="0.2">
      <c r="A2804">
        <v>42517</v>
      </c>
      <c r="B2804">
        <v>97776</v>
      </c>
      <c r="C2804" t="s">
        <v>6405</v>
      </c>
      <c r="D2804">
        <v>10</v>
      </c>
      <c r="E2804">
        <v>14</v>
      </c>
      <c r="F2804">
        <v>3</v>
      </c>
      <c r="G2804">
        <v>42</v>
      </c>
      <c r="H2804">
        <v>56</v>
      </c>
      <c r="I2804">
        <v>0.1</v>
      </c>
      <c r="J2804">
        <v>1.59</v>
      </c>
      <c r="K2804">
        <v>66.78</v>
      </c>
    </row>
    <row r="2805" spans="1:11" x14ac:dyDescent="0.2">
      <c r="B2805">
        <v>97779</v>
      </c>
      <c r="C2805" t="s">
        <v>6406</v>
      </c>
      <c r="D2805">
        <v>6</v>
      </c>
      <c r="E2805">
        <v>24</v>
      </c>
      <c r="F2805">
        <v>0</v>
      </c>
      <c r="G2805">
        <v>0</v>
      </c>
      <c r="H2805">
        <v>72</v>
      </c>
      <c r="I2805">
        <v>0</v>
      </c>
      <c r="J2805">
        <v>1.59</v>
      </c>
      <c r="K2805">
        <v>0</v>
      </c>
    </row>
    <row r="2806" spans="1:11" x14ac:dyDescent="0.2">
      <c r="A2806">
        <v>69096</v>
      </c>
      <c r="B2806">
        <v>97851</v>
      </c>
      <c r="C2806" t="s">
        <v>6407</v>
      </c>
      <c r="D2806">
        <v>8</v>
      </c>
      <c r="E2806">
        <v>10</v>
      </c>
      <c r="F2806">
        <v>92</v>
      </c>
      <c r="G2806">
        <v>920</v>
      </c>
      <c r="H2806">
        <v>64</v>
      </c>
      <c r="I2806">
        <v>1.4</v>
      </c>
      <c r="J2806">
        <v>2.76</v>
      </c>
      <c r="K2806">
        <v>2539.1999999999998</v>
      </c>
    </row>
    <row r="2807" spans="1:11" x14ac:dyDescent="0.2">
      <c r="A2807">
        <v>44610</v>
      </c>
      <c r="B2807">
        <v>98172</v>
      </c>
      <c r="C2807" t="s">
        <v>6408</v>
      </c>
      <c r="D2807">
        <v>10</v>
      </c>
      <c r="E2807">
        <v>12</v>
      </c>
      <c r="F2807">
        <v>0</v>
      </c>
      <c r="G2807">
        <v>0</v>
      </c>
      <c r="H2807">
        <v>70</v>
      </c>
      <c r="I2807">
        <v>0</v>
      </c>
      <c r="J2807">
        <v>3.99</v>
      </c>
      <c r="K2807">
        <v>0</v>
      </c>
    </row>
    <row r="2808" spans="1:11" x14ac:dyDescent="0.2">
      <c r="B2808">
        <v>98185</v>
      </c>
      <c r="C2808" t="s">
        <v>6409</v>
      </c>
      <c r="D2808">
        <v>11</v>
      </c>
      <c r="E2808">
        <v>6</v>
      </c>
      <c r="F2808">
        <v>0</v>
      </c>
      <c r="G2808">
        <v>0</v>
      </c>
      <c r="H2808">
        <v>66</v>
      </c>
      <c r="I2808">
        <v>0</v>
      </c>
      <c r="J2808">
        <v>5.19</v>
      </c>
      <c r="K2808">
        <v>0</v>
      </c>
    </row>
    <row r="2809" spans="1:11" x14ac:dyDescent="0.2">
      <c r="B2809">
        <v>98186</v>
      </c>
      <c r="C2809" t="s">
        <v>6410</v>
      </c>
      <c r="D2809">
        <v>10</v>
      </c>
      <c r="E2809">
        <v>6</v>
      </c>
      <c r="F2809">
        <v>0</v>
      </c>
      <c r="G2809">
        <v>0</v>
      </c>
      <c r="H2809">
        <v>60</v>
      </c>
      <c r="I2809">
        <v>0</v>
      </c>
      <c r="J2809">
        <v>5.19</v>
      </c>
      <c r="K2809">
        <v>0</v>
      </c>
    </row>
    <row r="2810" spans="1:11" x14ac:dyDescent="0.2">
      <c r="B2810">
        <v>98187</v>
      </c>
      <c r="C2810" t="s">
        <v>6411</v>
      </c>
      <c r="D2810">
        <v>10</v>
      </c>
      <c r="E2810">
        <v>6</v>
      </c>
      <c r="F2810">
        <v>0</v>
      </c>
      <c r="G2810">
        <v>0</v>
      </c>
      <c r="H2810">
        <v>54</v>
      </c>
      <c r="I2810">
        <v>0</v>
      </c>
      <c r="J2810">
        <v>5.19</v>
      </c>
      <c r="K2810">
        <v>0</v>
      </c>
    </row>
    <row r="2811" spans="1:11" x14ac:dyDescent="0.2">
      <c r="B2811">
        <v>98188</v>
      </c>
      <c r="C2811" t="s">
        <v>6412</v>
      </c>
      <c r="D2811">
        <v>11</v>
      </c>
      <c r="E2811">
        <v>6</v>
      </c>
      <c r="F2811">
        <v>0</v>
      </c>
      <c r="G2811">
        <v>0</v>
      </c>
      <c r="H2811">
        <v>54</v>
      </c>
      <c r="I2811">
        <v>0</v>
      </c>
      <c r="J2811">
        <v>5.19</v>
      </c>
      <c r="K2811">
        <v>0</v>
      </c>
    </row>
    <row r="2812" spans="1:11" x14ac:dyDescent="0.2">
      <c r="A2812">
        <v>42518</v>
      </c>
      <c r="B2812">
        <v>98191</v>
      </c>
      <c r="C2812" t="s">
        <v>6413</v>
      </c>
      <c r="D2812">
        <v>10</v>
      </c>
      <c r="E2812">
        <v>24</v>
      </c>
      <c r="F2812">
        <v>3</v>
      </c>
      <c r="G2812">
        <v>72</v>
      </c>
      <c r="H2812">
        <v>72</v>
      </c>
      <c r="I2812">
        <v>0</v>
      </c>
      <c r="J2812">
        <v>1.69</v>
      </c>
      <c r="K2812">
        <v>121.68</v>
      </c>
    </row>
    <row r="2813" spans="1:11" x14ac:dyDescent="0.2">
      <c r="B2813">
        <v>98218</v>
      </c>
      <c r="C2813" t="s">
        <v>6414</v>
      </c>
      <c r="D2813">
        <v>11</v>
      </c>
      <c r="E2813">
        <v>36</v>
      </c>
      <c r="F2813">
        <v>0</v>
      </c>
      <c r="G2813">
        <v>0</v>
      </c>
      <c r="H2813">
        <v>64</v>
      </c>
      <c r="I2813">
        <v>0</v>
      </c>
      <c r="J2813">
        <v>2.29</v>
      </c>
      <c r="K2813">
        <v>0</v>
      </c>
    </row>
    <row r="2814" spans="1:11" x14ac:dyDescent="0.2">
      <c r="B2814">
        <v>98294</v>
      </c>
      <c r="C2814" t="s">
        <v>6415</v>
      </c>
      <c r="D2814">
        <v>11</v>
      </c>
      <c r="E2814">
        <v>12</v>
      </c>
      <c r="F2814">
        <v>0</v>
      </c>
      <c r="G2814">
        <v>0</v>
      </c>
      <c r="H2814">
        <v>48</v>
      </c>
      <c r="I2814">
        <v>0</v>
      </c>
      <c r="J2814">
        <v>1.99</v>
      </c>
      <c r="K2814">
        <v>0</v>
      </c>
    </row>
    <row r="2815" spans="1:11" x14ac:dyDescent="0.2">
      <c r="A2815">
        <v>4509</v>
      </c>
      <c r="B2815">
        <v>98454</v>
      </c>
      <c r="C2815" t="s">
        <v>6416</v>
      </c>
      <c r="D2815">
        <v>6</v>
      </c>
      <c r="E2815">
        <v>6</v>
      </c>
      <c r="F2815">
        <v>3</v>
      </c>
      <c r="G2815">
        <v>18</v>
      </c>
      <c r="H2815">
        <v>200</v>
      </c>
      <c r="I2815">
        <v>0</v>
      </c>
      <c r="J2815">
        <v>1.69</v>
      </c>
      <c r="K2815">
        <v>30.42</v>
      </c>
    </row>
    <row r="2816" spans="1:11" x14ac:dyDescent="0.2">
      <c r="A2816">
        <v>91101</v>
      </c>
      <c r="B2816">
        <v>98479</v>
      </c>
      <c r="C2816" t="s">
        <v>6417</v>
      </c>
      <c r="D2816">
        <v>8</v>
      </c>
      <c r="E2816">
        <v>1</v>
      </c>
      <c r="F2816">
        <v>662</v>
      </c>
      <c r="G2816">
        <v>662</v>
      </c>
      <c r="H2816">
        <v>320</v>
      </c>
      <c r="I2816">
        <v>2.1</v>
      </c>
      <c r="J2816">
        <v>2.99</v>
      </c>
      <c r="K2816">
        <v>1979.38</v>
      </c>
    </row>
    <row r="2817" spans="1:11" x14ac:dyDescent="0.2">
      <c r="B2817">
        <v>98647</v>
      </c>
      <c r="C2817" t="s">
        <v>6418</v>
      </c>
      <c r="D2817">
        <v>11</v>
      </c>
      <c r="E2817">
        <v>15</v>
      </c>
      <c r="F2817">
        <v>0</v>
      </c>
      <c r="G2817">
        <v>0</v>
      </c>
      <c r="H2817">
        <v>72</v>
      </c>
      <c r="I2817">
        <v>0</v>
      </c>
      <c r="J2817">
        <v>1.99</v>
      </c>
      <c r="K2817">
        <v>0</v>
      </c>
    </row>
    <row r="2818" spans="1:11" x14ac:dyDescent="0.2">
      <c r="A2818">
        <v>57161</v>
      </c>
      <c r="B2818">
        <v>98674</v>
      </c>
      <c r="C2818" t="s">
        <v>6419</v>
      </c>
      <c r="D2818">
        <v>11</v>
      </c>
      <c r="E2818">
        <v>1</v>
      </c>
      <c r="F2818">
        <v>0</v>
      </c>
      <c r="G2818">
        <v>0</v>
      </c>
      <c r="H2818">
        <v>1176</v>
      </c>
      <c r="I2818">
        <v>0</v>
      </c>
      <c r="J2818">
        <v>0.5</v>
      </c>
      <c r="K2818">
        <v>0</v>
      </c>
    </row>
    <row r="2819" spans="1:11" x14ac:dyDescent="0.2">
      <c r="A2819">
        <v>57016</v>
      </c>
      <c r="B2819">
        <v>98695</v>
      </c>
      <c r="C2819" t="s">
        <v>6420</v>
      </c>
      <c r="D2819">
        <v>11</v>
      </c>
      <c r="E2819">
        <v>12</v>
      </c>
      <c r="F2819">
        <v>0</v>
      </c>
      <c r="G2819">
        <v>0</v>
      </c>
      <c r="H2819">
        <v>132</v>
      </c>
      <c r="I2819">
        <v>0</v>
      </c>
      <c r="J2819">
        <v>0.5</v>
      </c>
      <c r="K2819">
        <v>0</v>
      </c>
    </row>
    <row r="2820" spans="1:11" x14ac:dyDescent="0.2">
      <c r="B2820">
        <v>98765</v>
      </c>
      <c r="C2820" t="s">
        <v>6421</v>
      </c>
      <c r="D2820">
        <v>11</v>
      </c>
      <c r="E2820">
        <v>16</v>
      </c>
      <c r="F2820">
        <v>0</v>
      </c>
      <c r="G2820">
        <v>0</v>
      </c>
      <c r="H2820">
        <v>192</v>
      </c>
      <c r="I2820">
        <v>0</v>
      </c>
      <c r="J2820">
        <v>1.29</v>
      </c>
      <c r="K2820">
        <v>0</v>
      </c>
    </row>
    <row r="2821" spans="1:11" x14ac:dyDescent="0.2">
      <c r="A2821">
        <v>93377</v>
      </c>
      <c r="B2821">
        <v>98767</v>
      </c>
      <c r="C2821" t="s">
        <v>6422</v>
      </c>
      <c r="D2821">
        <v>6</v>
      </c>
      <c r="E2821">
        <v>6</v>
      </c>
      <c r="F2821">
        <v>0</v>
      </c>
      <c r="G2821">
        <v>0</v>
      </c>
      <c r="H2821">
        <v>32</v>
      </c>
      <c r="I2821">
        <v>0</v>
      </c>
      <c r="J2821">
        <v>9.99</v>
      </c>
      <c r="K2821">
        <v>0</v>
      </c>
    </row>
    <row r="2822" spans="1:11" x14ac:dyDescent="0.2">
      <c r="A2822">
        <v>93341</v>
      </c>
      <c r="B2822">
        <v>98770</v>
      </c>
      <c r="C2822" t="s">
        <v>6423</v>
      </c>
      <c r="D2822">
        <v>10</v>
      </c>
      <c r="E2822">
        <v>72</v>
      </c>
      <c r="F2822">
        <v>0</v>
      </c>
      <c r="G2822">
        <v>0</v>
      </c>
      <c r="H2822">
        <v>32</v>
      </c>
      <c r="I2822">
        <v>0</v>
      </c>
      <c r="J2822">
        <v>1.69</v>
      </c>
      <c r="K2822">
        <v>0</v>
      </c>
    </row>
    <row r="2823" spans="1:11" x14ac:dyDescent="0.2">
      <c r="A2823">
        <v>93378</v>
      </c>
      <c r="B2823">
        <v>98771</v>
      </c>
      <c r="C2823" t="s">
        <v>6424</v>
      </c>
      <c r="D2823">
        <v>10</v>
      </c>
      <c r="E2823">
        <v>11</v>
      </c>
      <c r="F2823">
        <v>3</v>
      </c>
      <c r="G2823">
        <v>33</v>
      </c>
      <c r="H2823">
        <v>24</v>
      </c>
      <c r="I2823">
        <v>0.1</v>
      </c>
      <c r="J2823">
        <v>4.99</v>
      </c>
      <c r="K2823">
        <v>164.67</v>
      </c>
    </row>
    <row r="2824" spans="1:11" x14ac:dyDescent="0.2">
      <c r="B2824">
        <v>98798</v>
      </c>
      <c r="C2824" t="s">
        <v>6425</v>
      </c>
      <c r="D2824">
        <v>11</v>
      </c>
      <c r="E2824">
        <v>18</v>
      </c>
      <c r="F2824">
        <v>0</v>
      </c>
      <c r="G2824">
        <v>0</v>
      </c>
      <c r="H2824">
        <v>108</v>
      </c>
      <c r="I2824">
        <v>0</v>
      </c>
      <c r="J2824">
        <v>3.49</v>
      </c>
      <c r="K2824">
        <v>0</v>
      </c>
    </row>
    <row r="2825" spans="1:11" x14ac:dyDescent="0.2">
      <c r="B2825">
        <v>98799</v>
      </c>
      <c r="C2825" t="s">
        <v>6426</v>
      </c>
      <c r="D2825">
        <v>11</v>
      </c>
      <c r="E2825">
        <v>30</v>
      </c>
      <c r="F2825">
        <v>0</v>
      </c>
      <c r="G2825">
        <v>0</v>
      </c>
      <c r="H2825">
        <v>108</v>
      </c>
      <c r="I2825">
        <v>0</v>
      </c>
      <c r="J2825">
        <v>4.49</v>
      </c>
      <c r="K2825">
        <v>0</v>
      </c>
    </row>
    <row r="2826" spans="1:11" x14ac:dyDescent="0.2">
      <c r="A2826">
        <v>57290</v>
      </c>
      <c r="B2826">
        <v>98868</v>
      </c>
      <c r="C2826" t="s">
        <v>6427</v>
      </c>
      <c r="D2826">
        <v>11</v>
      </c>
      <c r="E2826">
        <v>12</v>
      </c>
      <c r="F2826">
        <v>0</v>
      </c>
      <c r="G2826">
        <v>0</v>
      </c>
      <c r="H2826">
        <v>144</v>
      </c>
      <c r="I2826">
        <v>0</v>
      </c>
      <c r="J2826">
        <v>0.8</v>
      </c>
      <c r="K2826">
        <v>0</v>
      </c>
    </row>
    <row r="2827" spans="1:11" x14ac:dyDescent="0.2">
      <c r="B2827">
        <v>98881</v>
      </c>
      <c r="C2827" t="s">
        <v>6428</v>
      </c>
      <c r="D2827">
        <v>11</v>
      </c>
      <c r="E2827">
        <v>30</v>
      </c>
      <c r="F2827">
        <v>0</v>
      </c>
      <c r="G2827">
        <v>0</v>
      </c>
      <c r="H2827">
        <v>108</v>
      </c>
      <c r="I2827">
        <v>0</v>
      </c>
      <c r="J2827">
        <v>0.49</v>
      </c>
      <c r="K2827">
        <v>0</v>
      </c>
    </row>
    <row r="2828" spans="1:11" x14ac:dyDescent="0.2">
      <c r="B2828">
        <v>98882</v>
      </c>
      <c r="C2828" t="s">
        <v>6429</v>
      </c>
      <c r="D2828">
        <v>11</v>
      </c>
      <c r="E2828">
        <v>30</v>
      </c>
      <c r="F2828">
        <v>-2</v>
      </c>
      <c r="G2828">
        <v>-60</v>
      </c>
      <c r="H2828">
        <v>108</v>
      </c>
      <c r="I2828">
        <v>0</v>
      </c>
      <c r="J2828">
        <v>0.49</v>
      </c>
      <c r="K2828">
        <v>-29.4</v>
      </c>
    </row>
    <row r="2829" spans="1:11" x14ac:dyDescent="0.2">
      <c r="B2829">
        <v>98889</v>
      </c>
      <c r="C2829" t="s">
        <v>6430</v>
      </c>
      <c r="D2829">
        <v>11</v>
      </c>
      <c r="E2829">
        <v>46</v>
      </c>
      <c r="F2829">
        <v>0</v>
      </c>
      <c r="G2829">
        <v>0</v>
      </c>
      <c r="H2829">
        <v>120</v>
      </c>
      <c r="I2829">
        <v>0</v>
      </c>
      <c r="J2829">
        <v>0.99</v>
      </c>
      <c r="K2829">
        <v>0</v>
      </c>
    </row>
    <row r="2830" spans="1:11" x14ac:dyDescent="0.2">
      <c r="B2830">
        <v>98890</v>
      </c>
      <c r="C2830" t="s">
        <v>6431</v>
      </c>
      <c r="D2830">
        <v>11</v>
      </c>
      <c r="E2830">
        <v>30</v>
      </c>
      <c r="F2830">
        <v>0</v>
      </c>
      <c r="G2830">
        <v>0</v>
      </c>
      <c r="H2830">
        <v>190</v>
      </c>
      <c r="I2830">
        <v>0</v>
      </c>
      <c r="J2830">
        <v>2.4900000000000002</v>
      </c>
      <c r="K2830">
        <v>0</v>
      </c>
    </row>
    <row r="2831" spans="1:11" x14ac:dyDescent="0.2">
      <c r="B2831">
        <v>98891</v>
      </c>
      <c r="C2831" t="s">
        <v>6432</v>
      </c>
      <c r="D2831">
        <v>11</v>
      </c>
      <c r="E2831">
        <v>28</v>
      </c>
      <c r="F2831">
        <v>0</v>
      </c>
      <c r="G2831">
        <v>0</v>
      </c>
      <c r="H2831">
        <v>115</v>
      </c>
      <c r="I2831">
        <v>0</v>
      </c>
      <c r="J2831">
        <v>0.65</v>
      </c>
      <c r="K2831">
        <v>0</v>
      </c>
    </row>
    <row r="2832" spans="1:11" x14ac:dyDescent="0.2">
      <c r="B2832">
        <v>98892</v>
      </c>
      <c r="C2832" t="s">
        <v>6433</v>
      </c>
      <c r="D2832">
        <v>11</v>
      </c>
      <c r="E2832">
        <v>28</v>
      </c>
      <c r="F2832">
        <v>0</v>
      </c>
      <c r="G2832">
        <v>0</v>
      </c>
      <c r="H2832">
        <v>115</v>
      </c>
      <c r="I2832">
        <v>0</v>
      </c>
      <c r="J2832">
        <v>0.65</v>
      </c>
      <c r="K2832">
        <v>0</v>
      </c>
    </row>
    <row r="2833" spans="1:11" x14ac:dyDescent="0.2">
      <c r="A2833">
        <v>70188</v>
      </c>
      <c r="B2833">
        <v>98901</v>
      </c>
      <c r="C2833" t="s">
        <v>6434</v>
      </c>
      <c r="D2833">
        <v>8</v>
      </c>
      <c r="E2833">
        <v>20</v>
      </c>
      <c r="F2833">
        <v>169</v>
      </c>
      <c r="G2833">
        <v>3380</v>
      </c>
      <c r="H2833">
        <v>147</v>
      </c>
      <c r="I2833">
        <v>1.1000000000000001</v>
      </c>
      <c r="J2833">
        <v>3.99</v>
      </c>
      <c r="K2833">
        <v>13486.2</v>
      </c>
    </row>
    <row r="2834" spans="1:11" x14ac:dyDescent="0.2">
      <c r="B2834">
        <v>98910</v>
      </c>
      <c r="C2834" t="s">
        <v>6435</v>
      </c>
      <c r="D2834">
        <v>11</v>
      </c>
      <c r="E2834">
        <v>12</v>
      </c>
      <c r="F2834">
        <v>0</v>
      </c>
      <c r="G2834">
        <v>0</v>
      </c>
      <c r="H2834">
        <v>168</v>
      </c>
      <c r="I2834">
        <v>0</v>
      </c>
      <c r="J2834">
        <v>4.29</v>
      </c>
      <c r="K2834">
        <v>0</v>
      </c>
    </row>
    <row r="2835" spans="1:11" x14ac:dyDescent="0.2">
      <c r="B2835">
        <v>98911</v>
      </c>
      <c r="C2835" t="s">
        <v>6436</v>
      </c>
      <c r="D2835">
        <v>11</v>
      </c>
      <c r="E2835">
        <v>40</v>
      </c>
      <c r="F2835">
        <v>1</v>
      </c>
      <c r="G2835">
        <v>40</v>
      </c>
      <c r="H2835">
        <v>140</v>
      </c>
      <c r="I2835">
        <v>0</v>
      </c>
      <c r="J2835">
        <v>0.45</v>
      </c>
      <c r="K2835">
        <v>18</v>
      </c>
    </row>
    <row r="2836" spans="1:11" x14ac:dyDescent="0.2">
      <c r="A2836">
        <v>57441</v>
      </c>
      <c r="B2836">
        <v>98963</v>
      </c>
      <c r="C2836" t="s">
        <v>6437</v>
      </c>
      <c r="D2836">
        <v>6</v>
      </c>
      <c r="E2836">
        <v>16</v>
      </c>
      <c r="F2836">
        <v>0</v>
      </c>
      <c r="G2836">
        <v>0</v>
      </c>
      <c r="H2836">
        <v>102</v>
      </c>
      <c r="I2836">
        <v>0</v>
      </c>
      <c r="J2836">
        <v>1.19</v>
      </c>
      <c r="K2836">
        <v>0</v>
      </c>
    </row>
    <row r="2837" spans="1:11" x14ac:dyDescent="0.2">
      <c r="B2837">
        <v>98967</v>
      </c>
      <c r="C2837" t="s">
        <v>6438</v>
      </c>
      <c r="D2837">
        <v>11</v>
      </c>
      <c r="E2837">
        <v>24</v>
      </c>
      <c r="F2837">
        <v>0</v>
      </c>
      <c r="G2837">
        <v>0</v>
      </c>
      <c r="H2837">
        <v>90</v>
      </c>
      <c r="I2837">
        <v>0</v>
      </c>
      <c r="J2837">
        <v>1.99</v>
      </c>
      <c r="K2837">
        <v>0</v>
      </c>
    </row>
    <row r="2838" spans="1:11" x14ac:dyDescent="0.2">
      <c r="A2838">
        <v>61021</v>
      </c>
      <c r="B2838">
        <v>99010</v>
      </c>
      <c r="C2838" t="s">
        <v>6439</v>
      </c>
      <c r="D2838">
        <v>8</v>
      </c>
      <c r="E2838">
        <v>6</v>
      </c>
      <c r="F2838">
        <v>1087</v>
      </c>
      <c r="G2838">
        <v>6522</v>
      </c>
      <c r="H2838">
        <v>100</v>
      </c>
      <c r="I2838">
        <v>10.9</v>
      </c>
      <c r="J2838">
        <v>1.99</v>
      </c>
      <c r="K2838">
        <v>12978.78</v>
      </c>
    </row>
    <row r="2839" spans="1:11" x14ac:dyDescent="0.2">
      <c r="A2839">
        <v>61098</v>
      </c>
      <c r="B2839">
        <v>99011</v>
      </c>
      <c r="C2839" t="s">
        <v>6440</v>
      </c>
      <c r="D2839">
        <v>8</v>
      </c>
      <c r="E2839">
        <v>6</v>
      </c>
      <c r="F2839">
        <v>188</v>
      </c>
      <c r="G2839">
        <v>1128</v>
      </c>
      <c r="H2839">
        <v>100</v>
      </c>
      <c r="I2839">
        <v>1.9</v>
      </c>
      <c r="J2839">
        <v>5.99</v>
      </c>
      <c r="K2839">
        <v>6756.72</v>
      </c>
    </row>
    <row r="2840" spans="1:11" x14ac:dyDescent="0.2">
      <c r="A2840">
        <v>93243</v>
      </c>
      <c r="B2840">
        <v>99027</v>
      </c>
      <c r="C2840" t="s">
        <v>6441</v>
      </c>
      <c r="D2840">
        <v>10</v>
      </c>
      <c r="E2840">
        <v>18</v>
      </c>
      <c r="F2840">
        <v>0</v>
      </c>
      <c r="G2840">
        <v>0</v>
      </c>
      <c r="H2840">
        <v>24</v>
      </c>
      <c r="I2840">
        <v>0</v>
      </c>
      <c r="J2840">
        <v>2.99</v>
      </c>
      <c r="K2840">
        <v>0</v>
      </c>
    </row>
    <row r="2841" spans="1:11" x14ac:dyDescent="0.2">
      <c r="B2841">
        <v>99051</v>
      </c>
      <c r="C2841" t="s">
        <v>6442</v>
      </c>
      <c r="D2841">
        <v>10</v>
      </c>
      <c r="E2841">
        <v>1</v>
      </c>
      <c r="F2841">
        <v>0</v>
      </c>
      <c r="G2841">
        <v>0</v>
      </c>
      <c r="H2841">
        <v>720</v>
      </c>
      <c r="I2841">
        <v>0</v>
      </c>
      <c r="J2841">
        <v>1.99</v>
      </c>
      <c r="K2841">
        <v>0</v>
      </c>
    </row>
    <row r="2842" spans="1:11" x14ac:dyDescent="0.2">
      <c r="B2842">
        <v>99052</v>
      </c>
      <c r="C2842" t="s">
        <v>6443</v>
      </c>
      <c r="D2842">
        <v>10</v>
      </c>
      <c r="E2842">
        <v>1</v>
      </c>
      <c r="F2842">
        <v>0</v>
      </c>
      <c r="G2842">
        <v>0</v>
      </c>
      <c r="H2842">
        <v>720</v>
      </c>
      <c r="I2842">
        <v>0</v>
      </c>
      <c r="J2842">
        <v>1.99</v>
      </c>
      <c r="K2842">
        <v>0</v>
      </c>
    </row>
    <row r="2843" spans="1:11" x14ac:dyDescent="0.2">
      <c r="A2843">
        <v>93361</v>
      </c>
      <c r="B2843">
        <v>99086</v>
      </c>
      <c r="C2843" t="s">
        <v>6444</v>
      </c>
      <c r="D2843">
        <v>10</v>
      </c>
      <c r="E2843">
        <v>8</v>
      </c>
      <c r="F2843">
        <v>0</v>
      </c>
      <c r="G2843">
        <v>0</v>
      </c>
      <c r="H2843">
        <v>20</v>
      </c>
      <c r="I2843">
        <v>0</v>
      </c>
      <c r="J2843">
        <v>4.99</v>
      </c>
      <c r="K2843">
        <v>0</v>
      </c>
    </row>
    <row r="2844" spans="1:11" x14ac:dyDescent="0.2">
      <c r="A2844">
        <v>74236</v>
      </c>
      <c r="B2844">
        <v>99139</v>
      </c>
      <c r="C2844" t="s">
        <v>6445</v>
      </c>
      <c r="D2844">
        <v>8</v>
      </c>
      <c r="E2844">
        <v>33</v>
      </c>
      <c r="F2844">
        <v>214</v>
      </c>
      <c r="G2844">
        <v>7071</v>
      </c>
      <c r="H2844">
        <v>108</v>
      </c>
      <c r="I2844">
        <v>2</v>
      </c>
      <c r="J2844">
        <v>1.39</v>
      </c>
      <c r="K2844">
        <v>9828.69</v>
      </c>
    </row>
    <row r="2845" spans="1:11" x14ac:dyDescent="0.2">
      <c r="A2845">
        <v>61226</v>
      </c>
      <c r="B2845">
        <v>99183</v>
      </c>
      <c r="C2845" t="s">
        <v>6446</v>
      </c>
      <c r="D2845">
        <v>8</v>
      </c>
      <c r="E2845">
        <v>6</v>
      </c>
      <c r="F2845">
        <v>735</v>
      </c>
      <c r="G2845">
        <v>4410</v>
      </c>
      <c r="H2845">
        <v>95</v>
      </c>
      <c r="I2845">
        <v>7.7</v>
      </c>
      <c r="J2845">
        <v>4.99</v>
      </c>
      <c r="K2845">
        <v>22005.9</v>
      </c>
    </row>
    <row r="2846" spans="1:11" x14ac:dyDescent="0.2">
      <c r="A2846">
        <v>99146</v>
      </c>
      <c r="B2846">
        <v>99214</v>
      </c>
      <c r="C2846" t="s">
        <v>6447</v>
      </c>
      <c r="D2846">
        <v>10</v>
      </c>
      <c r="E2846">
        <v>6</v>
      </c>
      <c r="F2846">
        <v>0</v>
      </c>
      <c r="G2846">
        <v>0</v>
      </c>
      <c r="H2846">
        <v>90</v>
      </c>
      <c r="I2846">
        <v>0</v>
      </c>
      <c r="J2846">
        <v>1.89</v>
      </c>
      <c r="K2846">
        <v>0</v>
      </c>
    </row>
    <row r="2847" spans="1:11" x14ac:dyDescent="0.2">
      <c r="A2847">
        <v>93278</v>
      </c>
      <c r="B2847">
        <v>99239</v>
      </c>
      <c r="C2847" t="s">
        <v>6448</v>
      </c>
      <c r="D2847">
        <v>10</v>
      </c>
      <c r="E2847">
        <v>16</v>
      </c>
      <c r="F2847">
        <v>0</v>
      </c>
      <c r="G2847">
        <v>0</v>
      </c>
      <c r="H2847">
        <v>28</v>
      </c>
      <c r="I2847">
        <v>0</v>
      </c>
      <c r="J2847">
        <v>1.89</v>
      </c>
      <c r="K2847">
        <v>0</v>
      </c>
    </row>
    <row r="2848" spans="1:11" x14ac:dyDescent="0.2">
      <c r="A2848">
        <v>70186</v>
      </c>
      <c r="B2848">
        <v>99369</v>
      </c>
      <c r="C2848" t="s">
        <v>6449</v>
      </c>
      <c r="D2848">
        <v>8</v>
      </c>
      <c r="E2848">
        <v>30</v>
      </c>
      <c r="F2848">
        <v>395</v>
      </c>
      <c r="G2848">
        <v>11850</v>
      </c>
      <c r="H2848">
        <v>78</v>
      </c>
      <c r="I2848">
        <v>5.0999999999999996</v>
      </c>
      <c r="J2848">
        <v>0.99</v>
      </c>
      <c r="K2848">
        <v>11731.5</v>
      </c>
    </row>
    <row r="2849" spans="1:12" x14ac:dyDescent="0.2">
      <c r="A2849">
        <v>67256</v>
      </c>
      <c r="B2849">
        <v>99404</v>
      </c>
      <c r="C2849" t="s">
        <v>6450</v>
      </c>
      <c r="D2849">
        <v>8</v>
      </c>
      <c r="E2849">
        <v>21</v>
      </c>
      <c r="F2849">
        <v>300</v>
      </c>
      <c r="G2849">
        <v>6304</v>
      </c>
      <c r="H2849">
        <v>56</v>
      </c>
      <c r="I2849">
        <v>5.4</v>
      </c>
      <c r="J2849">
        <v>0.89</v>
      </c>
      <c r="K2849">
        <v>5610.56</v>
      </c>
    </row>
    <row r="2850" spans="1:12" x14ac:dyDescent="0.2">
      <c r="B2850">
        <v>99430</v>
      </c>
      <c r="C2850" t="s">
        <v>6451</v>
      </c>
      <c r="D2850">
        <v>10</v>
      </c>
      <c r="E2850">
        <v>75</v>
      </c>
      <c r="F2850">
        <v>0</v>
      </c>
      <c r="G2850">
        <v>0</v>
      </c>
      <c r="H2850">
        <v>18</v>
      </c>
      <c r="I2850">
        <v>0</v>
      </c>
      <c r="J2850">
        <v>0.65</v>
      </c>
      <c r="K2850">
        <v>0</v>
      </c>
    </row>
    <row r="2851" spans="1:12" x14ac:dyDescent="0.2">
      <c r="B2851">
        <v>99431</v>
      </c>
      <c r="C2851" t="s">
        <v>6452</v>
      </c>
      <c r="D2851">
        <v>11</v>
      </c>
      <c r="E2851">
        <v>125</v>
      </c>
      <c r="F2851">
        <v>0</v>
      </c>
      <c r="G2851">
        <v>0</v>
      </c>
      <c r="H2851">
        <v>20</v>
      </c>
      <c r="I2851">
        <v>0</v>
      </c>
      <c r="J2851">
        <v>0.99</v>
      </c>
      <c r="K2851">
        <v>0</v>
      </c>
    </row>
    <row r="2852" spans="1:12" x14ac:dyDescent="0.2">
      <c r="A2852">
        <v>84047</v>
      </c>
      <c r="B2852">
        <v>99488</v>
      </c>
      <c r="C2852" t="s">
        <v>6453</v>
      </c>
      <c r="D2852">
        <v>8</v>
      </c>
      <c r="E2852">
        <v>10</v>
      </c>
      <c r="F2852">
        <v>544</v>
      </c>
      <c r="G2852">
        <v>5440</v>
      </c>
      <c r="H2852">
        <v>80</v>
      </c>
      <c r="I2852">
        <v>6.8</v>
      </c>
      <c r="J2852">
        <v>2.2000000000000002</v>
      </c>
      <c r="K2852">
        <v>11968</v>
      </c>
    </row>
    <row r="2853" spans="1:12" x14ac:dyDescent="0.2">
      <c r="A2853">
        <v>4641</v>
      </c>
      <c r="B2853">
        <v>99501</v>
      </c>
      <c r="C2853" t="s">
        <v>6454</v>
      </c>
      <c r="D2853">
        <v>6</v>
      </c>
      <c r="E2853">
        <v>24</v>
      </c>
      <c r="F2853">
        <v>0</v>
      </c>
      <c r="G2853">
        <v>0</v>
      </c>
      <c r="H2853">
        <v>72</v>
      </c>
      <c r="I2853">
        <v>0</v>
      </c>
      <c r="J2853">
        <v>0.99</v>
      </c>
      <c r="K2853">
        <v>0</v>
      </c>
    </row>
    <row r="2854" spans="1:12" x14ac:dyDescent="0.2">
      <c r="A2854">
        <v>86003</v>
      </c>
      <c r="B2854">
        <v>99607</v>
      </c>
      <c r="C2854" t="s">
        <v>6455</v>
      </c>
      <c r="D2854">
        <v>8</v>
      </c>
      <c r="E2854">
        <v>36</v>
      </c>
      <c r="F2854">
        <v>80</v>
      </c>
      <c r="G2854">
        <v>2880</v>
      </c>
      <c r="H2854">
        <v>80</v>
      </c>
      <c r="I2854">
        <v>1</v>
      </c>
      <c r="J2854">
        <v>1.19</v>
      </c>
      <c r="K2854">
        <v>3427.2</v>
      </c>
    </row>
    <row r="2855" spans="1:12" x14ac:dyDescent="0.2">
      <c r="A2855">
        <v>62247</v>
      </c>
      <c r="B2855">
        <v>99667</v>
      </c>
      <c r="C2855" t="s">
        <v>6456</v>
      </c>
      <c r="D2855">
        <v>8</v>
      </c>
      <c r="E2855">
        <v>12</v>
      </c>
      <c r="F2855">
        <v>1831</v>
      </c>
      <c r="G2855">
        <v>21972</v>
      </c>
      <c r="H2855">
        <v>70</v>
      </c>
      <c r="I2855">
        <v>26.2</v>
      </c>
      <c r="J2855">
        <v>0.79</v>
      </c>
      <c r="K2855">
        <v>17357.88</v>
      </c>
    </row>
    <row r="2856" spans="1:12" x14ac:dyDescent="0.2">
      <c r="B2856">
        <v>99704</v>
      </c>
      <c r="C2856" t="s">
        <v>6457</v>
      </c>
      <c r="D2856">
        <v>11</v>
      </c>
      <c r="E2856">
        <v>12</v>
      </c>
      <c r="F2856">
        <v>0</v>
      </c>
      <c r="G2856">
        <v>0</v>
      </c>
      <c r="H2856">
        <v>112</v>
      </c>
      <c r="I2856">
        <v>0</v>
      </c>
      <c r="J2856">
        <v>2.4900000000000002</v>
      </c>
      <c r="K2856">
        <v>0</v>
      </c>
    </row>
    <row r="2857" spans="1:12" x14ac:dyDescent="0.2">
      <c r="B2857">
        <v>99725</v>
      </c>
      <c r="C2857" t="s">
        <v>6458</v>
      </c>
      <c r="D2857">
        <v>11</v>
      </c>
      <c r="E2857">
        <v>4</v>
      </c>
      <c r="F2857">
        <v>0</v>
      </c>
      <c r="G2857">
        <v>0</v>
      </c>
      <c r="H2857">
        <v>60</v>
      </c>
      <c r="I2857">
        <v>0</v>
      </c>
      <c r="J2857">
        <v>4.99</v>
      </c>
      <c r="K2857">
        <v>0</v>
      </c>
    </row>
    <row r="2858" spans="1:12" x14ac:dyDescent="0.2">
      <c r="A2858">
        <v>33600</v>
      </c>
      <c r="B2858">
        <v>99794</v>
      </c>
      <c r="C2858" t="s">
        <v>6459</v>
      </c>
      <c r="D2858">
        <v>12</v>
      </c>
      <c r="E2858">
        <v>6</v>
      </c>
      <c r="F2858">
        <v>0</v>
      </c>
      <c r="G2858">
        <v>0</v>
      </c>
      <c r="H2858">
        <v>105</v>
      </c>
      <c r="I2858">
        <v>0</v>
      </c>
      <c r="J2858">
        <v>1</v>
      </c>
      <c r="K2858">
        <v>0</v>
      </c>
      <c r="L2858" t="s">
        <v>3699</v>
      </c>
    </row>
    <row r="2859" spans="1:12" x14ac:dyDescent="0.2">
      <c r="A2859">
        <v>99874</v>
      </c>
      <c r="B2859">
        <v>99802</v>
      </c>
      <c r="C2859" t="s">
        <v>6460</v>
      </c>
      <c r="D2859">
        <v>10</v>
      </c>
      <c r="E2859">
        <v>14</v>
      </c>
      <c r="F2859">
        <v>0</v>
      </c>
      <c r="G2859">
        <v>0</v>
      </c>
      <c r="H2859">
        <v>81</v>
      </c>
      <c r="I2859">
        <v>0</v>
      </c>
      <c r="J2859">
        <v>0.69</v>
      </c>
      <c r="K2859">
        <v>0</v>
      </c>
    </row>
    <row r="2860" spans="1:12" x14ac:dyDescent="0.2">
      <c r="B2860">
        <v>99817</v>
      </c>
      <c r="C2860" t="s">
        <v>6461</v>
      </c>
      <c r="D2860">
        <v>6</v>
      </c>
      <c r="E2860">
        <v>7</v>
      </c>
      <c r="F2860">
        <v>0</v>
      </c>
      <c r="G2860">
        <v>0</v>
      </c>
      <c r="H2860">
        <v>90</v>
      </c>
      <c r="I2860">
        <v>0</v>
      </c>
      <c r="J2860">
        <v>6.99</v>
      </c>
      <c r="K2860">
        <v>0</v>
      </c>
    </row>
    <row r="2861" spans="1:12" x14ac:dyDescent="0.2">
      <c r="A2861">
        <v>93318</v>
      </c>
      <c r="B2861">
        <v>99830</v>
      </c>
      <c r="C2861" t="s">
        <v>6462</v>
      </c>
      <c r="D2861">
        <v>10</v>
      </c>
      <c r="E2861">
        <v>12</v>
      </c>
      <c r="F2861">
        <v>-5</v>
      </c>
      <c r="G2861">
        <v>-60</v>
      </c>
      <c r="H2861">
        <v>24</v>
      </c>
      <c r="I2861">
        <v>-0.2</v>
      </c>
      <c r="J2861">
        <v>1.89</v>
      </c>
      <c r="K2861">
        <v>-113.4</v>
      </c>
    </row>
    <row r="2862" spans="1:12" x14ac:dyDescent="0.2">
      <c r="B2862">
        <v>99843</v>
      </c>
      <c r="C2862" t="s">
        <v>6463</v>
      </c>
      <c r="D2862">
        <v>11</v>
      </c>
      <c r="E2862">
        <v>13</v>
      </c>
      <c r="F2862">
        <v>0</v>
      </c>
      <c r="G2862">
        <v>0</v>
      </c>
      <c r="H2862">
        <v>126</v>
      </c>
      <c r="I2862">
        <v>0</v>
      </c>
      <c r="J2862">
        <v>1.79</v>
      </c>
      <c r="K2862">
        <v>0</v>
      </c>
    </row>
    <row r="2863" spans="1:12" x14ac:dyDescent="0.2">
      <c r="A2863">
        <v>0</v>
      </c>
      <c r="B2863">
        <v>99848</v>
      </c>
      <c r="C2863" t="s">
        <v>6464</v>
      </c>
      <c r="D2863">
        <v>11</v>
      </c>
      <c r="E2863">
        <v>13</v>
      </c>
      <c r="F2863">
        <v>0</v>
      </c>
      <c r="G2863">
        <v>0</v>
      </c>
      <c r="H2863">
        <v>162</v>
      </c>
      <c r="I2863">
        <v>0</v>
      </c>
      <c r="J2863">
        <v>0.99</v>
      </c>
      <c r="K2863">
        <v>0</v>
      </c>
    </row>
    <row r="2864" spans="1:12" x14ac:dyDescent="0.2">
      <c r="A2864">
        <v>70111</v>
      </c>
      <c r="B2864">
        <v>99849</v>
      </c>
      <c r="C2864" t="s">
        <v>6465</v>
      </c>
      <c r="D2864">
        <v>8</v>
      </c>
      <c r="E2864">
        <v>13</v>
      </c>
      <c r="F2864">
        <v>128</v>
      </c>
      <c r="G2864">
        <v>1664</v>
      </c>
      <c r="H2864">
        <v>144</v>
      </c>
      <c r="I2864">
        <v>0.9</v>
      </c>
      <c r="J2864">
        <v>0.99</v>
      </c>
      <c r="K2864">
        <v>1647.36</v>
      </c>
    </row>
    <row r="2865" spans="1:11" x14ac:dyDescent="0.2">
      <c r="A2865">
        <v>70126</v>
      </c>
      <c r="B2865">
        <v>99963</v>
      </c>
      <c r="C2865" t="s">
        <v>6466</v>
      </c>
      <c r="D2865">
        <v>8</v>
      </c>
      <c r="E2865">
        <v>15</v>
      </c>
      <c r="F2865">
        <v>650</v>
      </c>
      <c r="G2865">
        <v>9750</v>
      </c>
      <c r="H2865">
        <v>140</v>
      </c>
      <c r="I2865">
        <v>4.5999999999999996</v>
      </c>
      <c r="J2865">
        <v>1.25</v>
      </c>
      <c r="K2865">
        <v>12187.5</v>
      </c>
    </row>
    <row r="2866" spans="1:11" x14ac:dyDescent="0.2">
      <c r="A2866">
        <v>34502</v>
      </c>
      <c r="B2866">
        <v>99971</v>
      </c>
      <c r="C2866" t="s">
        <v>6467</v>
      </c>
      <c r="D2866">
        <v>10</v>
      </c>
      <c r="E2866">
        <v>12</v>
      </c>
      <c r="F2866">
        <v>0</v>
      </c>
      <c r="G2866">
        <v>0</v>
      </c>
      <c r="H2866">
        <v>72</v>
      </c>
      <c r="I2866">
        <v>0</v>
      </c>
      <c r="J2866">
        <v>2.29</v>
      </c>
      <c r="K2866">
        <v>0</v>
      </c>
    </row>
    <row r="2867" spans="1:11" x14ac:dyDescent="0.2">
      <c r="B2867">
        <v>100098</v>
      </c>
      <c r="C2867" t="s">
        <v>6468</v>
      </c>
      <c r="D2867">
        <v>10</v>
      </c>
      <c r="E2867">
        <v>1</v>
      </c>
      <c r="F2867">
        <v>0</v>
      </c>
      <c r="G2867">
        <v>0</v>
      </c>
      <c r="H2867">
        <v>100</v>
      </c>
      <c r="I2867">
        <v>0</v>
      </c>
      <c r="J2867">
        <v>49.99</v>
      </c>
      <c r="K2867">
        <v>0</v>
      </c>
    </row>
    <row r="2868" spans="1:11" x14ac:dyDescent="0.2">
      <c r="A2868">
        <v>35801</v>
      </c>
      <c r="B2868">
        <v>100117</v>
      </c>
      <c r="C2868" t="s">
        <v>6469</v>
      </c>
      <c r="D2868">
        <v>10</v>
      </c>
      <c r="E2868">
        <v>6</v>
      </c>
      <c r="F2868">
        <v>0</v>
      </c>
      <c r="G2868">
        <v>0</v>
      </c>
      <c r="H2868">
        <v>21</v>
      </c>
      <c r="I2868">
        <v>0</v>
      </c>
      <c r="J2868">
        <v>21.99</v>
      </c>
      <c r="K2868">
        <v>0</v>
      </c>
    </row>
    <row r="2869" spans="1:11" x14ac:dyDescent="0.2">
      <c r="A2869">
        <v>50301</v>
      </c>
      <c r="B2869">
        <v>100123</v>
      </c>
      <c r="C2869" t="s">
        <v>6470</v>
      </c>
      <c r="D2869">
        <v>10</v>
      </c>
      <c r="E2869">
        <v>32</v>
      </c>
      <c r="F2869">
        <v>0</v>
      </c>
      <c r="G2869">
        <v>0</v>
      </c>
      <c r="H2869">
        <v>100</v>
      </c>
      <c r="I2869">
        <v>0</v>
      </c>
      <c r="J2869">
        <v>9.99</v>
      </c>
      <c r="K2869">
        <v>0</v>
      </c>
    </row>
    <row r="2870" spans="1:11" x14ac:dyDescent="0.2">
      <c r="A2870">
        <v>45423</v>
      </c>
      <c r="B2870">
        <v>101538</v>
      </c>
      <c r="C2870" t="s">
        <v>6471</v>
      </c>
      <c r="D2870">
        <v>10</v>
      </c>
      <c r="E2870">
        <v>6</v>
      </c>
      <c r="F2870">
        <v>3</v>
      </c>
      <c r="G2870">
        <v>18</v>
      </c>
      <c r="H2870">
        <v>100</v>
      </c>
      <c r="I2870">
        <v>0</v>
      </c>
      <c r="J2870">
        <v>16.989999999999998</v>
      </c>
      <c r="K2870">
        <v>305.82</v>
      </c>
    </row>
    <row r="2871" spans="1:11" x14ac:dyDescent="0.2">
      <c r="B2871">
        <v>102733</v>
      </c>
      <c r="C2871" t="s">
        <v>6472</v>
      </c>
      <c r="D2871">
        <v>10</v>
      </c>
      <c r="E2871">
        <v>16</v>
      </c>
      <c r="F2871">
        <v>0</v>
      </c>
      <c r="G2871">
        <v>0</v>
      </c>
      <c r="H2871">
        <v>96</v>
      </c>
      <c r="I2871">
        <v>0</v>
      </c>
      <c r="J2871">
        <v>4.99</v>
      </c>
      <c r="K2871">
        <v>0</v>
      </c>
    </row>
    <row r="2872" spans="1:11" x14ac:dyDescent="0.2">
      <c r="A2872">
        <v>35802</v>
      </c>
      <c r="B2872">
        <v>102832</v>
      </c>
      <c r="C2872" t="s">
        <v>6473</v>
      </c>
      <c r="D2872">
        <v>10</v>
      </c>
      <c r="E2872">
        <v>18</v>
      </c>
      <c r="F2872">
        <v>0</v>
      </c>
      <c r="G2872">
        <v>0</v>
      </c>
      <c r="H2872">
        <v>100</v>
      </c>
      <c r="I2872">
        <v>0</v>
      </c>
      <c r="J2872">
        <v>1.49</v>
      </c>
      <c r="K2872">
        <v>0</v>
      </c>
    </row>
    <row r="2873" spans="1:11" x14ac:dyDescent="0.2">
      <c r="B2873">
        <v>102849</v>
      </c>
      <c r="C2873" t="s">
        <v>6474</v>
      </c>
      <c r="D2873">
        <v>12</v>
      </c>
      <c r="E2873">
        <v>100</v>
      </c>
      <c r="F2873">
        <v>0</v>
      </c>
      <c r="G2873">
        <v>0</v>
      </c>
      <c r="H2873">
        <v>100</v>
      </c>
      <c r="I2873">
        <v>0</v>
      </c>
      <c r="J2873">
        <v>1.59</v>
      </c>
      <c r="K2873">
        <v>0</v>
      </c>
    </row>
    <row r="2874" spans="1:11" x14ac:dyDescent="0.2">
      <c r="A2874">
        <v>65038</v>
      </c>
      <c r="B2874">
        <v>103176</v>
      </c>
      <c r="C2874" t="s">
        <v>6475</v>
      </c>
      <c r="D2874">
        <v>8</v>
      </c>
      <c r="E2874">
        <v>12</v>
      </c>
      <c r="F2874">
        <v>1243</v>
      </c>
      <c r="G2874">
        <v>14920</v>
      </c>
      <c r="H2874">
        <v>135</v>
      </c>
      <c r="I2874">
        <v>9.1999999999999993</v>
      </c>
      <c r="J2874">
        <v>0.79</v>
      </c>
      <c r="K2874">
        <v>11786.8</v>
      </c>
    </row>
    <row r="2875" spans="1:11" x14ac:dyDescent="0.2">
      <c r="A2875">
        <v>35803</v>
      </c>
      <c r="B2875">
        <v>103216</v>
      </c>
      <c r="C2875" t="s">
        <v>6476</v>
      </c>
      <c r="D2875">
        <v>10</v>
      </c>
      <c r="E2875">
        <v>12</v>
      </c>
      <c r="F2875">
        <v>0</v>
      </c>
      <c r="G2875">
        <v>0</v>
      </c>
      <c r="H2875">
        <v>100</v>
      </c>
      <c r="I2875">
        <v>0</v>
      </c>
      <c r="J2875">
        <v>2.99</v>
      </c>
      <c r="K2875">
        <v>0</v>
      </c>
    </row>
    <row r="2876" spans="1:11" x14ac:dyDescent="0.2">
      <c r="A2876">
        <v>35804</v>
      </c>
      <c r="B2876">
        <v>103457</v>
      </c>
      <c r="C2876" t="s">
        <v>6477</v>
      </c>
      <c r="D2876">
        <v>10</v>
      </c>
      <c r="E2876">
        <v>24</v>
      </c>
      <c r="F2876">
        <v>0</v>
      </c>
      <c r="G2876">
        <v>0</v>
      </c>
      <c r="H2876">
        <v>48</v>
      </c>
      <c r="I2876">
        <v>0</v>
      </c>
      <c r="J2876">
        <v>5.99</v>
      </c>
      <c r="K2876">
        <v>0</v>
      </c>
    </row>
    <row r="2877" spans="1:11" x14ac:dyDescent="0.2">
      <c r="B2877">
        <v>103677</v>
      </c>
      <c r="C2877" t="s">
        <v>6478</v>
      </c>
      <c r="D2877">
        <v>11</v>
      </c>
      <c r="E2877">
        <v>6</v>
      </c>
      <c r="F2877">
        <v>2</v>
      </c>
      <c r="G2877">
        <v>12</v>
      </c>
      <c r="H2877">
        <v>80</v>
      </c>
      <c r="I2877">
        <v>0</v>
      </c>
      <c r="J2877">
        <v>15.95</v>
      </c>
      <c r="K2877">
        <v>191.4</v>
      </c>
    </row>
    <row r="2878" spans="1:11" x14ac:dyDescent="0.2">
      <c r="B2878">
        <v>103707</v>
      </c>
      <c r="C2878" t="s">
        <v>6479</v>
      </c>
      <c r="D2878">
        <v>12</v>
      </c>
      <c r="E2878">
        <v>14</v>
      </c>
      <c r="F2878">
        <v>0</v>
      </c>
      <c r="G2878">
        <v>0</v>
      </c>
      <c r="H2878">
        <v>100</v>
      </c>
      <c r="I2878">
        <v>0</v>
      </c>
      <c r="J2878">
        <v>1</v>
      </c>
      <c r="K2878">
        <v>0</v>
      </c>
    </row>
    <row r="2879" spans="1:11" x14ac:dyDescent="0.2">
      <c r="A2879">
        <v>38800</v>
      </c>
      <c r="B2879">
        <v>103909</v>
      </c>
      <c r="C2879" t="s">
        <v>6480</v>
      </c>
      <c r="D2879">
        <v>10</v>
      </c>
      <c r="E2879">
        <v>4</v>
      </c>
      <c r="F2879">
        <v>0</v>
      </c>
      <c r="G2879">
        <v>0</v>
      </c>
      <c r="H2879">
        <v>8</v>
      </c>
      <c r="I2879">
        <v>0</v>
      </c>
      <c r="J2879">
        <v>44.99</v>
      </c>
      <c r="K2879">
        <v>0</v>
      </c>
    </row>
    <row r="2880" spans="1:11" x14ac:dyDescent="0.2">
      <c r="A2880">
        <v>36661</v>
      </c>
      <c r="B2880">
        <v>103932</v>
      </c>
      <c r="C2880" t="s">
        <v>6481</v>
      </c>
      <c r="D2880">
        <v>6</v>
      </c>
      <c r="E2880">
        <v>6</v>
      </c>
      <c r="F2880">
        <v>0</v>
      </c>
      <c r="G2880">
        <v>0</v>
      </c>
      <c r="H2880">
        <v>80</v>
      </c>
      <c r="I2880">
        <v>0</v>
      </c>
      <c r="J2880">
        <v>27.9</v>
      </c>
      <c r="K2880">
        <v>0</v>
      </c>
    </row>
    <row r="2881" spans="1:11" x14ac:dyDescent="0.2">
      <c r="A2881">
        <v>36662</v>
      </c>
      <c r="B2881">
        <v>103969</v>
      </c>
      <c r="C2881" t="s">
        <v>6482</v>
      </c>
      <c r="D2881">
        <v>6</v>
      </c>
      <c r="E2881">
        <v>6</v>
      </c>
      <c r="F2881">
        <v>0</v>
      </c>
      <c r="G2881">
        <v>0</v>
      </c>
      <c r="H2881">
        <v>80</v>
      </c>
      <c r="I2881">
        <v>0</v>
      </c>
      <c r="J2881">
        <v>19.95</v>
      </c>
      <c r="K2881">
        <v>0</v>
      </c>
    </row>
    <row r="2882" spans="1:11" x14ac:dyDescent="0.2">
      <c r="A2882">
        <v>35806</v>
      </c>
      <c r="B2882">
        <v>103970</v>
      </c>
      <c r="C2882" t="s">
        <v>6483</v>
      </c>
      <c r="D2882">
        <v>10</v>
      </c>
      <c r="E2882">
        <v>48</v>
      </c>
      <c r="F2882">
        <v>0</v>
      </c>
      <c r="G2882">
        <v>0</v>
      </c>
      <c r="H2882">
        <v>100</v>
      </c>
      <c r="I2882">
        <v>0</v>
      </c>
      <c r="J2882">
        <v>1.99</v>
      </c>
      <c r="K2882">
        <v>0</v>
      </c>
    </row>
    <row r="2883" spans="1:11" x14ac:dyDescent="0.2">
      <c r="A2883">
        <v>40913</v>
      </c>
      <c r="B2883">
        <v>104059</v>
      </c>
      <c r="C2883" t="s">
        <v>6484</v>
      </c>
      <c r="D2883">
        <v>10</v>
      </c>
      <c r="E2883">
        <v>16</v>
      </c>
      <c r="F2883">
        <v>0</v>
      </c>
      <c r="G2883">
        <v>0</v>
      </c>
      <c r="H2883">
        <v>20</v>
      </c>
      <c r="I2883">
        <v>0</v>
      </c>
      <c r="J2883">
        <v>9.99</v>
      </c>
      <c r="K2883">
        <v>0</v>
      </c>
    </row>
    <row r="2884" spans="1:11" x14ac:dyDescent="0.2">
      <c r="B2884">
        <v>104082</v>
      </c>
      <c r="C2884" t="s">
        <v>6485</v>
      </c>
      <c r="D2884">
        <v>6</v>
      </c>
      <c r="E2884">
        <v>6</v>
      </c>
      <c r="F2884">
        <v>0</v>
      </c>
      <c r="G2884">
        <v>0</v>
      </c>
      <c r="H2884">
        <v>80</v>
      </c>
      <c r="I2884">
        <v>0</v>
      </c>
      <c r="J2884">
        <v>35</v>
      </c>
      <c r="K2884">
        <v>0</v>
      </c>
    </row>
    <row r="2885" spans="1:11" x14ac:dyDescent="0.2">
      <c r="B2885">
        <v>104086</v>
      </c>
      <c r="C2885" t="s">
        <v>6486</v>
      </c>
      <c r="D2885">
        <v>10</v>
      </c>
      <c r="E2885">
        <v>6</v>
      </c>
      <c r="F2885">
        <v>0</v>
      </c>
      <c r="G2885">
        <v>0</v>
      </c>
      <c r="H2885">
        <v>80</v>
      </c>
      <c r="I2885">
        <v>0</v>
      </c>
      <c r="J2885">
        <v>39.9</v>
      </c>
      <c r="K2885">
        <v>0</v>
      </c>
    </row>
    <row r="2886" spans="1:11" x14ac:dyDescent="0.2">
      <c r="A2886">
        <v>36663</v>
      </c>
      <c r="B2886">
        <v>104127</v>
      </c>
      <c r="C2886" t="s">
        <v>6487</v>
      </c>
      <c r="D2886">
        <v>6</v>
      </c>
      <c r="E2886">
        <v>6</v>
      </c>
      <c r="F2886">
        <v>0</v>
      </c>
      <c r="G2886">
        <v>0</v>
      </c>
      <c r="H2886">
        <v>80</v>
      </c>
      <c r="I2886">
        <v>0</v>
      </c>
      <c r="J2886">
        <v>19.95</v>
      </c>
      <c r="K2886">
        <v>0</v>
      </c>
    </row>
    <row r="2887" spans="1:11" x14ac:dyDescent="0.2">
      <c r="B2887">
        <v>104192</v>
      </c>
      <c r="C2887" t="s">
        <v>6488</v>
      </c>
      <c r="D2887">
        <v>10</v>
      </c>
      <c r="E2887">
        <v>6</v>
      </c>
      <c r="F2887">
        <v>0</v>
      </c>
      <c r="G2887">
        <v>0</v>
      </c>
      <c r="H2887">
        <v>80</v>
      </c>
      <c r="I2887">
        <v>0</v>
      </c>
      <c r="J2887">
        <v>21.95</v>
      </c>
      <c r="K2887">
        <v>0</v>
      </c>
    </row>
    <row r="2888" spans="1:11" x14ac:dyDescent="0.2">
      <c r="B2888">
        <v>104237</v>
      </c>
      <c r="C2888" t="s">
        <v>6489</v>
      </c>
      <c r="D2888">
        <v>11</v>
      </c>
      <c r="E2888">
        <v>6</v>
      </c>
      <c r="F2888">
        <v>3</v>
      </c>
      <c r="G2888">
        <v>18</v>
      </c>
      <c r="H2888">
        <v>80</v>
      </c>
      <c r="I2888">
        <v>0</v>
      </c>
      <c r="J2888">
        <v>29.9</v>
      </c>
      <c r="K2888">
        <v>538.20000000000005</v>
      </c>
    </row>
    <row r="2889" spans="1:11" x14ac:dyDescent="0.2">
      <c r="B2889">
        <v>104350</v>
      </c>
      <c r="C2889" t="s">
        <v>6490</v>
      </c>
      <c r="D2889">
        <v>11</v>
      </c>
      <c r="E2889">
        <v>6</v>
      </c>
      <c r="F2889">
        <v>1</v>
      </c>
      <c r="G2889">
        <v>6</v>
      </c>
      <c r="H2889">
        <v>80</v>
      </c>
      <c r="I2889">
        <v>0</v>
      </c>
      <c r="J2889">
        <v>24.95</v>
      </c>
      <c r="K2889">
        <v>149.69999999999999</v>
      </c>
    </row>
    <row r="2890" spans="1:11" x14ac:dyDescent="0.2">
      <c r="A2890">
        <v>35807</v>
      </c>
      <c r="B2890">
        <v>104980</v>
      </c>
      <c r="C2890" t="s">
        <v>6491</v>
      </c>
      <c r="D2890">
        <v>10</v>
      </c>
      <c r="E2890">
        <v>10</v>
      </c>
      <c r="F2890">
        <v>0</v>
      </c>
      <c r="G2890">
        <v>0</v>
      </c>
      <c r="H2890">
        <v>40</v>
      </c>
      <c r="I2890">
        <v>0</v>
      </c>
      <c r="J2890">
        <v>7.99</v>
      </c>
      <c r="K2890">
        <v>0</v>
      </c>
    </row>
    <row r="2891" spans="1:11" x14ac:dyDescent="0.2">
      <c r="A2891">
        <v>4600</v>
      </c>
      <c r="B2891">
        <v>105014</v>
      </c>
      <c r="C2891" t="s">
        <v>6492</v>
      </c>
      <c r="D2891">
        <v>6</v>
      </c>
      <c r="E2891">
        <v>12</v>
      </c>
      <c r="F2891">
        <v>289</v>
      </c>
      <c r="G2891">
        <v>3468</v>
      </c>
      <c r="H2891">
        <v>72</v>
      </c>
      <c r="I2891">
        <v>4</v>
      </c>
      <c r="J2891">
        <v>1.59</v>
      </c>
      <c r="K2891">
        <v>5514.12</v>
      </c>
    </row>
    <row r="2892" spans="1:11" x14ac:dyDescent="0.2">
      <c r="A2892">
        <v>95206</v>
      </c>
      <c r="B2892">
        <v>105044</v>
      </c>
      <c r="C2892" t="s">
        <v>6493</v>
      </c>
      <c r="D2892">
        <v>8</v>
      </c>
      <c r="E2892">
        <v>14</v>
      </c>
      <c r="F2892">
        <v>328</v>
      </c>
      <c r="G2892">
        <v>4592</v>
      </c>
      <c r="H2892">
        <v>16</v>
      </c>
      <c r="I2892">
        <v>20.5</v>
      </c>
      <c r="J2892">
        <v>3.99</v>
      </c>
      <c r="K2892">
        <v>18322.080000000002</v>
      </c>
    </row>
    <row r="2893" spans="1:11" x14ac:dyDescent="0.2">
      <c r="A2893">
        <v>2644</v>
      </c>
      <c r="B2893">
        <v>105268</v>
      </c>
      <c r="C2893" t="s">
        <v>6494</v>
      </c>
      <c r="D2893">
        <v>6</v>
      </c>
      <c r="E2893">
        <v>24</v>
      </c>
      <c r="F2893">
        <v>270</v>
      </c>
      <c r="G2893">
        <v>6480</v>
      </c>
      <c r="H2893">
        <v>90</v>
      </c>
      <c r="I2893">
        <v>3</v>
      </c>
      <c r="J2893">
        <v>3.05</v>
      </c>
      <c r="K2893">
        <v>19764</v>
      </c>
    </row>
    <row r="2894" spans="1:11" x14ac:dyDescent="0.2">
      <c r="B2894">
        <v>105293</v>
      </c>
      <c r="C2894" t="s">
        <v>6495</v>
      </c>
      <c r="D2894">
        <v>11</v>
      </c>
      <c r="E2894">
        <v>14</v>
      </c>
      <c r="F2894">
        <v>0</v>
      </c>
      <c r="G2894">
        <v>0</v>
      </c>
      <c r="H2894">
        <v>32</v>
      </c>
      <c r="I2894">
        <v>0</v>
      </c>
      <c r="J2894">
        <v>1.99</v>
      </c>
      <c r="K2894">
        <v>0</v>
      </c>
    </row>
    <row r="2895" spans="1:11" x14ac:dyDescent="0.2">
      <c r="A2895">
        <v>93158</v>
      </c>
      <c r="B2895">
        <v>105419</v>
      </c>
      <c r="C2895" t="s">
        <v>6496</v>
      </c>
      <c r="D2895">
        <v>10</v>
      </c>
      <c r="E2895">
        <v>18</v>
      </c>
      <c r="F2895">
        <v>0</v>
      </c>
      <c r="G2895">
        <v>0</v>
      </c>
      <c r="H2895">
        <v>32</v>
      </c>
      <c r="I2895">
        <v>0</v>
      </c>
      <c r="J2895">
        <v>3.19</v>
      </c>
      <c r="K2895">
        <v>0</v>
      </c>
    </row>
    <row r="2896" spans="1:11" x14ac:dyDescent="0.2">
      <c r="A2896">
        <v>33607</v>
      </c>
      <c r="B2896">
        <v>105471</v>
      </c>
      <c r="C2896" t="s">
        <v>6497</v>
      </c>
      <c r="D2896">
        <v>10</v>
      </c>
      <c r="E2896">
        <v>24</v>
      </c>
      <c r="F2896">
        <v>0</v>
      </c>
      <c r="G2896">
        <v>0</v>
      </c>
      <c r="H2896">
        <v>24</v>
      </c>
      <c r="I2896">
        <v>0</v>
      </c>
      <c r="J2896">
        <v>1.59</v>
      </c>
      <c r="K2896">
        <v>0</v>
      </c>
    </row>
    <row r="2897" spans="1:12" x14ac:dyDescent="0.2">
      <c r="A2897">
        <v>72072</v>
      </c>
      <c r="B2897">
        <v>105484</v>
      </c>
      <c r="C2897" t="s">
        <v>6498</v>
      </c>
      <c r="D2897">
        <v>8</v>
      </c>
      <c r="E2897">
        <v>48</v>
      </c>
      <c r="F2897">
        <v>335</v>
      </c>
      <c r="G2897">
        <v>16080</v>
      </c>
      <c r="H2897">
        <v>72</v>
      </c>
      <c r="I2897">
        <v>4.7</v>
      </c>
      <c r="J2897">
        <v>1.49</v>
      </c>
      <c r="K2897">
        <v>23959.200000000001</v>
      </c>
    </row>
    <row r="2898" spans="1:12" x14ac:dyDescent="0.2">
      <c r="A2898">
        <v>81210</v>
      </c>
      <c r="B2898">
        <v>105503</v>
      </c>
      <c r="C2898" t="s">
        <v>6499</v>
      </c>
      <c r="D2898">
        <v>8</v>
      </c>
      <c r="E2898">
        <v>12</v>
      </c>
      <c r="F2898">
        <v>133</v>
      </c>
      <c r="G2898">
        <v>1596</v>
      </c>
      <c r="H2898">
        <v>120</v>
      </c>
      <c r="I2898">
        <v>1.1000000000000001</v>
      </c>
      <c r="J2898">
        <v>2.09</v>
      </c>
      <c r="K2898">
        <v>3335.64</v>
      </c>
    </row>
    <row r="2899" spans="1:12" x14ac:dyDescent="0.2">
      <c r="A2899">
        <v>2516</v>
      </c>
      <c r="B2899">
        <v>105544</v>
      </c>
      <c r="C2899" t="s">
        <v>6500</v>
      </c>
      <c r="D2899">
        <v>6</v>
      </c>
      <c r="E2899">
        <v>6</v>
      </c>
      <c r="F2899">
        <v>0</v>
      </c>
      <c r="G2899">
        <v>0</v>
      </c>
      <c r="H2899">
        <v>76</v>
      </c>
      <c r="I2899">
        <v>0</v>
      </c>
      <c r="J2899">
        <v>1.75</v>
      </c>
      <c r="K2899">
        <v>0</v>
      </c>
    </row>
    <row r="2900" spans="1:12" x14ac:dyDescent="0.2">
      <c r="B2900">
        <v>105602</v>
      </c>
      <c r="C2900" t="s">
        <v>6501</v>
      </c>
      <c r="D2900">
        <v>12</v>
      </c>
      <c r="E2900">
        <v>8</v>
      </c>
      <c r="F2900">
        <v>0</v>
      </c>
      <c r="G2900">
        <v>0</v>
      </c>
      <c r="H2900">
        <v>50</v>
      </c>
      <c r="I2900">
        <v>0</v>
      </c>
      <c r="J2900">
        <v>1</v>
      </c>
      <c r="K2900">
        <v>0</v>
      </c>
    </row>
    <row r="2901" spans="1:12" x14ac:dyDescent="0.2">
      <c r="B2901">
        <v>105741</v>
      </c>
      <c r="C2901" t="s">
        <v>6502</v>
      </c>
      <c r="D2901">
        <v>11</v>
      </c>
      <c r="E2901">
        <v>12</v>
      </c>
      <c r="F2901">
        <v>0</v>
      </c>
      <c r="G2901">
        <v>0</v>
      </c>
      <c r="H2901">
        <v>104</v>
      </c>
      <c r="I2901">
        <v>0</v>
      </c>
      <c r="J2901">
        <v>1.49</v>
      </c>
      <c r="K2901">
        <v>0</v>
      </c>
    </row>
    <row r="2902" spans="1:12" x14ac:dyDescent="0.2">
      <c r="A2902">
        <v>89007</v>
      </c>
      <c r="B2902">
        <v>105779</v>
      </c>
      <c r="C2902" t="s">
        <v>6503</v>
      </c>
      <c r="D2902">
        <v>8</v>
      </c>
      <c r="E2902">
        <v>10</v>
      </c>
      <c r="F2902">
        <v>216</v>
      </c>
      <c r="G2902">
        <v>2160</v>
      </c>
      <c r="H2902">
        <v>54</v>
      </c>
      <c r="I2902">
        <v>4</v>
      </c>
      <c r="J2902">
        <v>1.25</v>
      </c>
      <c r="K2902">
        <v>2700</v>
      </c>
    </row>
    <row r="2903" spans="1:12" x14ac:dyDescent="0.2">
      <c r="A2903">
        <v>93224</v>
      </c>
      <c r="B2903">
        <v>105830</v>
      </c>
      <c r="C2903" t="s">
        <v>6504</v>
      </c>
      <c r="D2903">
        <v>6</v>
      </c>
      <c r="E2903">
        <v>6</v>
      </c>
      <c r="F2903">
        <v>0</v>
      </c>
      <c r="G2903">
        <v>0</v>
      </c>
      <c r="H2903">
        <v>8</v>
      </c>
      <c r="I2903">
        <v>0</v>
      </c>
      <c r="J2903">
        <v>9.99</v>
      </c>
      <c r="K2903">
        <v>0</v>
      </c>
    </row>
    <row r="2904" spans="1:12" x14ac:dyDescent="0.2">
      <c r="B2904">
        <v>105959</v>
      </c>
      <c r="C2904" t="s">
        <v>6505</v>
      </c>
      <c r="D2904">
        <v>10</v>
      </c>
      <c r="E2904">
        <v>6</v>
      </c>
      <c r="F2904">
        <v>0</v>
      </c>
      <c r="G2904">
        <v>0</v>
      </c>
      <c r="H2904">
        <v>105</v>
      </c>
      <c r="I2904">
        <v>0</v>
      </c>
      <c r="J2904">
        <v>4.99</v>
      </c>
      <c r="K2904">
        <v>0</v>
      </c>
    </row>
    <row r="2905" spans="1:12" x14ac:dyDescent="0.2">
      <c r="B2905">
        <v>105973</v>
      </c>
      <c r="C2905" t="s">
        <v>6506</v>
      </c>
      <c r="D2905">
        <v>12</v>
      </c>
      <c r="E2905">
        <v>6</v>
      </c>
      <c r="F2905">
        <v>0</v>
      </c>
      <c r="G2905">
        <v>0</v>
      </c>
      <c r="H2905">
        <v>105</v>
      </c>
      <c r="I2905">
        <v>0</v>
      </c>
      <c r="J2905">
        <v>9</v>
      </c>
      <c r="K2905">
        <v>0</v>
      </c>
      <c r="L2905" t="s">
        <v>3699</v>
      </c>
    </row>
    <row r="2906" spans="1:12" x14ac:dyDescent="0.2">
      <c r="A2906">
        <v>57644</v>
      </c>
      <c r="B2906">
        <v>106092</v>
      </c>
      <c r="C2906" t="s">
        <v>6507</v>
      </c>
      <c r="D2906">
        <v>10</v>
      </c>
      <c r="E2906">
        <v>1</v>
      </c>
      <c r="F2906">
        <v>128</v>
      </c>
      <c r="G2906">
        <v>128</v>
      </c>
      <c r="H2906">
        <v>117</v>
      </c>
      <c r="I2906">
        <v>1.1000000000000001</v>
      </c>
      <c r="J2906">
        <v>2.69</v>
      </c>
      <c r="K2906">
        <v>344.32</v>
      </c>
    </row>
    <row r="2907" spans="1:12" x14ac:dyDescent="0.2">
      <c r="A2907">
        <v>72144</v>
      </c>
      <c r="B2907">
        <v>106131</v>
      </c>
      <c r="C2907" t="s">
        <v>6508</v>
      </c>
      <c r="D2907">
        <v>8</v>
      </c>
      <c r="E2907">
        <v>12</v>
      </c>
      <c r="F2907">
        <v>866</v>
      </c>
      <c r="G2907">
        <v>10392</v>
      </c>
      <c r="H2907">
        <v>72</v>
      </c>
      <c r="I2907">
        <v>12</v>
      </c>
      <c r="J2907">
        <v>3.55</v>
      </c>
      <c r="K2907">
        <v>36891.599999999999</v>
      </c>
    </row>
    <row r="2908" spans="1:12" x14ac:dyDescent="0.2">
      <c r="A2908">
        <v>4607</v>
      </c>
      <c r="B2908">
        <v>106210</v>
      </c>
      <c r="C2908" t="s">
        <v>6509</v>
      </c>
      <c r="D2908">
        <v>6</v>
      </c>
      <c r="E2908">
        <v>12</v>
      </c>
      <c r="F2908">
        <v>0</v>
      </c>
      <c r="G2908">
        <v>0</v>
      </c>
      <c r="H2908">
        <v>144</v>
      </c>
      <c r="I2908">
        <v>0</v>
      </c>
      <c r="J2908">
        <v>2.89</v>
      </c>
      <c r="K2908">
        <v>0</v>
      </c>
    </row>
    <row r="2909" spans="1:12" x14ac:dyDescent="0.2">
      <c r="A2909">
        <v>72225</v>
      </c>
      <c r="B2909">
        <v>106265</v>
      </c>
      <c r="C2909" t="s">
        <v>6510</v>
      </c>
      <c r="D2909">
        <v>8</v>
      </c>
      <c r="E2909">
        <v>20</v>
      </c>
      <c r="F2909">
        <v>122</v>
      </c>
      <c r="G2909">
        <v>2440</v>
      </c>
      <c r="H2909">
        <v>80</v>
      </c>
      <c r="I2909">
        <v>1.5</v>
      </c>
      <c r="J2909">
        <v>0.75</v>
      </c>
      <c r="K2909">
        <v>1830</v>
      </c>
    </row>
    <row r="2910" spans="1:12" x14ac:dyDescent="0.2">
      <c r="B2910">
        <v>106337</v>
      </c>
      <c r="C2910" t="s">
        <v>6511</v>
      </c>
      <c r="D2910">
        <v>12</v>
      </c>
      <c r="E2910">
        <v>6</v>
      </c>
      <c r="F2910">
        <v>0</v>
      </c>
      <c r="G2910">
        <v>0</v>
      </c>
      <c r="H2910">
        <v>15</v>
      </c>
      <c r="I2910">
        <v>0</v>
      </c>
      <c r="J2910">
        <v>12.99</v>
      </c>
      <c r="K2910">
        <v>0</v>
      </c>
    </row>
    <row r="2911" spans="1:12" x14ac:dyDescent="0.2">
      <c r="B2911">
        <v>106427</v>
      </c>
      <c r="C2911" t="s">
        <v>6512</v>
      </c>
      <c r="D2911">
        <v>11</v>
      </c>
      <c r="E2911">
        <v>18</v>
      </c>
      <c r="F2911">
        <v>0</v>
      </c>
      <c r="G2911">
        <v>0</v>
      </c>
      <c r="H2911">
        <v>32</v>
      </c>
      <c r="I2911">
        <v>0</v>
      </c>
      <c r="J2911">
        <v>1.79</v>
      </c>
      <c r="K2911">
        <v>0</v>
      </c>
    </row>
    <row r="2912" spans="1:12" x14ac:dyDescent="0.2">
      <c r="A2912">
        <v>37513</v>
      </c>
      <c r="B2912">
        <v>106443</v>
      </c>
      <c r="C2912" t="s">
        <v>6513</v>
      </c>
      <c r="D2912">
        <v>10</v>
      </c>
      <c r="E2912">
        <v>10</v>
      </c>
      <c r="F2912">
        <v>0</v>
      </c>
      <c r="G2912">
        <v>0</v>
      </c>
      <c r="H2912">
        <v>90</v>
      </c>
      <c r="I2912">
        <v>0</v>
      </c>
      <c r="J2912">
        <v>1.99</v>
      </c>
      <c r="K2912">
        <v>0</v>
      </c>
    </row>
    <row r="2913" spans="1:11" x14ac:dyDescent="0.2">
      <c r="A2913">
        <v>57546</v>
      </c>
      <c r="B2913">
        <v>106473</v>
      </c>
      <c r="C2913" t="s">
        <v>6514</v>
      </c>
      <c r="D2913">
        <v>10</v>
      </c>
      <c r="E2913">
        <v>294</v>
      </c>
      <c r="F2913">
        <v>0</v>
      </c>
      <c r="G2913">
        <v>44</v>
      </c>
      <c r="H2913">
        <v>4</v>
      </c>
      <c r="I2913">
        <v>0</v>
      </c>
      <c r="J2913">
        <v>0.7</v>
      </c>
      <c r="K2913">
        <v>30.8</v>
      </c>
    </row>
    <row r="2914" spans="1:11" x14ac:dyDescent="0.2">
      <c r="B2914">
        <v>106476</v>
      </c>
      <c r="C2914" t="s">
        <v>6515</v>
      </c>
      <c r="D2914">
        <v>12</v>
      </c>
      <c r="E2914">
        <v>36</v>
      </c>
      <c r="F2914">
        <v>0</v>
      </c>
      <c r="G2914">
        <v>0</v>
      </c>
      <c r="H2914">
        <v>96</v>
      </c>
      <c r="I2914">
        <v>0</v>
      </c>
      <c r="J2914">
        <v>0.49</v>
      </c>
      <c r="K2914">
        <v>0</v>
      </c>
    </row>
    <row r="2915" spans="1:11" x14ac:dyDescent="0.2">
      <c r="A2915">
        <v>99184</v>
      </c>
      <c r="B2915">
        <v>106579</v>
      </c>
      <c r="C2915" t="s">
        <v>6516</v>
      </c>
      <c r="D2915">
        <v>12</v>
      </c>
      <c r="E2915">
        <v>30</v>
      </c>
      <c r="F2915">
        <v>0</v>
      </c>
      <c r="G2915">
        <v>0</v>
      </c>
      <c r="H2915">
        <v>20</v>
      </c>
      <c r="I2915">
        <v>0</v>
      </c>
      <c r="J2915">
        <v>1.1499999999999999</v>
      </c>
      <c r="K2915">
        <v>0</v>
      </c>
    </row>
    <row r="2916" spans="1:11" x14ac:dyDescent="0.2">
      <c r="A2916">
        <v>47606</v>
      </c>
      <c r="B2916">
        <v>106647</v>
      </c>
      <c r="C2916" t="s">
        <v>6517</v>
      </c>
      <c r="D2916">
        <v>10</v>
      </c>
      <c r="E2916">
        <v>12</v>
      </c>
      <c r="F2916">
        <v>3</v>
      </c>
      <c r="G2916">
        <v>36</v>
      </c>
      <c r="H2916">
        <v>162</v>
      </c>
      <c r="I2916">
        <v>0</v>
      </c>
      <c r="J2916">
        <v>3.29</v>
      </c>
      <c r="K2916">
        <v>118.44</v>
      </c>
    </row>
    <row r="2917" spans="1:11" x14ac:dyDescent="0.2">
      <c r="B2917">
        <v>106666</v>
      </c>
      <c r="C2917" t="s">
        <v>6518</v>
      </c>
      <c r="D2917">
        <v>11</v>
      </c>
      <c r="E2917">
        <v>12</v>
      </c>
      <c r="F2917">
        <v>-2</v>
      </c>
      <c r="G2917">
        <v>-24</v>
      </c>
      <c r="H2917">
        <v>28</v>
      </c>
      <c r="I2917">
        <v>-0.1</v>
      </c>
      <c r="J2917">
        <v>2.79</v>
      </c>
      <c r="K2917">
        <v>-66.959999999999994</v>
      </c>
    </row>
    <row r="2918" spans="1:11" x14ac:dyDescent="0.2">
      <c r="A2918">
        <v>93232</v>
      </c>
      <c r="B2918">
        <v>106979</v>
      </c>
      <c r="C2918" t="s">
        <v>6519</v>
      </c>
      <c r="D2918">
        <v>10</v>
      </c>
      <c r="E2918">
        <v>34</v>
      </c>
      <c r="F2918">
        <v>0</v>
      </c>
      <c r="G2918">
        <v>0</v>
      </c>
      <c r="H2918">
        <v>1</v>
      </c>
      <c r="I2918">
        <v>0</v>
      </c>
      <c r="J2918">
        <v>4.99</v>
      </c>
      <c r="K2918">
        <v>0</v>
      </c>
    </row>
    <row r="2919" spans="1:11" x14ac:dyDescent="0.2">
      <c r="B2919">
        <v>107124</v>
      </c>
      <c r="C2919" t="s">
        <v>6520</v>
      </c>
      <c r="D2919">
        <v>12</v>
      </c>
      <c r="E2919">
        <v>1</v>
      </c>
      <c r="F2919">
        <v>0</v>
      </c>
      <c r="G2919">
        <v>0</v>
      </c>
      <c r="H2919">
        <v>108</v>
      </c>
      <c r="I2919">
        <v>0</v>
      </c>
      <c r="J2919">
        <v>1.59</v>
      </c>
      <c r="K2919">
        <v>0</v>
      </c>
    </row>
    <row r="2920" spans="1:11" x14ac:dyDescent="0.2">
      <c r="A2920">
        <v>93088</v>
      </c>
      <c r="B2920">
        <v>107124</v>
      </c>
      <c r="C2920" t="s">
        <v>6520</v>
      </c>
      <c r="D2920">
        <v>10</v>
      </c>
      <c r="E2920">
        <v>108</v>
      </c>
      <c r="F2920">
        <v>0</v>
      </c>
      <c r="G2920">
        <v>0</v>
      </c>
      <c r="H2920">
        <v>1</v>
      </c>
      <c r="I2920">
        <v>0</v>
      </c>
      <c r="J2920">
        <v>1.59</v>
      </c>
      <c r="K2920">
        <v>0</v>
      </c>
    </row>
    <row r="2921" spans="1:11" x14ac:dyDescent="0.2">
      <c r="B2921">
        <v>107126</v>
      </c>
      <c r="C2921" t="s">
        <v>6521</v>
      </c>
      <c r="D2921">
        <v>12</v>
      </c>
      <c r="E2921">
        <v>1</v>
      </c>
      <c r="F2921">
        <v>0</v>
      </c>
      <c r="G2921">
        <v>0</v>
      </c>
      <c r="H2921">
        <v>42</v>
      </c>
      <c r="I2921">
        <v>0</v>
      </c>
      <c r="J2921">
        <v>3.99</v>
      </c>
      <c r="K2921">
        <v>0</v>
      </c>
    </row>
    <row r="2922" spans="1:11" x14ac:dyDescent="0.2">
      <c r="A2922">
        <v>93320</v>
      </c>
      <c r="B2922">
        <v>107126</v>
      </c>
      <c r="C2922" t="s">
        <v>6521</v>
      </c>
      <c r="D2922">
        <v>10</v>
      </c>
      <c r="E2922">
        <v>42</v>
      </c>
      <c r="F2922">
        <v>1</v>
      </c>
      <c r="G2922">
        <v>42</v>
      </c>
      <c r="H2922">
        <v>1</v>
      </c>
      <c r="I2922">
        <v>1</v>
      </c>
      <c r="J2922">
        <v>3.99</v>
      </c>
      <c r="K2922">
        <v>167.58</v>
      </c>
    </row>
    <row r="2923" spans="1:11" x14ac:dyDescent="0.2">
      <c r="A2923">
        <v>69182</v>
      </c>
      <c r="B2923">
        <v>107183</v>
      </c>
      <c r="C2923" t="s">
        <v>6522</v>
      </c>
      <c r="D2923">
        <v>8</v>
      </c>
      <c r="E2923">
        <v>11</v>
      </c>
      <c r="F2923">
        <v>1179</v>
      </c>
      <c r="G2923">
        <v>12969</v>
      </c>
      <c r="H2923">
        <v>120</v>
      </c>
      <c r="I2923">
        <v>9.8000000000000007</v>
      </c>
      <c r="J2923">
        <v>0.96</v>
      </c>
      <c r="K2923">
        <v>12450.24</v>
      </c>
    </row>
    <row r="2924" spans="1:11" x14ac:dyDescent="0.2">
      <c r="A2924">
        <v>83237</v>
      </c>
      <c r="B2924">
        <v>107220</v>
      </c>
      <c r="C2924" t="s">
        <v>6523</v>
      </c>
      <c r="D2924">
        <v>8</v>
      </c>
      <c r="E2924">
        <v>18</v>
      </c>
      <c r="F2924">
        <v>181</v>
      </c>
      <c r="G2924">
        <v>3258</v>
      </c>
      <c r="H2924">
        <v>72</v>
      </c>
      <c r="I2924">
        <v>2.5</v>
      </c>
      <c r="J2924">
        <v>1.49</v>
      </c>
      <c r="K2924">
        <v>4854.42</v>
      </c>
    </row>
    <row r="2925" spans="1:11" x14ac:dyDescent="0.2">
      <c r="A2925">
        <v>93119</v>
      </c>
      <c r="B2925">
        <v>107343</v>
      </c>
      <c r="C2925" t="s">
        <v>6524</v>
      </c>
      <c r="D2925">
        <v>10</v>
      </c>
      <c r="E2925">
        <v>16</v>
      </c>
      <c r="F2925">
        <v>0</v>
      </c>
      <c r="G2925">
        <v>0</v>
      </c>
      <c r="H2925">
        <v>24</v>
      </c>
      <c r="I2925">
        <v>0</v>
      </c>
      <c r="J2925">
        <v>1.99</v>
      </c>
      <c r="K2925">
        <v>0</v>
      </c>
    </row>
    <row r="2926" spans="1:11" x14ac:dyDescent="0.2">
      <c r="A2926">
        <v>93272</v>
      </c>
      <c r="B2926">
        <v>107353</v>
      </c>
      <c r="C2926" t="s">
        <v>6525</v>
      </c>
      <c r="D2926">
        <v>10</v>
      </c>
      <c r="E2926">
        <v>18</v>
      </c>
      <c r="F2926">
        <v>0</v>
      </c>
      <c r="G2926">
        <v>0</v>
      </c>
      <c r="H2926">
        <v>28</v>
      </c>
      <c r="I2926">
        <v>0</v>
      </c>
      <c r="J2926">
        <v>1.79</v>
      </c>
      <c r="K2926">
        <v>0</v>
      </c>
    </row>
    <row r="2927" spans="1:11" x14ac:dyDescent="0.2">
      <c r="A2927">
        <v>93280</v>
      </c>
      <c r="B2927">
        <v>107358</v>
      </c>
      <c r="C2927" t="s">
        <v>6525</v>
      </c>
      <c r="D2927">
        <v>10</v>
      </c>
      <c r="E2927">
        <v>16</v>
      </c>
      <c r="F2927">
        <v>0</v>
      </c>
      <c r="G2927">
        <v>0</v>
      </c>
      <c r="H2927">
        <v>24</v>
      </c>
      <c r="I2927">
        <v>0</v>
      </c>
      <c r="J2927">
        <v>1.79</v>
      </c>
      <c r="K2927">
        <v>0</v>
      </c>
    </row>
    <row r="2928" spans="1:11" x14ac:dyDescent="0.2">
      <c r="A2928">
        <v>93282</v>
      </c>
      <c r="B2928">
        <v>107359</v>
      </c>
      <c r="C2928" t="s">
        <v>6526</v>
      </c>
      <c r="D2928">
        <v>10</v>
      </c>
      <c r="E2928">
        <v>48</v>
      </c>
      <c r="F2928">
        <v>0</v>
      </c>
      <c r="G2928">
        <v>0</v>
      </c>
      <c r="H2928">
        <v>1</v>
      </c>
      <c r="I2928">
        <v>0</v>
      </c>
      <c r="J2928">
        <v>2.99</v>
      </c>
      <c r="K2928">
        <v>0</v>
      </c>
    </row>
    <row r="2929" spans="1:11" x14ac:dyDescent="0.2">
      <c r="A2929">
        <v>62232</v>
      </c>
      <c r="B2929">
        <v>107378</v>
      </c>
      <c r="C2929" t="s">
        <v>6527</v>
      </c>
      <c r="D2929">
        <v>8</v>
      </c>
      <c r="E2929">
        <v>12</v>
      </c>
      <c r="F2929">
        <v>938</v>
      </c>
      <c r="G2929">
        <v>11256</v>
      </c>
      <c r="H2929">
        <v>70</v>
      </c>
      <c r="I2929">
        <v>13.4</v>
      </c>
      <c r="J2929">
        <v>0.75</v>
      </c>
      <c r="K2929">
        <v>8442</v>
      </c>
    </row>
    <row r="2930" spans="1:11" x14ac:dyDescent="0.2">
      <c r="A2930">
        <v>35808</v>
      </c>
      <c r="B2930">
        <v>107822</v>
      </c>
      <c r="C2930" t="s">
        <v>6528</v>
      </c>
      <c r="D2930">
        <v>10</v>
      </c>
      <c r="E2930">
        <v>23</v>
      </c>
      <c r="F2930">
        <v>0</v>
      </c>
      <c r="G2930">
        <v>0</v>
      </c>
      <c r="H2930">
        <v>50</v>
      </c>
      <c r="I2930">
        <v>0</v>
      </c>
      <c r="J2930">
        <v>3.99</v>
      </c>
      <c r="K2930">
        <v>0</v>
      </c>
    </row>
    <row r="2931" spans="1:11" x14ac:dyDescent="0.2">
      <c r="A2931">
        <v>45628</v>
      </c>
      <c r="B2931">
        <v>107860</v>
      </c>
      <c r="C2931" t="s">
        <v>6529</v>
      </c>
      <c r="D2931">
        <v>10</v>
      </c>
      <c r="E2931">
        <v>24</v>
      </c>
      <c r="F2931">
        <v>0</v>
      </c>
      <c r="G2931">
        <v>0</v>
      </c>
      <c r="H2931">
        <v>56</v>
      </c>
      <c r="I2931">
        <v>0</v>
      </c>
      <c r="J2931">
        <v>4.49</v>
      </c>
      <c r="K2931">
        <v>0</v>
      </c>
    </row>
    <row r="2932" spans="1:11" x14ac:dyDescent="0.2">
      <c r="A2932">
        <v>57162</v>
      </c>
      <c r="B2932">
        <v>108087</v>
      </c>
      <c r="C2932" t="s">
        <v>6530</v>
      </c>
      <c r="D2932">
        <v>11</v>
      </c>
      <c r="E2932">
        <v>1</v>
      </c>
      <c r="F2932">
        <v>0</v>
      </c>
      <c r="G2932">
        <v>0</v>
      </c>
      <c r="H2932">
        <v>1280</v>
      </c>
      <c r="I2932">
        <v>0</v>
      </c>
      <c r="J2932">
        <v>0.9</v>
      </c>
      <c r="K2932">
        <v>0</v>
      </c>
    </row>
    <row r="2933" spans="1:11" x14ac:dyDescent="0.2">
      <c r="A2933">
        <v>89023</v>
      </c>
      <c r="B2933">
        <v>108229</v>
      </c>
      <c r="C2933" t="s">
        <v>6531</v>
      </c>
      <c r="D2933">
        <v>8</v>
      </c>
      <c r="E2933">
        <v>10</v>
      </c>
      <c r="F2933">
        <v>72</v>
      </c>
      <c r="G2933">
        <v>720</v>
      </c>
      <c r="H2933">
        <v>72</v>
      </c>
      <c r="I2933">
        <v>1</v>
      </c>
      <c r="J2933">
        <v>1.89</v>
      </c>
      <c r="K2933">
        <v>1360.8</v>
      </c>
    </row>
    <row r="2934" spans="1:11" x14ac:dyDescent="0.2">
      <c r="A2934">
        <v>80061</v>
      </c>
      <c r="B2934">
        <v>108322</v>
      </c>
      <c r="C2934" t="s">
        <v>6532</v>
      </c>
      <c r="D2934">
        <v>8</v>
      </c>
      <c r="E2934">
        <v>4</v>
      </c>
      <c r="F2934">
        <v>632</v>
      </c>
      <c r="G2934">
        <v>2527</v>
      </c>
      <c r="H2934">
        <v>99</v>
      </c>
      <c r="I2934">
        <v>6.4</v>
      </c>
      <c r="J2934">
        <v>2.67</v>
      </c>
      <c r="K2934">
        <v>6747.09</v>
      </c>
    </row>
    <row r="2935" spans="1:11" x14ac:dyDescent="0.2">
      <c r="B2935">
        <v>108323</v>
      </c>
      <c r="C2935" t="s">
        <v>6533</v>
      </c>
      <c r="D2935">
        <v>10</v>
      </c>
      <c r="E2935">
        <v>8</v>
      </c>
      <c r="F2935">
        <v>0</v>
      </c>
      <c r="G2935">
        <v>0</v>
      </c>
      <c r="H2935">
        <v>80</v>
      </c>
      <c r="I2935">
        <v>0</v>
      </c>
      <c r="J2935">
        <v>1.39</v>
      </c>
      <c r="K2935">
        <v>0</v>
      </c>
    </row>
    <row r="2936" spans="1:11" x14ac:dyDescent="0.2">
      <c r="A2936">
        <v>86063</v>
      </c>
      <c r="B2936">
        <v>108394</v>
      </c>
      <c r="C2936" t="s">
        <v>6534</v>
      </c>
      <c r="D2936">
        <v>8</v>
      </c>
      <c r="E2936">
        <v>10</v>
      </c>
      <c r="F2936">
        <v>288</v>
      </c>
      <c r="G2936">
        <v>2880</v>
      </c>
      <c r="H2936">
        <v>72</v>
      </c>
      <c r="I2936">
        <v>4</v>
      </c>
      <c r="J2936">
        <v>1.05</v>
      </c>
      <c r="K2936">
        <v>3024</v>
      </c>
    </row>
    <row r="2937" spans="1:11" x14ac:dyDescent="0.2">
      <c r="A2937">
        <v>4512</v>
      </c>
      <c r="B2937">
        <v>108408</v>
      </c>
      <c r="C2937" t="s">
        <v>6535</v>
      </c>
      <c r="D2937">
        <v>6</v>
      </c>
      <c r="E2937">
        <v>20</v>
      </c>
      <c r="F2937">
        <v>3</v>
      </c>
      <c r="G2937">
        <v>60</v>
      </c>
      <c r="H2937">
        <v>96</v>
      </c>
      <c r="I2937">
        <v>0</v>
      </c>
      <c r="J2937">
        <v>0.99</v>
      </c>
      <c r="K2937">
        <v>59.4</v>
      </c>
    </row>
    <row r="2938" spans="1:11" x14ac:dyDescent="0.2">
      <c r="A2938">
        <v>93193</v>
      </c>
      <c r="B2938">
        <v>108493</v>
      </c>
      <c r="C2938" t="s">
        <v>6536</v>
      </c>
      <c r="D2938">
        <v>10</v>
      </c>
      <c r="E2938">
        <v>20</v>
      </c>
      <c r="F2938">
        <v>0</v>
      </c>
      <c r="G2938">
        <v>0</v>
      </c>
      <c r="H2938">
        <v>1</v>
      </c>
      <c r="I2938">
        <v>0</v>
      </c>
      <c r="J2938">
        <v>4.99</v>
      </c>
      <c r="K2938">
        <v>0</v>
      </c>
    </row>
    <row r="2939" spans="1:11" x14ac:dyDescent="0.2">
      <c r="A2939">
        <v>87060</v>
      </c>
      <c r="B2939">
        <v>108517</v>
      </c>
      <c r="C2939" t="s">
        <v>4951</v>
      </c>
      <c r="D2939">
        <v>8</v>
      </c>
      <c r="E2939">
        <v>16</v>
      </c>
      <c r="F2939">
        <v>63</v>
      </c>
      <c r="G2939">
        <v>1008</v>
      </c>
      <c r="H2939">
        <v>63</v>
      </c>
      <c r="I2939">
        <v>1</v>
      </c>
      <c r="J2939">
        <v>1.66</v>
      </c>
      <c r="K2939">
        <v>1673.28</v>
      </c>
    </row>
    <row r="2940" spans="1:11" x14ac:dyDescent="0.2">
      <c r="A2940">
        <v>99116</v>
      </c>
      <c r="B2940">
        <v>108548</v>
      </c>
      <c r="C2940" t="s">
        <v>6537</v>
      </c>
      <c r="D2940">
        <v>10</v>
      </c>
      <c r="E2940">
        <v>12</v>
      </c>
      <c r="F2940">
        <v>0</v>
      </c>
      <c r="G2940">
        <v>0</v>
      </c>
      <c r="H2940">
        <v>63</v>
      </c>
      <c r="I2940">
        <v>0</v>
      </c>
      <c r="J2940">
        <v>1.99</v>
      </c>
      <c r="K2940">
        <v>0</v>
      </c>
    </row>
    <row r="2941" spans="1:11" x14ac:dyDescent="0.2">
      <c r="A2941">
        <v>93208</v>
      </c>
      <c r="B2941">
        <v>108599</v>
      </c>
      <c r="C2941" t="s">
        <v>6496</v>
      </c>
      <c r="D2941">
        <v>6</v>
      </c>
      <c r="E2941">
        <v>10</v>
      </c>
      <c r="F2941">
        <v>0</v>
      </c>
      <c r="G2941">
        <v>0</v>
      </c>
      <c r="H2941">
        <v>20</v>
      </c>
      <c r="I2941">
        <v>0</v>
      </c>
      <c r="J2941">
        <v>5.99</v>
      </c>
      <c r="K2941">
        <v>0</v>
      </c>
    </row>
    <row r="2942" spans="1:11" x14ac:dyDescent="0.2">
      <c r="A2942">
        <v>93216</v>
      </c>
      <c r="B2942">
        <v>108605</v>
      </c>
      <c r="C2942" t="s">
        <v>6538</v>
      </c>
      <c r="D2942">
        <v>10</v>
      </c>
      <c r="E2942">
        <v>42</v>
      </c>
      <c r="F2942">
        <v>0</v>
      </c>
      <c r="G2942">
        <v>0</v>
      </c>
      <c r="H2942">
        <v>12</v>
      </c>
      <c r="I2942">
        <v>0</v>
      </c>
      <c r="J2942">
        <v>6.99</v>
      </c>
      <c r="K2942">
        <v>0</v>
      </c>
    </row>
    <row r="2943" spans="1:11" x14ac:dyDescent="0.2">
      <c r="A2943">
        <v>99320</v>
      </c>
      <c r="B2943">
        <v>108634</v>
      </c>
      <c r="C2943" t="s">
        <v>6539</v>
      </c>
      <c r="D2943">
        <v>11</v>
      </c>
      <c r="E2943">
        <v>20</v>
      </c>
      <c r="F2943">
        <v>0</v>
      </c>
      <c r="G2943">
        <v>0</v>
      </c>
      <c r="H2943">
        <v>49</v>
      </c>
      <c r="I2943">
        <v>0</v>
      </c>
      <c r="J2943">
        <v>6.99</v>
      </c>
      <c r="K2943">
        <v>0</v>
      </c>
    </row>
    <row r="2944" spans="1:11" x14ac:dyDescent="0.2">
      <c r="A2944">
        <v>95101</v>
      </c>
      <c r="B2944">
        <v>108636</v>
      </c>
      <c r="C2944" t="s">
        <v>6540</v>
      </c>
      <c r="D2944">
        <v>8</v>
      </c>
      <c r="E2944">
        <v>6</v>
      </c>
      <c r="F2944">
        <v>9040</v>
      </c>
      <c r="G2944">
        <v>54240</v>
      </c>
      <c r="H2944">
        <v>80</v>
      </c>
      <c r="I2944">
        <v>113</v>
      </c>
      <c r="J2944">
        <v>0.25</v>
      </c>
      <c r="K2944">
        <v>13560</v>
      </c>
    </row>
    <row r="2945" spans="1:11" x14ac:dyDescent="0.2">
      <c r="A2945">
        <v>47681</v>
      </c>
      <c r="B2945">
        <v>108674</v>
      </c>
      <c r="C2945" t="s">
        <v>6541</v>
      </c>
      <c r="D2945">
        <v>10</v>
      </c>
      <c r="E2945">
        <v>12</v>
      </c>
      <c r="F2945">
        <v>9</v>
      </c>
      <c r="G2945">
        <v>108</v>
      </c>
      <c r="H2945">
        <v>120</v>
      </c>
      <c r="I2945">
        <v>0.1</v>
      </c>
      <c r="J2945">
        <v>3.99</v>
      </c>
      <c r="K2945">
        <v>430.92</v>
      </c>
    </row>
    <row r="2946" spans="1:11" x14ac:dyDescent="0.2">
      <c r="A2946">
        <v>99072</v>
      </c>
      <c r="B2946">
        <v>108880</v>
      </c>
      <c r="C2946" t="s">
        <v>6542</v>
      </c>
      <c r="D2946">
        <v>10</v>
      </c>
      <c r="E2946">
        <v>20</v>
      </c>
      <c r="F2946">
        <v>0</v>
      </c>
      <c r="G2946">
        <v>0</v>
      </c>
      <c r="H2946">
        <v>81</v>
      </c>
      <c r="I2946">
        <v>0</v>
      </c>
      <c r="J2946">
        <v>2.19</v>
      </c>
      <c r="K2946">
        <v>0</v>
      </c>
    </row>
    <row r="2947" spans="1:11" x14ac:dyDescent="0.2">
      <c r="A2947">
        <v>99979</v>
      </c>
      <c r="B2947">
        <v>108921</v>
      </c>
      <c r="C2947" t="s">
        <v>6543</v>
      </c>
      <c r="D2947">
        <v>6</v>
      </c>
      <c r="E2947">
        <v>6</v>
      </c>
      <c r="F2947">
        <v>0</v>
      </c>
      <c r="G2947">
        <v>0</v>
      </c>
      <c r="H2947">
        <v>48</v>
      </c>
      <c r="I2947">
        <v>0</v>
      </c>
      <c r="J2947">
        <v>4.29</v>
      </c>
      <c r="K2947">
        <v>0</v>
      </c>
    </row>
    <row r="2948" spans="1:11" x14ac:dyDescent="0.2">
      <c r="A2948">
        <v>81082</v>
      </c>
      <c r="B2948">
        <v>108990</v>
      </c>
      <c r="C2948" t="s">
        <v>6544</v>
      </c>
      <c r="D2948">
        <v>8</v>
      </c>
      <c r="E2948">
        <v>16</v>
      </c>
      <c r="F2948">
        <v>252</v>
      </c>
      <c r="G2948">
        <v>4032</v>
      </c>
      <c r="H2948">
        <v>72</v>
      </c>
      <c r="I2948">
        <v>3.5</v>
      </c>
      <c r="J2948">
        <v>1.29</v>
      </c>
      <c r="K2948">
        <v>5201.28</v>
      </c>
    </row>
    <row r="2949" spans="1:11" x14ac:dyDescent="0.2">
      <c r="A2949">
        <v>72085</v>
      </c>
      <c r="B2949">
        <v>108999</v>
      </c>
      <c r="C2949" t="s">
        <v>6545</v>
      </c>
      <c r="D2949">
        <v>8</v>
      </c>
      <c r="E2949">
        <v>30</v>
      </c>
      <c r="F2949">
        <v>843</v>
      </c>
      <c r="G2949">
        <v>25290</v>
      </c>
      <c r="H2949">
        <v>72</v>
      </c>
      <c r="I2949">
        <v>11.7</v>
      </c>
      <c r="J2949">
        <v>0.79</v>
      </c>
      <c r="K2949">
        <v>19979.099999999999</v>
      </c>
    </row>
    <row r="2950" spans="1:11" x14ac:dyDescent="0.2">
      <c r="A2950">
        <v>62041</v>
      </c>
      <c r="B2950">
        <v>109033</v>
      </c>
      <c r="C2950" t="s">
        <v>6546</v>
      </c>
      <c r="D2950">
        <v>8</v>
      </c>
      <c r="E2950">
        <v>6</v>
      </c>
      <c r="F2950">
        <v>499</v>
      </c>
      <c r="G2950">
        <v>2994</v>
      </c>
      <c r="H2950">
        <v>95</v>
      </c>
      <c r="I2950">
        <v>5.3</v>
      </c>
      <c r="J2950">
        <v>13.99</v>
      </c>
      <c r="K2950">
        <v>41886.06</v>
      </c>
    </row>
    <row r="2951" spans="1:11" x14ac:dyDescent="0.2">
      <c r="A2951">
        <v>76246</v>
      </c>
      <c r="B2951">
        <v>109156</v>
      </c>
      <c r="C2951" t="s">
        <v>6547</v>
      </c>
      <c r="D2951">
        <v>8</v>
      </c>
      <c r="E2951">
        <v>14</v>
      </c>
      <c r="F2951">
        <v>109</v>
      </c>
      <c r="G2951">
        <v>1528</v>
      </c>
      <c r="H2951">
        <v>48</v>
      </c>
      <c r="I2951">
        <v>2.2999999999999998</v>
      </c>
      <c r="J2951">
        <v>0.67</v>
      </c>
      <c r="K2951">
        <v>1023.76</v>
      </c>
    </row>
    <row r="2952" spans="1:11" x14ac:dyDescent="0.2">
      <c r="A2952">
        <v>71274</v>
      </c>
      <c r="B2952">
        <v>109175</v>
      </c>
      <c r="C2952" t="s">
        <v>6548</v>
      </c>
      <c r="D2952">
        <v>8</v>
      </c>
      <c r="E2952">
        <v>6</v>
      </c>
      <c r="F2952">
        <v>550</v>
      </c>
      <c r="G2952">
        <v>3300</v>
      </c>
      <c r="H2952">
        <v>80</v>
      </c>
      <c r="I2952">
        <v>6.9</v>
      </c>
      <c r="J2952">
        <v>0.79</v>
      </c>
      <c r="K2952">
        <v>2607</v>
      </c>
    </row>
    <row r="2953" spans="1:11" x14ac:dyDescent="0.2">
      <c r="B2953">
        <v>109175</v>
      </c>
      <c r="C2953" t="s">
        <v>6548</v>
      </c>
      <c r="D2953">
        <v>12</v>
      </c>
      <c r="E2953">
        <v>240</v>
      </c>
      <c r="F2953">
        <v>0</v>
      </c>
      <c r="G2953">
        <v>0</v>
      </c>
      <c r="H2953">
        <v>2</v>
      </c>
      <c r="I2953">
        <v>0</v>
      </c>
      <c r="J2953">
        <v>0.79</v>
      </c>
      <c r="K2953">
        <v>0</v>
      </c>
    </row>
    <row r="2954" spans="1:11" x14ac:dyDescent="0.2">
      <c r="A2954">
        <v>57382</v>
      </c>
      <c r="B2954">
        <v>109428</v>
      </c>
      <c r="C2954" t="s">
        <v>6549</v>
      </c>
      <c r="D2954">
        <v>10</v>
      </c>
      <c r="E2954">
        <v>20</v>
      </c>
      <c r="F2954">
        <v>0</v>
      </c>
      <c r="G2954">
        <v>0</v>
      </c>
      <c r="H2954">
        <v>72</v>
      </c>
      <c r="I2954">
        <v>0</v>
      </c>
      <c r="J2954">
        <v>1.8</v>
      </c>
      <c r="K2954">
        <v>0</v>
      </c>
    </row>
    <row r="2955" spans="1:11" x14ac:dyDescent="0.2">
      <c r="A2955">
        <v>29940</v>
      </c>
      <c r="B2955">
        <v>109513</v>
      </c>
      <c r="C2955" t="s">
        <v>6550</v>
      </c>
      <c r="D2955">
        <v>10</v>
      </c>
      <c r="E2955">
        <v>12</v>
      </c>
      <c r="F2955">
        <v>0</v>
      </c>
      <c r="G2955">
        <v>0</v>
      </c>
      <c r="H2955">
        <v>40</v>
      </c>
      <c r="I2955">
        <v>0</v>
      </c>
      <c r="J2955">
        <v>1</v>
      </c>
      <c r="K2955">
        <v>0</v>
      </c>
    </row>
    <row r="2956" spans="1:11" x14ac:dyDescent="0.2">
      <c r="A2956">
        <v>4604</v>
      </c>
      <c r="B2956">
        <v>109545</v>
      </c>
      <c r="C2956" t="s">
        <v>6551</v>
      </c>
      <c r="D2956">
        <v>6</v>
      </c>
      <c r="E2956">
        <v>24</v>
      </c>
      <c r="F2956">
        <v>0</v>
      </c>
      <c r="G2956">
        <v>0</v>
      </c>
      <c r="H2956">
        <v>72</v>
      </c>
      <c r="I2956">
        <v>0</v>
      </c>
      <c r="J2956">
        <v>2.4900000000000002</v>
      </c>
      <c r="K2956">
        <v>0</v>
      </c>
    </row>
    <row r="2957" spans="1:11" x14ac:dyDescent="0.2">
      <c r="A2957">
        <v>93348</v>
      </c>
      <c r="B2957">
        <v>109769</v>
      </c>
      <c r="C2957" t="s">
        <v>6552</v>
      </c>
      <c r="D2957">
        <v>6</v>
      </c>
      <c r="E2957">
        <v>24</v>
      </c>
      <c r="F2957">
        <v>0</v>
      </c>
      <c r="G2957">
        <v>0</v>
      </c>
      <c r="H2957">
        <v>1</v>
      </c>
      <c r="I2957">
        <v>0</v>
      </c>
      <c r="J2957">
        <v>5.99</v>
      </c>
      <c r="K2957">
        <v>0</v>
      </c>
    </row>
    <row r="2958" spans="1:11" x14ac:dyDescent="0.2">
      <c r="A2958">
        <v>93324</v>
      </c>
      <c r="B2958">
        <v>109781</v>
      </c>
      <c r="C2958" t="s">
        <v>6553</v>
      </c>
      <c r="D2958">
        <v>10</v>
      </c>
      <c r="E2958">
        <v>15</v>
      </c>
      <c r="F2958">
        <v>0</v>
      </c>
      <c r="G2958">
        <v>0</v>
      </c>
      <c r="H2958">
        <v>28</v>
      </c>
      <c r="I2958">
        <v>0</v>
      </c>
      <c r="J2958">
        <v>3.59</v>
      </c>
      <c r="K2958">
        <v>0</v>
      </c>
    </row>
    <row r="2959" spans="1:11" x14ac:dyDescent="0.2">
      <c r="A2959">
        <v>93199</v>
      </c>
      <c r="B2959">
        <v>109818</v>
      </c>
      <c r="C2959" t="s">
        <v>6554</v>
      </c>
      <c r="D2959">
        <v>10</v>
      </c>
      <c r="E2959">
        <v>16</v>
      </c>
      <c r="F2959">
        <v>0</v>
      </c>
      <c r="G2959">
        <v>0</v>
      </c>
      <c r="H2959">
        <v>36</v>
      </c>
      <c r="I2959">
        <v>0</v>
      </c>
      <c r="J2959">
        <v>1.99</v>
      </c>
      <c r="K2959">
        <v>0</v>
      </c>
    </row>
    <row r="2960" spans="1:11" x14ac:dyDescent="0.2">
      <c r="B2960">
        <v>109818</v>
      </c>
      <c r="C2960" t="s">
        <v>6554</v>
      </c>
      <c r="D2960">
        <v>12</v>
      </c>
      <c r="E2960">
        <v>24</v>
      </c>
      <c r="F2960">
        <v>0</v>
      </c>
      <c r="G2960">
        <v>0</v>
      </c>
      <c r="H2960">
        <v>28</v>
      </c>
      <c r="I2960">
        <v>0</v>
      </c>
      <c r="J2960">
        <v>1.99</v>
      </c>
      <c r="K2960">
        <v>0</v>
      </c>
    </row>
    <row r="2961" spans="1:11" x14ac:dyDescent="0.2">
      <c r="B2961">
        <v>110002</v>
      </c>
      <c r="C2961" t="s">
        <v>6555</v>
      </c>
      <c r="D2961">
        <v>12</v>
      </c>
      <c r="E2961">
        <v>24</v>
      </c>
      <c r="F2961">
        <v>0</v>
      </c>
      <c r="G2961">
        <v>0</v>
      </c>
      <c r="H2961">
        <v>64</v>
      </c>
      <c r="I2961">
        <v>0</v>
      </c>
      <c r="J2961">
        <v>1.99</v>
      </c>
      <c r="K2961">
        <v>0</v>
      </c>
    </row>
    <row r="2962" spans="1:11" x14ac:dyDescent="0.2">
      <c r="B2962">
        <v>110474</v>
      </c>
      <c r="C2962" t="s">
        <v>6556</v>
      </c>
      <c r="D2962">
        <v>11</v>
      </c>
      <c r="E2962">
        <v>3</v>
      </c>
      <c r="F2962">
        <v>0</v>
      </c>
      <c r="G2962">
        <v>0</v>
      </c>
      <c r="H2962">
        <v>63</v>
      </c>
      <c r="I2962">
        <v>0</v>
      </c>
      <c r="J2962">
        <v>34.99</v>
      </c>
      <c r="K2962">
        <v>0</v>
      </c>
    </row>
    <row r="2963" spans="1:11" x14ac:dyDescent="0.2">
      <c r="A2963">
        <v>87033</v>
      </c>
      <c r="B2963">
        <v>110517</v>
      </c>
      <c r="C2963" t="s">
        <v>3829</v>
      </c>
      <c r="D2963">
        <v>8</v>
      </c>
      <c r="E2963">
        <v>10</v>
      </c>
      <c r="F2963">
        <v>300</v>
      </c>
      <c r="G2963">
        <v>3000</v>
      </c>
      <c r="H2963">
        <v>60</v>
      </c>
      <c r="I2963">
        <v>5</v>
      </c>
      <c r="J2963">
        <v>2.59</v>
      </c>
      <c r="K2963">
        <v>7770</v>
      </c>
    </row>
    <row r="2964" spans="1:11" x14ac:dyDescent="0.2">
      <c r="A2964">
        <v>35809</v>
      </c>
      <c r="B2964">
        <v>110553</v>
      </c>
      <c r="C2964" t="s">
        <v>6557</v>
      </c>
      <c r="D2964">
        <v>10</v>
      </c>
      <c r="E2964">
        <v>3</v>
      </c>
      <c r="F2964">
        <v>0</v>
      </c>
      <c r="G2964">
        <v>0</v>
      </c>
      <c r="H2964">
        <v>100</v>
      </c>
      <c r="I2964">
        <v>0</v>
      </c>
      <c r="J2964">
        <v>19.989999999999998</v>
      </c>
      <c r="K2964">
        <v>0</v>
      </c>
    </row>
    <row r="2965" spans="1:11" x14ac:dyDescent="0.2">
      <c r="A2965">
        <v>95465</v>
      </c>
      <c r="B2965">
        <v>110655</v>
      </c>
      <c r="C2965" t="s">
        <v>6558</v>
      </c>
      <c r="D2965">
        <v>8</v>
      </c>
      <c r="E2965">
        <v>500</v>
      </c>
      <c r="F2965">
        <v>39</v>
      </c>
      <c r="G2965">
        <v>19500</v>
      </c>
      <c r="H2965">
        <v>2</v>
      </c>
      <c r="I2965">
        <v>19.5</v>
      </c>
      <c r="J2965">
        <v>0.69</v>
      </c>
      <c r="K2965">
        <v>13455</v>
      </c>
    </row>
    <row r="2966" spans="1:11" x14ac:dyDescent="0.2">
      <c r="A2966">
        <v>99766</v>
      </c>
      <c r="B2966">
        <v>110710</v>
      </c>
      <c r="C2966" t="s">
        <v>6559</v>
      </c>
      <c r="D2966">
        <v>10</v>
      </c>
      <c r="E2966">
        <v>15</v>
      </c>
      <c r="F2966">
        <v>0</v>
      </c>
      <c r="G2966">
        <v>0</v>
      </c>
      <c r="H2966">
        <v>78</v>
      </c>
      <c r="I2966">
        <v>0</v>
      </c>
      <c r="J2966">
        <v>1.89</v>
      </c>
      <c r="K2966">
        <v>0</v>
      </c>
    </row>
    <row r="2967" spans="1:11" x14ac:dyDescent="0.2">
      <c r="B2967">
        <v>110758</v>
      </c>
      <c r="C2967" t="s">
        <v>6560</v>
      </c>
      <c r="D2967">
        <v>11</v>
      </c>
      <c r="E2967">
        <v>8</v>
      </c>
      <c r="F2967">
        <v>0</v>
      </c>
      <c r="G2967">
        <v>0</v>
      </c>
      <c r="H2967">
        <v>96</v>
      </c>
      <c r="I2967">
        <v>0</v>
      </c>
      <c r="J2967">
        <v>2.99</v>
      </c>
      <c r="K2967">
        <v>0</v>
      </c>
    </row>
    <row r="2968" spans="1:11" x14ac:dyDescent="0.2">
      <c r="B2968">
        <v>110765</v>
      </c>
      <c r="C2968" t="s">
        <v>6561</v>
      </c>
      <c r="D2968">
        <v>11</v>
      </c>
      <c r="E2968">
        <v>22</v>
      </c>
      <c r="F2968">
        <v>0</v>
      </c>
      <c r="G2968">
        <v>0</v>
      </c>
      <c r="H2968">
        <v>100</v>
      </c>
      <c r="I2968">
        <v>0</v>
      </c>
      <c r="J2968">
        <v>1</v>
      </c>
      <c r="K2968">
        <v>0</v>
      </c>
    </row>
    <row r="2969" spans="1:11" x14ac:dyDescent="0.2">
      <c r="B2969">
        <v>111037</v>
      </c>
      <c r="C2969" t="s">
        <v>6562</v>
      </c>
      <c r="D2969">
        <v>7</v>
      </c>
      <c r="E2969">
        <v>7</v>
      </c>
      <c r="F2969">
        <v>1</v>
      </c>
      <c r="G2969">
        <v>7</v>
      </c>
      <c r="H2969">
        <v>12</v>
      </c>
      <c r="I2969">
        <v>0.1</v>
      </c>
      <c r="J2969">
        <v>9.99</v>
      </c>
      <c r="K2969">
        <v>69.930000000000007</v>
      </c>
    </row>
    <row r="2970" spans="1:11" x14ac:dyDescent="0.2">
      <c r="A2970">
        <v>67017</v>
      </c>
      <c r="B2970">
        <v>111090</v>
      </c>
      <c r="C2970" t="s">
        <v>6563</v>
      </c>
      <c r="D2970">
        <v>8</v>
      </c>
      <c r="E2970">
        <v>12</v>
      </c>
      <c r="F2970">
        <v>754</v>
      </c>
      <c r="G2970">
        <v>9048</v>
      </c>
      <c r="H2970">
        <v>104</v>
      </c>
      <c r="I2970">
        <v>7.3</v>
      </c>
      <c r="J2970">
        <v>0.9</v>
      </c>
      <c r="K2970">
        <v>8143.2</v>
      </c>
    </row>
    <row r="2971" spans="1:11" x14ac:dyDescent="0.2">
      <c r="B2971">
        <v>111230</v>
      </c>
      <c r="C2971" t="s">
        <v>6564</v>
      </c>
      <c r="D2971">
        <v>11</v>
      </c>
      <c r="E2971">
        <v>20</v>
      </c>
      <c r="F2971">
        <v>0</v>
      </c>
      <c r="G2971">
        <v>0</v>
      </c>
      <c r="H2971">
        <v>72</v>
      </c>
      <c r="I2971">
        <v>0</v>
      </c>
      <c r="J2971">
        <v>0.69</v>
      </c>
      <c r="K2971">
        <v>0</v>
      </c>
    </row>
    <row r="2972" spans="1:11" x14ac:dyDescent="0.2">
      <c r="A2972">
        <v>74144</v>
      </c>
      <c r="B2972">
        <v>111246</v>
      </c>
      <c r="C2972" t="s">
        <v>6565</v>
      </c>
      <c r="D2972">
        <v>8</v>
      </c>
      <c r="E2972">
        <v>36</v>
      </c>
      <c r="F2972">
        <v>278</v>
      </c>
      <c r="G2972">
        <v>10008</v>
      </c>
      <c r="H2972">
        <v>48</v>
      </c>
      <c r="I2972">
        <v>5.8</v>
      </c>
      <c r="J2972">
        <v>1.19</v>
      </c>
      <c r="K2972">
        <v>11909.52</v>
      </c>
    </row>
    <row r="2973" spans="1:11" x14ac:dyDescent="0.2">
      <c r="B2973">
        <v>111573</v>
      </c>
      <c r="C2973" t="s">
        <v>6566</v>
      </c>
      <c r="D2973">
        <v>10</v>
      </c>
      <c r="E2973">
        <v>6</v>
      </c>
      <c r="F2973">
        <v>0</v>
      </c>
      <c r="G2973">
        <v>0</v>
      </c>
      <c r="H2973">
        <v>105</v>
      </c>
      <c r="I2973">
        <v>0</v>
      </c>
      <c r="J2973">
        <v>13.99</v>
      </c>
      <c r="K2973">
        <v>0</v>
      </c>
    </row>
    <row r="2974" spans="1:11" x14ac:dyDescent="0.2">
      <c r="A2974">
        <v>0</v>
      </c>
      <c r="B2974">
        <v>111584</v>
      </c>
      <c r="C2974" t="s">
        <v>6567</v>
      </c>
      <c r="D2974">
        <v>11</v>
      </c>
      <c r="E2974">
        <v>6</v>
      </c>
      <c r="F2974">
        <v>0</v>
      </c>
      <c r="G2974">
        <v>0</v>
      </c>
      <c r="H2974">
        <v>60</v>
      </c>
      <c r="I2974">
        <v>0</v>
      </c>
      <c r="J2974">
        <v>2.4900000000000002</v>
      </c>
      <c r="K2974">
        <v>0</v>
      </c>
    </row>
    <row r="2975" spans="1:11" x14ac:dyDescent="0.2">
      <c r="A2975">
        <v>99058</v>
      </c>
      <c r="B2975">
        <v>111651</v>
      </c>
      <c r="C2975" t="s">
        <v>6568</v>
      </c>
      <c r="D2975">
        <v>6</v>
      </c>
      <c r="E2975">
        <v>12</v>
      </c>
      <c r="F2975">
        <v>0</v>
      </c>
      <c r="G2975">
        <v>0</v>
      </c>
      <c r="H2975">
        <v>72</v>
      </c>
      <c r="I2975">
        <v>0</v>
      </c>
      <c r="J2975">
        <v>1.99</v>
      </c>
      <c r="K2975">
        <v>0</v>
      </c>
    </row>
    <row r="2976" spans="1:11" x14ac:dyDescent="0.2">
      <c r="B2976">
        <v>111692</v>
      </c>
      <c r="C2976" t="s">
        <v>6569</v>
      </c>
      <c r="D2976">
        <v>11</v>
      </c>
      <c r="E2976">
        <v>6</v>
      </c>
      <c r="F2976">
        <v>0</v>
      </c>
      <c r="G2976">
        <v>0</v>
      </c>
      <c r="H2976">
        <v>80</v>
      </c>
      <c r="I2976">
        <v>0</v>
      </c>
      <c r="J2976">
        <v>38.89</v>
      </c>
      <c r="K2976">
        <v>0</v>
      </c>
    </row>
    <row r="2977" spans="1:11" x14ac:dyDescent="0.2">
      <c r="B2977">
        <v>111695</v>
      </c>
      <c r="C2977" t="s">
        <v>6570</v>
      </c>
      <c r="D2977">
        <v>10</v>
      </c>
      <c r="E2977">
        <v>6</v>
      </c>
      <c r="F2977">
        <v>0</v>
      </c>
      <c r="G2977">
        <v>0</v>
      </c>
      <c r="H2977">
        <v>70</v>
      </c>
      <c r="I2977">
        <v>0</v>
      </c>
      <c r="J2977">
        <v>25.9</v>
      </c>
      <c r="K2977">
        <v>0</v>
      </c>
    </row>
    <row r="2978" spans="1:11" x14ac:dyDescent="0.2">
      <c r="A2978">
        <v>80050</v>
      </c>
      <c r="B2978">
        <v>111790</v>
      </c>
      <c r="C2978" t="s">
        <v>6571</v>
      </c>
      <c r="D2978">
        <v>8</v>
      </c>
      <c r="E2978">
        <v>3</v>
      </c>
      <c r="F2978">
        <v>1087</v>
      </c>
      <c r="G2978">
        <v>3262</v>
      </c>
      <c r="H2978">
        <v>81</v>
      </c>
      <c r="I2978">
        <v>13.4</v>
      </c>
      <c r="J2978">
        <v>2.2599999999999998</v>
      </c>
      <c r="K2978">
        <v>7372.12</v>
      </c>
    </row>
    <row r="2979" spans="1:11" x14ac:dyDescent="0.2">
      <c r="B2979">
        <v>111818</v>
      </c>
      <c r="C2979" t="s">
        <v>6572</v>
      </c>
      <c r="D2979">
        <v>11</v>
      </c>
      <c r="E2979">
        <v>3</v>
      </c>
      <c r="F2979">
        <v>0</v>
      </c>
      <c r="G2979">
        <v>0</v>
      </c>
      <c r="H2979">
        <v>90</v>
      </c>
      <c r="I2979">
        <v>0</v>
      </c>
      <c r="J2979">
        <v>6.29</v>
      </c>
      <c r="K2979">
        <v>0</v>
      </c>
    </row>
    <row r="2980" spans="1:11" x14ac:dyDescent="0.2">
      <c r="B2980">
        <v>111886</v>
      </c>
      <c r="C2980" t="s">
        <v>6573</v>
      </c>
      <c r="D2980">
        <v>11</v>
      </c>
      <c r="E2980">
        <v>4</v>
      </c>
      <c r="F2980">
        <v>0</v>
      </c>
      <c r="G2980">
        <v>0</v>
      </c>
      <c r="H2980">
        <v>70</v>
      </c>
      <c r="I2980">
        <v>0</v>
      </c>
      <c r="J2980">
        <v>2.79</v>
      </c>
      <c r="K2980">
        <v>0</v>
      </c>
    </row>
    <row r="2981" spans="1:11" x14ac:dyDescent="0.2">
      <c r="A2981">
        <v>57257</v>
      </c>
      <c r="B2981">
        <v>111926</v>
      </c>
      <c r="C2981" t="s">
        <v>6574</v>
      </c>
      <c r="D2981">
        <v>11</v>
      </c>
      <c r="E2981">
        <v>1</v>
      </c>
      <c r="F2981">
        <v>0</v>
      </c>
      <c r="G2981">
        <v>0</v>
      </c>
      <c r="H2981">
        <v>80</v>
      </c>
      <c r="I2981">
        <v>0</v>
      </c>
      <c r="J2981">
        <v>4</v>
      </c>
      <c r="K2981">
        <v>0</v>
      </c>
    </row>
    <row r="2982" spans="1:11" x14ac:dyDescent="0.2">
      <c r="A2982">
        <v>35810</v>
      </c>
      <c r="B2982">
        <v>111941</v>
      </c>
      <c r="C2982" t="s">
        <v>6575</v>
      </c>
      <c r="D2982">
        <v>10</v>
      </c>
      <c r="E2982">
        <v>12</v>
      </c>
      <c r="F2982">
        <v>0</v>
      </c>
      <c r="G2982">
        <v>0</v>
      </c>
      <c r="H2982">
        <v>8</v>
      </c>
      <c r="I2982">
        <v>0</v>
      </c>
      <c r="J2982">
        <v>5.99</v>
      </c>
      <c r="K2982">
        <v>0</v>
      </c>
    </row>
    <row r="2983" spans="1:11" x14ac:dyDescent="0.2">
      <c r="B2983">
        <v>111947</v>
      </c>
      <c r="C2983" t="s">
        <v>6576</v>
      </c>
      <c r="D2983">
        <v>11</v>
      </c>
      <c r="E2983">
        <v>24</v>
      </c>
      <c r="F2983">
        <v>0</v>
      </c>
      <c r="G2983">
        <v>0</v>
      </c>
      <c r="H2983">
        <v>120</v>
      </c>
      <c r="I2983">
        <v>0</v>
      </c>
      <c r="J2983">
        <v>1.0900000000000001</v>
      </c>
      <c r="K2983">
        <v>0</v>
      </c>
    </row>
    <row r="2984" spans="1:11" x14ac:dyDescent="0.2">
      <c r="A2984">
        <v>70259</v>
      </c>
      <c r="B2984">
        <v>111965</v>
      </c>
      <c r="C2984" t="s">
        <v>6577</v>
      </c>
      <c r="D2984">
        <v>8</v>
      </c>
      <c r="E2984">
        <v>36</v>
      </c>
      <c r="F2984">
        <v>144</v>
      </c>
      <c r="G2984">
        <v>5184</v>
      </c>
      <c r="H2984">
        <v>120</v>
      </c>
      <c r="I2984">
        <v>1.2</v>
      </c>
      <c r="J2984">
        <v>1.99</v>
      </c>
      <c r="K2984">
        <v>10316.16</v>
      </c>
    </row>
    <row r="2985" spans="1:11" x14ac:dyDescent="0.2">
      <c r="B2985">
        <v>111980</v>
      </c>
      <c r="C2985" t="s">
        <v>6578</v>
      </c>
      <c r="D2985">
        <v>12</v>
      </c>
      <c r="E2985">
        <v>25</v>
      </c>
      <c r="F2985">
        <v>0</v>
      </c>
      <c r="G2985">
        <v>0</v>
      </c>
      <c r="H2985">
        <v>28</v>
      </c>
      <c r="I2985">
        <v>0</v>
      </c>
      <c r="J2985">
        <v>0.49</v>
      </c>
      <c r="K2985">
        <v>0</v>
      </c>
    </row>
    <row r="2986" spans="1:11" x14ac:dyDescent="0.2">
      <c r="A2986">
        <v>70270</v>
      </c>
      <c r="B2986">
        <v>111987</v>
      </c>
      <c r="C2986" t="s">
        <v>6579</v>
      </c>
      <c r="D2986">
        <v>8</v>
      </c>
      <c r="E2986">
        <v>30</v>
      </c>
      <c r="F2986">
        <v>135</v>
      </c>
      <c r="G2986">
        <v>4050</v>
      </c>
      <c r="H2986">
        <v>120</v>
      </c>
      <c r="I2986">
        <v>1.1000000000000001</v>
      </c>
      <c r="J2986">
        <v>1.99</v>
      </c>
      <c r="K2986">
        <v>8059.5</v>
      </c>
    </row>
    <row r="2987" spans="1:11" x14ac:dyDescent="0.2">
      <c r="A2987">
        <v>70243</v>
      </c>
      <c r="B2987">
        <v>112001</v>
      </c>
      <c r="C2987" t="s">
        <v>6580</v>
      </c>
      <c r="D2987">
        <v>8</v>
      </c>
      <c r="E2987">
        <v>30</v>
      </c>
      <c r="F2987">
        <v>147</v>
      </c>
      <c r="G2987">
        <v>4410</v>
      </c>
      <c r="H2987">
        <v>168</v>
      </c>
      <c r="I2987">
        <v>0.9</v>
      </c>
      <c r="J2987">
        <v>1.99</v>
      </c>
      <c r="K2987">
        <v>8775.9</v>
      </c>
    </row>
    <row r="2988" spans="1:11" x14ac:dyDescent="0.2">
      <c r="B2988">
        <v>112108</v>
      </c>
      <c r="C2988" t="s">
        <v>6581</v>
      </c>
      <c r="D2988">
        <v>11</v>
      </c>
      <c r="E2988">
        <v>12</v>
      </c>
      <c r="F2988">
        <v>0</v>
      </c>
      <c r="G2988">
        <v>0</v>
      </c>
      <c r="H2988">
        <v>162</v>
      </c>
      <c r="I2988">
        <v>0</v>
      </c>
      <c r="J2988">
        <v>0.59</v>
      </c>
      <c r="K2988">
        <v>0</v>
      </c>
    </row>
    <row r="2989" spans="1:11" x14ac:dyDescent="0.2">
      <c r="B2989">
        <v>112217</v>
      </c>
      <c r="C2989" t="s">
        <v>6582</v>
      </c>
      <c r="D2989">
        <v>11</v>
      </c>
      <c r="E2989">
        <v>9</v>
      </c>
      <c r="F2989">
        <v>-33</v>
      </c>
      <c r="G2989">
        <v>-297</v>
      </c>
      <c r="H2989">
        <v>104</v>
      </c>
      <c r="I2989">
        <v>-0.3</v>
      </c>
      <c r="J2989">
        <v>0.85</v>
      </c>
      <c r="K2989">
        <v>-252.45</v>
      </c>
    </row>
    <row r="2990" spans="1:11" x14ac:dyDescent="0.2">
      <c r="A2990">
        <v>45503</v>
      </c>
      <c r="B2990">
        <v>112384</v>
      </c>
      <c r="C2990" t="s">
        <v>6583</v>
      </c>
      <c r="D2990">
        <v>10</v>
      </c>
      <c r="E2990">
        <v>12</v>
      </c>
      <c r="F2990">
        <v>-2</v>
      </c>
      <c r="G2990">
        <v>-24</v>
      </c>
      <c r="H2990">
        <v>144</v>
      </c>
      <c r="I2990">
        <v>0</v>
      </c>
      <c r="J2990">
        <v>1.99</v>
      </c>
      <c r="K2990">
        <v>-47.76</v>
      </c>
    </row>
    <row r="2991" spans="1:11" x14ac:dyDescent="0.2">
      <c r="A2991">
        <v>93159</v>
      </c>
      <c r="B2991">
        <v>112396</v>
      </c>
      <c r="C2991" t="s">
        <v>6584</v>
      </c>
      <c r="D2991">
        <v>10</v>
      </c>
      <c r="E2991">
        <v>32</v>
      </c>
      <c r="F2991">
        <v>0</v>
      </c>
      <c r="G2991">
        <v>0</v>
      </c>
      <c r="H2991">
        <v>1</v>
      </c>
      <c r="I2991">
        <v>0</v>
      </c>
      <c r="J2991">
        <v>4.49</v>
      </c>
      <c r="K2991">
        <v>0</v>
      </c>
    </row>
    <row r="2992" spans="1:11" x14ac:dyDescent="0.2">
      <c r="B2992">
        <v>112425</v>
      </c>
      <c r="C2992" t="s">
        <v>6585</v>
      </c>
      <c r="D2992">
        <v>11</v>
      </c>
      <c r="E2992">
        <v>6</v>
      </c>
      <c r="F2992">
        <v>0</v>
      </c>
      <c r="G2992">
        <v>0</v>
      </c>
      <c r="H2992">
        <v>80</v>
      </c>
      <c r="I2992">
        <v>0</v>
      </c>
      <c r="J2992">
        <v>0.33</v>
      </c>
      <c r="K2992">
        <v>0</v>
      </c>
    </row>
    <row r="2993" spans="1:11" x14ac:dyDescent="0.2">
      <c r="A2993">
        <v>51520</v>
      </c>
      <c r="B2993">
        <v>112448</v>
      </c>
      <c r="C2993" t="s">
        <v>6586</v>
      </c>
      <c r="D2993">
        <v>9</v>
      </c>
      <c r="E2993">
        <v>6</v>
      </c>
      <c r="F2993">
        <v>75</v>
      </c>
      <c r="G2993">
        <v>450</v>
      </c>
      <c r="H2993">
        <v>390</v>
      </c>
      <c r="I2993">
        <v>0.2</v>
      </c>
      <c r="J2993">
        <v>3.99</v>
      </c>
      <c r="K2993">
        <v>1795.5</v>
      </c>
    </row>
    <row r="2994" spans="1:11" x14ac:dyDescent="0.2">
      <c r="A2994">
        <v>70214</v>
      </c>
      <c r="B2994">
        <v>112456</v>
      </c>
      <c r="C2994" t="s">
        <v>6587</v>
      </c>
      <c r="D2994">
        <v>8</v>
      </c>
      <c r="E2994">
        <v>10</v>
      </c>
      <c r="F2994">
        <v>183</v>
      </c>
      <c r="G2994">
        <v>1830</v>
      </c>
      <c r="H2994">
        <v>144</v>
      </c>
      <c r="I2994">
        <v>1.3</v>
      </c>
      <c r="J2994">
        <v>3.99</v>
      </c>
      <c r="K2994">
        <v>7301.7</v>
      </c>
    </row>
    <row r="2995" spans="1:11" x14ac:dyDescent="0.2">
      <c r="A2995">
        <v>70225</v>
      </c>
      <c r="B2995">
        <v>112457</v>
      </c>
      <c r="C2995" t="s">
        <v>6588</v>
      </c>
      <c r="D2995">
        <v>8</v>
      </c>
      <c r="E2995">
        <v>14</v>
      </c>
      <c r="F2995">
        <v>440</v>
      </c>
      <c r="G2995">
        <v>6160</v>
      </c>
      <c r="H2995">
        <v>192</v>
      </c>
      <c r="I2995">
        <v>2.2999999999999998</v>
      </c>
      <c r="J2995">
        <v>4.99</v>
      </c>
      <c r="K2995">
        <v>30738.400000000001</v>
      </c>
    </row>
    <row r="2996" spans="1:11" x14ac:dyDescent="0.2">
      <c r="A2996">
        <v>45614</v>
      </c>
      <c r="B2996">
        <v>112491</v>
      </c>
      <c r="C2996" t="s">
        <v>5526</v>
      </c>
      <c r="D2996">
        <v>10</v>
      </c>
      <c r="E2996">
        <v>8</v>
      </c>
      <c r="F2996">
        <v>-3</v>
      </c>
      <c r="G2996">
        <v>-24</v>
      </c>
      <c r="H2996">
        <v>56</v>
      </c>
      <c r="I2996">
        <v>-0.1</v>
      </c>
      <c r="J2996">
        <v>1.29</v>
      </c>
      <c r="K2996">
        <v>-30.96</v>
      </c>
    </row>
    <row r="2997" spans="1:11" x14ac:dyDescent="0.2">
      <c r="A2997">
        <v>65006</v>
      </c>
      <c r="B2997">
        <v>112504</v>
      </c>
      <c r="C2997" t="s">
        <v>6589</v>
      </c>
      <c r="D2997">
        <v>8</v>
      </c>
      <c r="E2997">
        <v>4</v>
      </c>
      <c r="F2997">
        <v>5944</v>
      </c>
      <c r="G2997">
        <v>23776</v>
      </c>
      <c r="H2997">
        <v>300</v>
      </c>
      <c r="I2997">
        <v>19.8</v>
      </c>
      <c r="J2997">
        <v>1.59</v>
      </c>
      <c r="K2997">
        <v>37803.839999999997</v>
      </c>
    </row>
    <row r="2998" spans="1:11" x14ac:dyDescent="0.2">
      <c r="A2998">
        <v>0</v>
      </c>
      <c r="B2998">
        <v>112504</v>
      </c>
      <c r="C2998" t="s">
        <v>6589</v>
      </c>
      <c r="D2998">
        <v>12</v>
      </c>
      <c r="E2998">
        <v>8</v>
      </c>
      <c r="F2998">
        <v>0</v>
      </c>
      <c r="G2998">
        <v>0</v>
      </c>
      <c r="H2998">
        <v>144</v>
      </c>
      <c r="I2998">
        <v>0</v>
      </c>
      <c r="J2998">
        <v>1.59</v>
      </c>
      <c r="K2998">
        <v>0</v>
      </c>
    </row>
    <row r="2999" spans="1:11" x14ac:dyDescent="0.2">
      <c r="A2999">
        <v>62243</v>
      </c>
      <c r="B2999">
        <v>112518</v>
      </c>
      <c r="C2999" t="s">
        <v>6590</v>
      </c>
      <c r="D2999">
        <v>8</v>
      </c>
      <c r="E2999">
        <v>12</v>
      </c>
      <c r="F2999">
        <v>1246</v>
      </c>
      <c r="G2999">
        <v>14952</v>
      </c>
      <c r="H2999">
        <v>72</v>
      </c>
      <c r="I2999">
        <v>17.3</v>
      </c>
      <c r="J2999">
        <v>1.29</v>
      </c>
      <c r="K2999">
        <v>19288.080000000002</v>
      </c>
    </row>
    <row r="3000" spans="1:11" x14ac:dyDescent="0.2">
      <c r="A3000">
        <v>83039</v>
      </c>
      <c r="B3000">
        <v>112524</v>
      </c>
      <c r="C3000" t="s">
        <v>5214</v>
      </c>
      <c r="D3000">
        <v>8</v>
      </c>
      <c r="E3000">
        <v>15</v>
      </c>
      <c r="F3000">
        <v>198</v>
      </c>
      <c r="G3000">
        <v>2970</v>
      </c>
      <c r="H3000">
        <v>60</v>
      </c>
      <c r="I3000">
        <v>3.3</v>
      </c>
      <c r="J3000">
        <v>1.55</v>
      </c>
      <c r="K3000">
        <v>4603.5</v>
      </c>
    </row>
    <row r="3001" spans="1:11" x14ac:dyDescent="0.2">
      <c r="A3001">
        <v>67159</v>
      </c>
      <c r="B3001">
        <v>112534</v>
      </c>
      <c r="C3001" t="s">
        <v>6591</v>
      </c>
      <c r="D3001">
        <v>8</v>
      </c>
      <c r="E3001">
        <v>8</v>
      </c>
      <c r="F3001">
        <v>619</v>
      </c>
      <c r="G3001">
        <v>4948</v>
      </c>
      <c r="H3001">
        <v>84</v>
      </c>
      <c r="I3001">
        <v>7.4</v>
      </c>
      <c r="J3001">
        <v>4.99</v>
      </c>
      <c r="K3001">
        <v>24690.52</v>
      </c>
    </row>
    <row r="3002" spans="1:11" x14ac:dyDescent="0.2">
      <c r="B3002">
        <v>112668</v>
      </c>
      <c r="C3002" t="s">
        <v>5860</v>
      </c>
      <c r="D3002">
        <v>11</v>
      </c>
      <c r="E3002">
        <v>1</v>
      </c>
      <c r="F3002">
        <v>0</v>
      </c>
      <c r="G3002">
        <v>0</v>
      </c>
      <c r="H3002">
        <v>24</v>
      </c>
      <c r="I3002">
        <v>0</v>
      </c>
      <c r="J3002">
        <v>1.99</v>
      </c>
      <c r="K3002">
        <v>0</v>
      </c>
    </row>
    <row r="3003" spans="1:11" x14ac:dyDescent="0.2">
      <c r="B3003">
        <v>112697</v>
      </c>
      <c r="C3003" t="s">
        <v>6518</v>
      </c>
      <c r="D3003">
        <v>11</v>
      </c>
      <c r="E3003">
        <v>18</v>
      </c>
      <c r="F3003">
        <v>0</v>
      </c>
      <c r="G3003">
        <v>0</v>
      </c>
      <c r="H3003">
        <v>32</v>
      </c>
      <c r="I3003">
        <v>0</v>
      </c>
      <c r="J3003">
        <v>1.89</v>
      </c>
      <c r="K3003">
        <v>0</v>
      </c>
    </row>
    <row r="3004" spans="1:11" x14ac:dyDescent="0.2">
      <c r="A3004">
        <v>70039</v>
      </c>
      <c r="B3004">
        <v>112819</v>
      </c>
      <c r="C3004" t="s">
        <v>6592</v>
      </c>
      <c r="D3004">
        <v>8</v>
      </c>
      <c r="E3004">
        <v>33</v>
      </c>
      <c r="F3004">
        <v>410</v>
      </c>
      <c r="G3004">
        <v>13530</v>
      </c>
      <c r="H3004">
        <v>63</v>
      </c>
      <c r="I3004">
        <v>6.5</v>
      </c>
      <c r="J3004">
        <v>0.85</v>
      </c>
      <c r="K3004">
        <v>11500.5</v>
      </c>
    </row>
    <row r="3005" spans="1:11" x14ac:dyDescent="0.2">
      <c r="A3005">
        <v>74181</v>
      </c>
      <c r="B3005">
        <v>112826</v>
      </c>
      <c r="C3005" t="s">
        <v>6593</v>
      </c>
      <c r="D3005">
        <v>8</v>
      </c>
      <c r="E3005">
        <v>20</v>
      </c>
      <c r="F3005">
        <v>190</v>
      </c>
      <c r="G3005">
        <v>3800</v>
      </c>
      <c r="H3005">
        <v>72</v>
      </c>
      <c r="I3005">
        <v>2.6</v>
      </c>
      <c r="J3005">
        <v>2.25</v>
      </c>
      <c r="K3005">
        <v>8550</v>
      </c>
    </row>
    <row r="3006" spans="1:11" x14ac:dyDescent="0.2">
      <c r="A3006">
        <v>93033</v>
      </c>
      <c r="B3006">
        <v>112867</v>
      </c>
      <c r="C3006" t="s">
        <v>6594</v>
      </c>
      <c r="D3006">
        <v>10</v>
      </c>
      <c r="E3006">
        <v>42</v>
      </c>
      <c r="F3006">
        <v>0</v>
      </c>
      <c r="G3006">
        <v>0</v>
      </c>
      <c r="H3006">
        <v>42</v>
      </c>
      <c r="I3006">
        <v>0</v>
      </c>
      <c r="J3006">
        <v>9.99</v>
      </c>
      <c r="K3006">
        <v>0</v>
      </c>
    </row>
    <row r="3007" spans="1:11" x14ac:dyDescent="0.2">
      <c r="A3007">
        <v>74247</v>
      </c>
      <c r="B3007">
        <v>112899</v>
      </c>
      <c r="C3007" t="s">
        <v>6595</v>
      </c>
      <c r="D3007">
        <v>8</v>
      </c>
      <c r="E3007">
        <v>30</v>
      </c>
      <c r="F3007">
        <v>157</v>
      </c>
      <c r="G3007">
        <v>4710</v>
      </c>
      <c r="H3007">
        <v>84</v>
      </c>
      <c r="I3007">
        <v>1.9</v>
      </c>
      <c r="J3007">
        <v>1.79</v>
      </c>
      <c r="K3007">
        <v>8430.9</v>
      </c>
    </row>
    <row r="3008" spans="1:11" x14ac:dyDescent="0.2">
      <c r="A3008">
        <v>69065</v>
      </c>
      <c r="B3008">
        <v>113106</v>
      </c>
      <c r="C3008" t="s">
        <v>6596</v>
      </c>
      <c r="D3008">
        <v>8</v>
      </c>
      <c r="E3008">
        <v>48</v>
      </c>
      <c r="F3008">
        <v>284</v>
      </c>
      <c r="G3008">
        <v>13632</v>
      </c>
      <c r="H3008">
        <v>60</v>
      </c>
      <c r="I3008">
        <v>4.7</v>
      </c>
      <c r="J3008">
        <v>0.79</v>
      </c>
      <c r="K3008">
        <v>10769.28</v>
      </c>
    </row>
    <row r="3009" spans="1:12" x14ac:dyDescent="0.2">
      <c r="B3009">
        <v>113227</v>
      </c>
      <c r="C3009" t="s">
        <v>6597</v>
      </c>
      <c r="D3009">
        <v>11</v>
      </c>
      <c r="E3009">
        <v>4</v>
      </c>
      <c r="F3009">
        <v>0</v>
      </c>
      <c r="G3009">
        <v>0</v>
      </c>
      <c r="H3009">
        <v>63</v>
      </c>
      <c r="I3009">
        <v>0</v>
      </c>
      <c r="J3009">
        <v>24.99</v>
      </c>
      <c r="K3009">
        <v>0</v>
      </c>
    </row>
    <row r="3010" spans="1:12" x14ac:dyDescent="0.2">
      <c r="A3010">
        <v>80076</v>
      </c>
      <c r="B3010">
        <v>113252</v>
      </c>
      <c r="C3010" t="s">
        <v>6598</v>
      </c>
      <c r="D3010">
        <v>8</v>
      </c>
      <c r="E3010">
        <v>3</v>
      </c>
      <c r="F3010">
        <v>1177</v>
      </c>
      <c r="G3010">
        <v>3532</v>
      </c>
      <c r="H3010">
        <v>108</v>
      </c>
      <c r="I3010">
        <v>10.9</v>
      </c>
      <c r="J3010">
        <v>1.59</v>
      </c>
      <c r="K3010">
        <v>5615.88</v>
      </c>
    </row>
    <row r="3011" spans="1:12" x14ac:dyDescent="0.2">
      <c r="A3011">
        <v>80017</v>
      </c>
      <c r="B3011">
        <v>113253</v>
      </c>
      <c r="C3011" t="s">
        <v>6599</v>
      </c>
      <c r="D3011">
        <v>8</v>
      </c>
      <c r="E3011">
        <v>3</v>
      </c>
      <c r="F3011">
        <v>1497</v>
      </c>
      <c r="G3011">
        <v>4491</v>
      </c>
      <c r="H3011">
        <v>108</v>
      </c>
      <c r="I3011">
        <v>13.9</v>
      </c>
      <c r="J3011">
        <v>1.99</v>
      </c>
      <c r="K3011">
        <v>8937.09</v>
      </c>
    </row>
    <row r="3012" spans="1:12" x14ac:dyDescent="0.2">
      <c r="A3012">
        <v>71016</v>
      </c>
      <c r="B3012">
        <v>113254</v>
      </c>
      <c r="C3012" t="s">
        <v>6600</v>
      </c>
      <c r="D3012">
        <v>8</v>
      </c>
      <c r="E3012">
        <v>18</v>
      </c>
      <c r="F3012">
        <v>144</v>
      </c>
      <c r="G3012">
        <v>2592</v>
      </c>
      <c r="H3012">
        <v>112</v>
      </c>
      <c r="I3012">
        <v>1.3</v>
      </c>
      <c r="J3012">
        <v>2.35</v>
      </c>
      <c r="K3012">
        <v>6091.2</v>
      </c>
    </row>
    <row r="3013" spans="1:12" x14ac:dyDescent="0.2">
      <c r="A3013">
        <v>88012</v>
      </c>
      <c r="B3013">
        <v>113261</v>
      </c>
      <c r="C3013" t="s">
        <v>6601</v>
      </c>
      <c r="D3013">
        <v>8</v>
      </c>
      <c r="E3013">
        <v>20</v>
      </c>
      <c r="F3013">
        <v>0</v>
      </c>
      <c r="G3013">
        <v>0</v>
      </c>
      <c r="H3013">
        <v>49</v>
      </c>
      <c r="I3013">
        <v>0</v>
      </c>
      <c r="J3013">
        <v>9.25</v>
      </c>
      <c r="K3013">
        <v>0</v>
      </c>
    </row>
    <row r="3014" spans="1:12" x14ac:dyDescent="0.2">
      <c r="B3014">
        <v>113261</v>
      </c>
      <c r="C3014" t="s">
        <v>6601</v>
      </c>
      <c r="D3014">
        <v>12</v>
      </c>
      <c r="E3014">
        <v>22</v>
      </c>
      <c r="F3014">
        <v>0</v>
      </c>
      <c r="G3014">
        <v>0</v>
      </c>
      <c r="H3014">
        <v>54</v>
      </c>
      <c r="I3014">
        <v>0</v>
      </c>
      <c r="J3014">
        <v>9.25</v>
      </c>
      <c r="K3014">
        <v>0</v>
      </c>
    </row>
    <row r="3015" spans="1:12" x14ac:dyDescent="0.2">
      <c r="A3015">
        <v>57278</v>
      </c>
      <c r="B3015">
        <v>113511</v>
      </c>
      <c r="C3015" t="s">
        <v>6602</v>
      </c>
      <c r="D3015">
        <v>10</v>
      </c>
      <c r="E3015">
        <v>294</v>
      </c>
      <c r="F3015">
        <v>0</v>
      </c>
      <c r="G3015">
        <v>0</v>
      </c>
      <c r="H3015">
        <v>4</v>
      </c>
      <c r="I3015">
        <v>0</v>
      </c>
      <c r="J3015">
        <v>0.5</v>
      </c>
      <c r="K3015">
        <v>0</v>
      </c>
    </row>
    <row r="3016" spans="1:12" x14ac:dyDescent="0.2">
      <c r="A3016">
        <v>2517</v>
      </c>
      <c r="B3016">
        <v>113512</v>
      </c>
      <c r="C3016" t="s">
        <v>6603</v>
      </c>
      <c r="D3016">
        <v>6</v>
      </c>
      <c r="E3016">
        <v>12</v>
      </c>
      <c r="F3016">
        <v>0</v>
      </c>
      <c r="G3016">
        <v>0</v>
      </c>
      <c r="H3016">
        <v>105</v>
      </c>
      <c r="I3016">
        <v>0</v>
      </c>
      <c r="J3016">
        <v>2.4900000000000002</v>
      </c>
      <c r="K3016">
        <v>0</v>
      </c>
    </row>
    <row r="3017" spans="1:12" x14ac:dyDescent="0.2">
      <c r="A3017">
        <v>34633</v>
      </c>
      <c r="B3017">
        <v>113715</v>
      </c>
      <c r="C3017" t="s">
        <v>6604</v>
      </c>
      <c r="D3017">
        <v>12</v>
      </c>
      <c r="E3017">
        <v>24</v>
      </c>
      <c r="F3017">
        <v>0</v>
      </c>
      <c r="G3017">
        <v>0</v>
      </c>
      <c r="H3017">
        <v>60</v>
      </c>
      <c r="I3017">
        <v>0</v>
      </c>
      <c r="J3017">
        <v>0.5</v>
      </c>
      <c r="K3017">
        <v>0</v>
      </c>
      <c r="L3017" t="s">
        <v>3699</v>
      </c>
    </row>
    <row r="3018" spans="1:12" x14ac:dyDescent="0.2">
      <c r="A3018">
        <v>93099</v>
      </c>
      <c r="B3018">
        <v>113741</v>
      </c>
      <c r="C3018" t="s">
        <v>6605</v>
      </c>
      <c r="D3018">
        <v>10</v>
      </c>
      <c r="E3018">
        <v>8</v>
      </c>
      <c r="F3018">
        <v>0</v>
      </c>
      <c r="G3018">
        <v>0</v>
      </c>
      <c r="H3018">
        <v>16</v>
      </c>
      <c r="I3018">
        <v>0</v>
      </c>
      <c r="J3018">
        <v>9.99</v>
      </c>
      <c r="K3018">
        <v>0</v>
      </c>
    </row>
    <row r="3019" spans="1:12" x14ac:dyDescent="0.2">
      <c r="A3019">
        <v>83232</v>
      </c>
      <c r="B3019">
        <v>113755</v>
      </c>
      <c r="C3019" t="s">
        <v>6606</v>
      </c>
      <c r="D3019">
        <v>8</v>
      </c>
      <c r="E3019">
        <v>10</v>
      </c>
      <c r="F3019">
        <v>308</v>
      </c>
      <c r="G3019">
        <v>3080</v>
      </c>
      <c r="H3019">
        <v>70</v>
      </c>
      <c r="I3019">
        <v>4.4000000000000004</v>
      </c>
      <c r="J3019">
        <v>1.56</v>
      </c>
      <c r="K3019">
        <v>4804.8</v>
      </c>
    </row>
    <row r="3020" spans="1:12" x14ac:dyDescent="0.2">
      <c r="A3020">
        <v>81201</v>
      </c>
      <c r="B3020">
        <v>113766</v>
      </c>
      <c r="C3020" t="s">
        <v>6607</v>
      </c>
      <c r="D3020">
        <v>8</v>
      </c>
      <c r="E3020">
        <v>36</v>
      </c>
      <c r="F3020">
        <v>397</v>
      </c>
      <c r="G3020">
        <v>14292</v>
      </c>
      <c r="H3020">
        <v>112</v>
      </c>
      <c r="I3020">
        <v>3.5</v>
      </c>
      <c r="J3020">
        <v>0.79</v>
      </c>
      <c r="K3020">
        <v>11290.68</v>
      </c>
    </row>
    <row r="3021" spans="1:12" x14ac:dyDescent="0.2">
      <c r="A3021">
        <v>99905</v>
      </c>
      <c r="B3021">
        <v>114052</v>
      </c>
      <c r="C3021" t="s">
        <v>6608</v>
      </c>
      <c r="D3021">
        <v>10</v>
      </c>
      <c r="E3021">
        <v>12</v>
      </c>
      <c r="F3021">
        <v>0</v>
      </c>
      <c r="G3021">
        <v>0</v>
      </c>
      <c r="H3021">
        <v>60</v>
      </c>
      <c r="I3021">
        <v>0</v>
      </c>
      <c r="J3021">
        <v>3.89</v>
      </c>
      <c r="K3021">
        <v>0</v>
      </c>
    </row>
    <row r="3022" spans="1:12" x14ac:dyDescent="0.2">
      <c r="A3022">
        <v>66245</v>
      </c>
      <c r="B3022">
        <v>114110</v>
      </c>
      <c r="C3022" t="s">
        <v>6609</v>
      </c>
      <c r="D3022">
        <v>8</v>
      </c>
      <c r="E3022">
        <v>10</v>
      </c>
      <c r="F3022">
        <v>915</v>
      </c>
      <c r="G3022">
        <v>9150</v>
      </c>
      <c r="H3022">
        <v>56</v>
      </c>
      <c r="I3022">
        <v>16.3</v>
      </c>
      <c r="J3022">
        <v>0.99</v>
      </c>
      <c r="K3022">
        <v>9058.5</v>
      </c>
    </row>
    <row r="3023" spans="1:12" x14ac:dyDescent="0.2">
      <c r="B3023">
        <v>114214</v>
      </c>
      <c r="C3023" t="s">
        <v>6610</v>
      </c>
      <c r="D3023">
        <v>11</v>
      </c>
      <c r="E3023">
        <v>6</v>
      </c>
      <c r="F3023">
        <v>0</v>
      </c>
      <c r="G3023">
        <v>0</v>
      </c>
      <c r="H3023">
        <v>75</v>
      </c>
      <c r="I3023">
        <v>0</v>
      </c>
      <c r="J3023">
        <v>37.950000000000003</v>
      </c>
      <c r="K3023">
        <v>0</v>
      </c>
    </row>
    <row r="3024" spans="1:12" x14ac:dyDescent="0.2">
      <c r="B3024">
        <v>114245</v>
      </c>
      <c r="C3024" t="s">
        <v>6611</v>
      </c>
      <c r="D3024">
        <v>10</v>
      </c>
      <c r="E3024">
        <v>6</v>
      </c>
      <c r="F3024">
        <v>0</v>
      </c>
      <c r="G3024">
        <v>0</v>
      </c>
      <c r="H3024">
        <v>100</v>
      </c>
      <c r="I3024">
        <v>0</v>
      </c>
      <c r="J3024">
        <v>8.99</v>
      </c>
      <c r="K3024">
        <v>0</v>
      </c>
    </row>
    <row r="3025" spans="1:11" x14ac:dyDescent="0.2">
      <c r="B3025">
        <v>114279</v>
      </c>
      <c r="C3025" t="s">
        <v>6612</v>
      </c>
      <c r="D3025">
        <v>11</v>
      </c>
      <c r="E3025">
        <v>1</v>
      </c>
      <c r="F3025">
        <v>0</v>
      </c>
      <c r="G3025">
        <v>0</v>
      </c>
      <c r="H3025">
        <v>20</v>
      </c>
      <c r="I3025">
        <v>0</v>
      </c>
      <c r="J3025">
        <v>199</v>
      </c>
      <c r="K3025">
        <v>0</v>
      </c>
    </row>
    <row r="3026" spans="1:11" x14ac:dyDescent="0.2">
      <c r="A3026">
        <v>84149</v>
      </c>
      <c r="B3026">
        <v>114303</v>
      </c>
      <c r="C3026" t="s">
        <v>6613</v>
      </c>
      <c r="D3026">
        <v>8</v>
      </c>
      <c r="E3026">
        <v>20</v>
      </c>
      <c r="F3026">
        <v>106</v>
      </c>
      <c r="G3026">
        <v>2120</v>
      </c>
      <c r="H3026">
        <v>63</v>
      </c>
      <c r="I3026">
        <v>1.7</v>
      </c>
      <c r="J3026">
        <v>0.89</v>
      </c>
      <c r="K3026">
        <v>1886.8</v>
      </c>
    </row>
    <row r="3027" spans="1:11" x14ac:dyDescent="0.2">
      <c r="A3027">
        <v>93392</v>
      </c>
      <c r="B3027">
        <v>114380</v>
      </c>
      <c r="C3027" t="s">
        <v>6614</v>
      </c>
      <c r="D3027">
        <v>10</v>
      </c>
      <c r="E3027">
        <v>12</v>
      </c>
      <c r="F3027">
        <v>0</v>
      </c>
      <c r="G3027">
        <v>0</v>
      </c>
      <c r="H3027">
        <v>12</v>
      </c>
      <c r="I3027">
        <v>0</v>
      </c>
      <c r="K3027">
        <v>0</v>
      </c>
    </row>
    <row r="3028" spans="1:11" x14ac:dyDescent="0.2">
      <c r="A3028">
        <v>57442</v>
      </c>
      <c r="B3028">
        <v>114539</v>
      </c>
      <c r="C3028" t="s">
        <v>6615</v>
      </c>
      <c r="D3028">
        <v>6</v>
      </c>
      <c r="E3028">
        <v>36</v>
      </c>
      <c r="F3028">
        <v>0</v>
      </c>
      <c r="G3028">
        <v>0</v>
      </c>
      <c r="H3028">
        <v>4</v>
      </c>
      <c r="I3028">
        <v>0</v>
      </c>
      <c r="J3028">
        <v>6.49</v>
      </c>
      <c r="K3028">
        <v>0</v>
      </c>
    </row>
    <row r="3029" spans="1:11" x14ac:dyDescent="0.2">
      <c r="A3029">
        <v>95450</v>
      </c>
      <c r="B3029">
        <v>114556</v>
      </c>
      <c r="C3029" t="s">
        <v>6616</v>
      </c>
      <c r="D3029">
        <v>8</v>
      </c>
      <c r="E3029">
        <v>1</v>
      </c>
      <c r="F3029">
        <v>1613</v>
      </c>
      <c r="G3029">
        <v>1613</v>
      </c>
      <c r="H3029">
        <v>190</v>
      </c>
      <c r="I3029">
        <v>8.5</v>
      </c>
      <c r="J3029">
        <v>6.99</v>
      </c>
      <c r="K3029">
        <v>11274.87</v>
      </c>
    </row>
    <row r="3030" spans="1:11" x14ac:dyDescent="0.2">
      <c r="A3030">
        <v>86046</v>
      </c>
      <c r="B3030">
        <v>114732</v>
      </c>
      <c r="C3030" t="s">
        <v>6617</v>
      </c>
      <c r="D3030">
        <v>8</v>
      </c>
      <c r="E3030">
        <v>96</v>
      </c>
      <c r="F3030">
        <v>0</v>
      </c>
      <c r="G3030">
        <v>0</v>
      </c>
      <c r="H3030">
        <v>28</v>
      </c>
      <c r="I3030">
        <v>0</v>
      </c>
      <c r="J3030">
        <v>0.45</v>
      </c>
      <c r="K3030">
        <v>0</v>
      </c>
    </row>
    <row r="3031" spans="1:11" x14ac:dyDescent="0.2">
      <c r="A3031">
        <v>65159</v>
      </c>
      <c r="B3031">
        <v>114807</v>
      </c>
      <c r="C3031" t="s">
        <v>6618</v>
      </c>
      <c r="D3031">
        <v>8</v>
      </c>
      <c r="E3031">
        <v>48</v>
      </c>
      <c r="F3031">
        <v>371</v>
      </c>
      <c r="G3031">
        <v>17808</v>
      </c>
      <c r="H3031">
        <v>90</v>
      </c>
      <c r="I3031">
        <v>4.0999999999999996</v>
      </c>
      <c r="J3031">
        <v>1.49</v>
      </c>
      <c r="K3031">
        <v>26533.919999999998</v>
      </c>
    </row>
    <row r="3032" spans="1:11" x14ac:dyDescent="0.2">
      <c r="A3032">
        <v>57237</v>
      </c>
      <c r="B3032">
        <v>114867</v>
      </c>
      <c r="C3032" t="s">
        <v>6619</v>
      </c>
      <c r="D3032">
        <v>10</v>
      </c>
      <c r="E3032">
        <v>14</v>
      </c>
      <c r="F3032">
        <v>0</v>
      </c>
      <c r="G3032">
        <v>0</v>
      </c>
      <c r="H3032">
        <v>48</v>
      </c>
      <c r="I3032">
        <v>0</v>
      </c>
      <c r="J3032">
        <v>4.3899999999999997</v>
      </c>
      <c r="K3032">
        <v>0</v>
      </c>
    </row>
    <row r="3033" spans="1:11" x14ac:dyDescent="0.2">
      <c r="B3033">
        <v>114873</v>
      </c>
      <c r="C3033" t="s">
        <v>6620</v>
      </c>
      <c r="D3033">
        <v>11</v>
      </c>
      <c r="E3033">
        <v>6</v>
      </c>
      <c r="F3033">
        <v>0</v>
      </c>
      <c r="G3033">
        <v>0</v>
      </c>
      <c r="H3033">
        <v>105</v>
      </c>
      <c r="I3033">
        <v>0</v>
      </c>
      <c r="J3033">
        <v>1.99</v>
      </c>
      <c r="K3033">
        <v>0</v>
      </c>
    </row>
    <row r="3034" spans="1:11" x14ac:dyDescent="0.2">
      <c r="A3034">
        <v>76067</v>
      </c>
      <c r="B3034">
        <v>114904</v>
      </c>
      <c r="C3034" t="s">
        <v>6621</v>
      </c>
      <c r="D3034">
        <v>8</v>
      </c>
      <c r="E3034">
        <v>14</v>
      </c>
      <c r="F3034">
        <v>270</v>
      </c>
      <c r="G3034">
        <v>3780</v>
      </c>
      <c r="H3034">
        <v>42</v>
      </c>
      <c r="I3034">
        <v>6.4</v>
      </c>
      <c r="J3034">
        <v>1.97</v>
      </c>
      <c r="K3034">
        <v>7446.6</v>
      </c>
    </row>
    <row r="3035" spans="1:11" x14ac:dyDescent="0.2">
      <c r="B3035">
        <v>115078</v>
      </c>
      <c r="C3035" t="s">
        <v>6622</v>
      </c>
      <c r="D3035">
        <v>6</v>
      </c>
      <c r="E3035">
        <v>1</v>
      </c>
      <c r="F3035">
        <v>0</v>
      </c>
      <c r="G3035">
        <v>0</v>
      </c>
      <c r="H3035">
        <v>1980</v>
      </c>
      <c r="I3035">
        <v>0</v>
      </c>
      <c r="J3035">
        <v>1.29</v>
      </c>
      <c r="K3035">
        <v>0</v>
      </c>
    </row>
    <row r="3036" spans="1:11" x14ac:dyDescent="0.2">
      <c r="A3036">
        <v>57477</v>
      </c>
      <c r="B3036">
        <v>115079</v>
      </c>
      <c r="C3036" t="s">
        <v>6623</v>
      </c>
      <c r="D3036">
        <v>10</v>
      </c>
      <c r="E3036">
        <v>12</v>
      </c>
      <c r="F3036">
        <v>3</v>
      </c>
      <c r="G3036">
        <v>35</v>
      </c>
      <c r="H3036">
        <v>20</v>
      </c>
      <c r="I3036">
        <v>0.1</v>
      </c>
      <c r="J3036">
        <v>2.29</v>
      </c>
      <c r="K3036">
        <v>80.150000000000006</v>
      </c>
    </row>
    <row r="3037" spans="1:11" x14ac:dyDescent="0.2">
      <c r="A3037">
        <v>57478</v>
      </c>
      <c r="B3037">
        <v>115080</v>
      </c>
      <c r="C3037" t="s">
        <v>6624</v>
      </c>
      <c r="D3037">
        <v>10</v>
      </c>
      <c r="E3037">
        <v>12</v>
      </c>
      <c r="F3037">
        <v>5</v>
      </c>
      <c r="G3037">
        <v>54</v>
      </c>
      <c r="H3037">
        <v>20</v>
      </c>
      <c r="I3037">
        <v>0.2</v>
      </c>
      <c r="J3037">
        <v>1.29</v>
      </c>
      <c r="K3037">
        <v>69.66</v>
      </c>
    </row>
    <row r="3038" spans="1:11" x14ac:dyDescent="0.2">
      <c r="A3038">
        <v>57479</v>
      </c>
      <c r="B3038">
        <v>115082</v>
      </c>
      <c r="C3038" t="s">
        <v>6625</v>
      </c>
      <c r="D3038">
        <v>10</v>
      </c>
      <c r="E3038">
        <v>20</v>
      </c>
      <c r="F3038">
        <v>3</v>
      </c>
      <c r="G3038">
        <v>52</v>
      </c>
      <c r="H3038">
        <v>20</v>
      </c>
      <c r="I3038">
        <v>0.1</v>
      </c>
      <c r="J3038">
        <v>1.29</v>
      </c>
      <c r="K3038">
        <v>67.08</v>
      </c>
    </row>
    <row r="3039" spans="1:11" x14ac:dyDescent="0.2">
      <c r="A3039">
        <v>57480</v>
      </c>
      <c r="B3039">
        <v>115083</v>
      </c>
      <c r="C3039" t="s">
        <v>6626</v>
      </c>
      <c r="D3039">
        <v>10</v>
      </c>
      <c r="E3039">
        <v>11</v>
      </c>
      <c r="F3039">
        <v>4</v>
      </c>
      <c r="G3039">
        <v>47</v>
      </c>
      <c r="H3039">
        <v>20</v>
      </c>
      <c r="I3039">
        <v>0.2</v>
      </c>
      <c r="J3039">
        <v>1.29</v>
      </c>
      <c r="K3039">
        <v>60.63</v>
      </c>
    </row>
    <row r="3040" spans="1:11" x14ac:dyDescent="0.2">
      <c r="A3040">
        <v>57481</v>
      </c>
      <c r="B3040">
        <v>115085</v>
      </c>
      <c r="C3040" t="s">
        <v>6627</v>
      </c>
      <c r="D3040">
        <v>10</v>
      </c>
      <c r="E3040">
        <v>11</v>
      </c>
      <c r="F3040">
        <v>3</v>
      </c>
      <c r="G3040">
        <v>38</v>
      </c>
      <c r="H3040">
        <v>20</v>
      </c>
      <c r="I3040">
        <v>0.2</v>
      </c>
      <c r="J3040">
        <v>1.29</v>
      </c>
      <c r="K3040">
        <v>49.02</v>
      </c>
    </row>
    <row r="3041" spans="1:11" x14ac:dyDescent="0.2">
      <c r="A3041">
        <v>57482</v>
      </c>
      <c r="B3041">
        <v>115087</v>
      </c>
      <c r="C3041" t="s">
        <v>6628</v>
      </c>
      <c r="D3041">
        <v>10</v>
      </c>
      <c r="E3041">
        <v>8</v>
      </c>
      <c r="F3041">
        <v>3</v>
      </c>
      <c r="G3041">
        <v>21</v>
      </c>
      <c r="H3041">
        <v>20</v>
      </c>
      <c r="I3041">
        <v>0.1</v>
      </c>
      <c r="J3041">
        <v>1.29</v>
      </c>
      <c r="K3041">
        <v>27.09</v>
      </c>
    </row>
    <row r="3042" spans="1:11" x14ac:dyDescent="0.2">
      <c r="A3042">
        <v>57483</v>
      </c>
      <c r="B3042">
        <v>115088</v>
      </c>
      <c r="C3042" t="s">
        <v>6629</v>
      </c>
      <c r="D3042">
        <v>10</v>
      </c>
      <c r="E3042">
        <v>10</v>
      </c>
      <c r="F3042">
        <v>2</v>
      </c>
      <c r="G3042">
        <v>24</v>
      </c>
      <c r="H3042">
        <v>20</v>
      </c>
      <c r="I3042">
        <v>0.1</v>
      </c>
      <c r="J3042">
        <v>1.29</v>
      </c>
      <c r="K3042">
        <v>30.96</v>
      </c>
    </row>
    <row r="3043" spans="1:11" x14ac:dyDescent="0.2">
      <c r="B3043">
        <v>115092</v>
      </c>
      <c r="C3043" t="s">
        <v>6630</v>
      </c>
      <c r="D3043">
        <v>11</v>
      </c>
      <c r="E3043">
        <v>6</v>
      </c>
      <c r="F3043">
        <v>0</v>
      </c>
      <c r="G3043">
        <v>0</v>
      </c>
      <c r="H3043">
        <v>81</v>
      </c>
      <c r="I3043">
        <v>0</v>
      </c>
      <c r="J3043">
        <v>1.89</v>
      </c>
      <c r="K3043">
        <v>0</v>
      </c>
    </row>
    <row r="3044" spans="1:11" x14ac:dyDescent="0.2">
      <c r="A3044">
        <v>80175</v>
      </c>
      <c r="B3044">
        <v>115151</v>
      </c>
      <c r="C3044" t="s">
        <v>6631</v>
      </c>
      <c r="D3044">
        <v>8</v>
      </c>
      <c r="E3044">
        <v>6</v>
      </c>
      <c r="F3044">
        <v>38</v>
      </c>
      <c r="G3044">
        <v>228</v>
      </c>
      <c r="H3044">
        <v>88</v>
      </c>
      <c r="I3044">
        <v>0.4</v>
      </c>
      <c r="J3044">
        <v>1.89</v>
      </c>
      <c r="K3044">
        <v>430.92</v>
      </c>
    </row>
    <row r="3045" spans="1:11" x14ac:dyDescent="0.2">
      <c r="A3045">
        <v>80164</v>
      </c>
      <c r="B3045">
        <v>115155</v>
      </c>
      <c r="C3045" t="s">
        <v>6632</v>
      </c>
      <c r="D3045">
        <v>8</v>
      </c>
      <c r="E3045">
        <v>4</v>
      </c>
      <c r="F3045">
        <v>456</v>
      </c>
      <c r="G3045">
        <v>1824</v>
      </c>
      <c r="H3045">
        <v>88</v>
      </c>
      <c r="I3045">
        <v>5.2</v>
      </c>
      <c r="J3045">
        <v>1.99</v>
      </c>
      <c r="K3045">
        <v>3629.76</v>
      </c>
    </row>
    <row r="3046" spans="1:11" x14ac:dyDescent="0.2">
      <c r="A3046">
        <v>73050</v>
      </c>
      <c r="B3046">
        <v>115213</v>
      </c>
      <c r="C3046" t="s">
        <v>6633</v>
      </c>
      <c r="D3046">
        <v>8</v>
      </c>
      <c r="E3046">
        <v>400</v>
      </c>
      <c r="F3046">
        <v>651</v>
      </c>
      <c r="G3046">
        <v>260400</v>
      </c>
      <c r="H3046">
        <v>48</v>
      </c>
      <c r="I3046">
        <v>13.6</v>
      </c>
      <c r="J3046">
        <v>0.1</v>
      </c>
      <c r="K3046">
        <v>26040</v>
      </c>
    </row>
    <row r="3047" spans="1:11" x14ac:dyDescent="0.2">
      <c r="A3047">
        <v>74023</v>
      </c>
      <c r="B3047">
        <v>115227</v>
      </c>
      <c r="C3047" t="s">
        <v>6634</v>
      </c>
      <c r="D3047">
        <v>8</v>
      </c>
      <c r="E3047">
        <v>20</v>
      </c>
      <c r="F3047">
        <v>349</v>
      </c>
      <c r="G3047">
        <v>6980</v>
      </c>
      <c r="H3047">
        <v>48</v>
      </c>
      <c r="I3047">
        <v>7.3</v>
      </c>
      <c r="J3047">
        <v>1.19</v>
      </c>
      <c r="K3047">
        <v>8306.2000000000007</v>
      </c>
    </row>
    <row r="3048" spans="1:11" x14ac:dyDescent="0.2">
      <c r="A3048">
        <v>89019</v>
      </c>
      <c r="B3048">
        <v>115352</v>
      </c>
      <c r="C3048" t="s">
        <v>6635</v>
      </c>
      <c r="D3048">
        <v>8</v>
      </c>
      <c r="E3048">
        <v>10</v>
      </c>
      <c r="F3048">
        <v>315</v>
      </c>
      <c r="G3048">
        <v>3150</v>
      </c>
      <c r="H3048">
        <v>63</v>
      </c>
      <c r="I3048">
        <v>5</v>
      </c>
      <c r="J3048">
        <v>1.49</v>
      </c>
      <c r="K3048">
        <v>4693.5</v>
      </c>
    </row>
    <row r="3049" spans="1:11" x14ac:dyDescent="0.2">
      <c r="A3049">
        <v>62105</v>
      </c>
      <c r="B3049">
        <v>115462</v>
      </c>
      <c r="C3049" t="s">
        <v>5414</v>
      </c>
      <c r="D3049">
        <v>8</v>
      </c>
      <c r="E3049">
        <v>4</v>
      </c>
      <c r="F3049">
        <v>491</v>
      </c>
      <c r="G3049">
        <v>1964</v>
      </c>
      <c r="H3049">
        <v>60</v>
      </c>
      <c r="I3049">
        <v>8.1999999999999993</v>
      </c>
      <c r="J3049">
        <v>4.99</v>
      </c>
      <c r="K3049">
        <v>9800.36</v>
      </c>
    </row>
    <row r="3050" spans="1:11" x14ac:dyDescent="0.2">
      <c r="A3050">
        <v>80091</v>
      </c>
      <c r="B3050">
        <v>115538</v>
      </c>
      <c r="C3050" t="s">
        <v>6636</v>
      </c>
      <c r="D3050">
        <v>8</v>
      </c>
      <c r="E3050">
        <v>6</v>
      </c>
      <c r="F3050">
        <v>538</v>
      </c>
      <c r="G3050">
        <v>3228</v>
      </c>
      <c r="H3050">
        <v>108</v>
      </c>
      <c r="I3050">
        <v>5</v>
      </c>
      <c r="J3050">
        <v>1.66</v>
      </c>
      <c r="K3050">
        <v>5358.48</v>
      </c>
    </row>
    <row r="3051" spans="1:11" x14ac:dyDescent="0.2">
      <c r="A3051">
        <v>69083</v>
      </c>
      <c r="B3051">
        <v>115731</v>
      </c>
      <c r="C3051" t="s">
        <v>6637</v>
      </c>
      <c r="D3051">
        <v>8</v>
      </c>
      <c r="E3051">
        <v>36</v>
      </c>
      <c r="F3051">
        <v>353</v>
      </c>
      <c r="G3051">
        <v>12708</v>
      </c>
      <c r="H3051">
        <v>120</v>
      </c>
      <c r="I3051">
        <v>2.9</v>
      </c>
      <c r="J3051">
        <v>1.35</v>
      </c>
      <c r="K3051">
        <v>17155.8</v>
      </c>
    </row>
    <row r="3052" spans="1:11" x14ac:dyDescent="0.2">
      <c r="A3052">
        <v>35811</v>
      </c>
      <c r="B3052">
        <v>115857</v>
      </c>
      <c r="C3052" t="s">
        <v>6638</v>
      </c>
      <c r="D3052">
        <v>10</v>
      </c>
      <c r="E3052">
        <v>12</v>
      </c>
      <c r="F3052">
        <v>0</v>
      </c>
      <c r="G3052">
        <v>0</v>
      </c>
      <c r="H3052">
        <v>18</v>
      </c>
      <c r="I3052">
        <v>0</v>
      </c>
      <c r="J3052">
        <v>9.99</v>
      </c>
      <c r="K3052">
        <v>0</v>
      </c>
    </row>
    <row r="3053" spans="1:11" x14ac:dyDescent="0.2">
      <c r="A3053">
        <v>76061</v>
      </c>
      <c r="B3053">
        <v>115859</v>
      </c>
      <c r="C3053" t="s">
        <v>6639</v>
      </c>
      <c r="D3053">
        <v>8</v>
      </c>
      <c r="E3053">
        <v>13</v>
      </c>
      <c r="F3053">
        <v>155</v>
      </c>
      <c r="G3053">
        <v>2015</v>
      </c>
      <c r="H3053">
        <v>42</v>
      </c>
      <c r="I3053">
        <v>3.7</v>
      </c>
      <c r="J3053">
        <v>1.79</v>
      </c>
      <c r="K3053">
        <v>3606.85</v>
      </c>
    </row>
    <row r="3054" spans="1:11" x14ac:dyDescent="0.2">
      <c r="A3054">
        <v>57609</v>
      </c>
      <c r="B3054">
        <v>115998</v>
      </c>
      <c r="C3054" t="s">
        <v>6640</v>
      </c>
      <c r="D3054">
        <v>6</v>
      </c>
      <c r="E3054">
        <v>1</v>
      </c>
      <c r="F3054">
        <v>0</v>
      </c>
      <c r="G3054">
        <v>0</v>
      </c>
      <c r="H3054">
        <v>1176</v>
      </c>
      <c r="I3054">
        <v>0</v>
      </c>
      <c r="J3054">
        <v>0.59</v>
      </c>
      <c r="K3054">
        <v>0</v>
      </c>
    </row>
    <row r="3055" spans="1:11" x14ac:dyDescent="0.2">
      <c r="A3055">
        <v>65245</v>
      </c>
      <c r="B3055">
        <v>116050</v>
      </c>
      <c r="C3055" t="s">
        <v>6641</v>
      </c>
      <c r="D3055">
        <v>8</v>
      </c>
      <c r="E3055">
        <v>12</v>
      </c>
      <c r="F3055">
        <v>732</v>
      </c>
      <c r="G3055">
        <v>8782</v>
      </c>
      <c r="H3055">
        <v>84</v>
      </c>
      <c r="I3055">
        <v>8.6999999999999993</v>
      </c>
      <c r="J3055">
        <v>0.54</v>
      </c>
      <c r="K3055">
        <v>4742.28</v>
      </c>
    </row>
    <row r="3056" spans="1:11" x14ac:dyDescent="0.2">
      <c r="A3056">
        <v>73054</v>
      </c>
      <c r="B3056">
        <v>116154</v>
      </c>
      <c r="C3056" t="s">
        <v>6642</v>
      </c>
      <c r="D3056">
        <v>9</v>
      </c>
      <c r="E3056">
        <v>10</v>
      </c>
      <c r="F3056">
        <v>41</v>
      </c>
      <c r="G3056">
        <v>409</v>
      </c>
      <c r="H3056">
        <v>96</v>
      </c>
      <c r="I3056">
        <v>0.4</v>
      </c>
      <c r="J3056">
        <v>0.51</v>
      </c>
      <c r="K3056">
        <v>208.59</v>
      </c>
    </row>
    <row r="3057" spans="1:11" x14ac:dyDescent="0.2">
      <c r="B3057">
        <v>116182</v>
      </c>
      <c r="C3057" t="s">
        <v>6643</v>
      </c>
      <c r="D3057">
        <v>11</v>
      </c>
      <c r="E3057">
        <v>8</v>
      </c>
      <c r="F3057">
        <v>0</v>
      </c>
      <c r="G3057">
        <v>0</v>
      </c>
      <c r="H3057">
        <v>48</v>
      </c>
      <c r="I3057">
        <v>0</v>
      </c>
      <c r="J3057">
        <v>3.97</v>
      </c>
      <c r="K3057">
        <v>0</v>
      </c>
    </row>
    <row r="3058" spans="1:11" x14ac:dyDescent="0.2">
      <c r="A3058">
        <v>73065</v>
      </c>
      <c r="B3058">
        <v>116257</v>
      </c>
      <c r="C3058" t="s">
        <v>6644</v>
      </c>
      <c r="D3058">
        <v>9</v>
      </c>
      <c r="E3058">
        <v>10</v>
      </c>
      <c r="F3058">
        <v>45</v>
      </c>
      <c r="G3058">
        <v>450</v>
      </c>
      <c r="H3058">
        <v>30</v>
      </c>
      <c r="I3058">
        <v>1.5</v>
      </c>
      <c r="J3058">
        <v>2.4900000000000002</v>
      </c>
      <c r="K3058">
        <v>1120.5</v>
      </c>
    </row>
    <row r="3059" spans="1:11" x14ac:dyDescent="0.2">
      <c r="B3059">
        <v>116298</v>
      </c>
      <c r="C3059" t="s">
        <v>6645</v>
      </c>
      <c r="D3059">
        <v>11</v>
      </c>
      <c r="E3059">
        <v>6</v>
      </c>
      <c r="F3059">
        <v>0</v>
      </c>
      <c r="G3059">
        <v>0</v>
      </c>
      <c r="H3059">
        <v>100</v>
      </c>
      <c r="I3059">
        <v>0</v>
      </c>
      <c r="J3059">
        <v>1.99</v>
      </c>
      <c r="K3059">
        <v>0</v>
      </c>
    </row>
    <row r="3060" spans="1:11" x14ac:dyDescent="0.2">
      <c r="A3060">
        <v>62102</v>
      </c>
      <c r="B3060">
        <v>116299</v>
      </c>
      <c r="C3060" t="s">
        <v>6646</v>
      </c>
      <c r="D3060">
        <v>8</v>
      </c>
      <c r="E3060">
        <v>4</v>
      </c>
      <c r="F3060">
        <v>327</v>
      </c>
      <c r="G3060">
        <v>1308</v>
      </c>
      <c r="H3060">
        <v>55</v>
      </c>
      <c r="I3060">
        <v>5.9</v>
      </c>
      <c r="J3060">
        <v>6.79</v>
      </c>
      <c r="K3060">
        <v>8881.32</v>
      </c>
    </row>
    <row r="3061" spans="1:11" x14ac:dyDescent="0.2">
      <c r="A3061">
        <v>62094</v>
      </c>
      <c r="B3061">
        <v>116303</v>
      </c>
      <c r="C3061" t="s">
        <v>6647</v>
      </c>
      <c r="D3061">
        <v>7</v>
      </c>
      <c r="E3061">
        <v>4</v>
      </c>
      <c r="F3061">
        <v>9</v>
      </c>
      <c r="G3061">
        <v>36</v>
      </c>
      <c r="H3061">
        <v>72</v>
      </c>
      <c r="I3061">
        <v>0.1</v>
      </c>
      <c r="J3061">
        <v>6.79</v>
      </c>
      <c r="K3061">
        <v>244.44</v>
      </c>
    </row>
    <row r="3062" spans="1:11" x14ac:dyDescent="0.2">
      <c r="A3062">
        <v>69204</v>
      </c>
      <c r="B3062">
        <v>116329</v>
      </c>
      <c r="C3062" t="s">
        <v>6648</v>
      </c>
      <c r="D3062">
        <v>8</v>
      </c>
      <c r="E3062">
        <v>6</v>
      </c>
      <c r="F3062">
        <v>2368</v>
      </c>
      <c r="G3062">
        <v>14208</v>
      </c>
      <c r="H3062">
        <v>216</v>
      </c>
      <c r="I3062">
        <v>11</v>
      </c>
      <c r="J3062">
        <v>0.57999999999999996</v>
      </c>
      <c r="K3062">
        <v>8240.64</v>
      </c>
    </row>
    <row r="3063" spans="1:11" x14ac:dyDescent="0.2">
      <c r="A3063">
        <v>26509</v>
      </c>
      <c r="B3063">
        <v>116351</v>
      </c>
      <c r="C3063" t="s">
        <v>6649</v>
      </c>
      <c r="D3063">
        <v>10</v>
      </c>
      <c r="E3063">
        <v>12</v>
      </c>
      <c r="F3063">
        <v>0</v>
      </c>
      <c r="G3063">
        <v>0</v>
      </c>
      <c r="H3063">
        <v>108</v>
      </c>
      <c r="I3063">
        <v>0</v>
      </c>
      <c r="J3063">
        <v>1.39</v>
      </c>
      <c r="K3063">
        <v>0</v>
      </c>
    </row>
    <row r="3064" spans="1:11" x14ac:dyDescent="0.2">
      <c r="B3064">
        <v>116476</v>
      </c>
      <c r="C3064" t="s">
        <v>6650</v>
      </c>
      <c r="D3064">
        <v>11</v>
      </c>
      <c r="E3064">
        <v>6</v>
      </c>
      <c r="F3064">
        <v>0</v>
      </c>
      <c r="G3064">
        <v>0</v>
      </c>
      <c r="H3064">
        <v>80</v>
      </c>
      <c r="I3064">
        <v>0</v>
      </c>
      <c r="J3064">
        <v>34.9</v>
      </c>
      <c r="K3064">
        <v>0</v>
      </c>
    </row>
    <row r="3065" spans="1:11" x14ac:dyDescent="0.2">
      <c r="B3065">
        <v>116484</v>
      </c>
      <c r="C3065" t="s">
        <v>6651</v>
      </c>
      <c r="D3065">
        <v>10</v>
      </c>
      <c r="E3065">
        <v>6</v>
      </c>
      <c r="F3065">
        <v>-31</v>
      </c>
      <c r="G3065">
        <v>-186</v>
      </c>
      <c r="H3065">
        <v>60</v>
      </c>
      <c r="I3065">
        <v>-0.5</v>
      </c>
      <c r="J3065">
        <v>1.54</v>
      </c>
      <c r="K3065">
        <v>-286.44</v>
      </c>
    </row>
    <row r="3066" spans="1:11" x14ac:dyDescent="0.2">
      <c r="B3066">
        <v>116488</v>
      </c>
      <c r="C3066" t="s">
        <v>6652</v>
      </c>
      <c r="D3066">
        <v>11</v>
      </c>
      <c r="E3066">
        <v>1</v>
      </c>
      <c r="F3066">
        <v>0</v>
      </c>
      <c r="G3066">
        <v>0</v>
      </c>
      <c r="H3066">
        <v>480</v>
      </c>
      <c r="I3066">
        <v>0</v>
      </c>
      <c r="J3066">
        <v>1.99</v>
      </c>
      <c r="K3066">
        <v>0</v>
      </c>
    </row>
    <row r="3067" spans="1:11" x14ac:dyDescent="0.2">
      <c r="A3067">
        <v>70193</v>
      </c>
      <c r="B3067">
        <v>116573</v>
      </c>
      <c r="C3067" t="s">
        <v>6653</v>
      </c>
      <c r="D3067">
        <v>8</v>
      </c>
      <c r="E3067">
        <v>15</v>
      </c>
      <c r="F3067">
        <v>134</v>
      </c>
      <c r="G3067">
        <v>2010</v>
      </c>
      <c r="H3067">
        <v>140</v>
      </c>
      <c r="I3067">
        <v>1</v>
      </c>
      <c r="J3067">
        <v>1.99</v>
      </c>
      <c r="K3067">
        <v>3999.9</v>
      </c>
    </row>
    <row r="3068" spans="1:11" x14ac:dyDescent="0.2">
      <c r="B3068">
        <v>116635</v>
      </c>
      <c r="C3068" t="s">
        <v>6654</v>
      </c>
      <c r="D3068">
        <v>11</v>
      </c>
      <c r="E3068">
        <v>1</v>
      </c>
      <c r="F3068">
        <v>0</v>
      </c>
      <c r="G3068">
        <v>0</v>
      </c>
      <c r="H3068">
        <v>360</v>
      </c>
      <c r="I3068">
        <v>0</v>
      </c>
      <c r="J3068">
        <v>1.99</v>
      </c>
      <c r="K3068">
        <v>0</v>
      </c>
    </row>
    <row r="3069" spans="1:11" x14ac:dyDescent="0.2">
      <c r="B3069">
        <v>116636</v>
      </c>
      <c r="C3069" t="s">
        <v>6655</v>
      </c>
      <c r="D3069">
        <v>11</v>
      </c>
      <c r="E3069">
        <v>1</v>
      </c>
      <c r="F3069">
        <v>0</v>
      </c>
      <c r="G3069">
        <v>0</v>
      </c>
      <c r="H3069">
        <v>360</v>
      </c>
      <c r="I3069">
        <v>0</v>
      </c>
      <c r="J3069">
        <v>1.99</v>
      </c>
      <c r="K3069">
        <v>0</v>
      </c>
    </row>
    <row r="3070" spans="1:11" x14ac:dyDescent="0.2">
      <c r="A3070">
        <v>70104</v>
      </c>
      <c r="B3070">
        <v>116649</v>
      </c>
      <c r="C3070" t="s">
        <v>6656</v>
      </c>
      <c r="D3070">
        <v>9</v>
      </c>
      <c r="E3070">
        <v>12</v>
      </c>
      <c r="F3070">
        <v>14</v>
      </c>
      <c r="G3070">
        <v>168</v>
      </c>
      <c r="H3070">
        <v>104</v>
      </c>
      <c r="I3070">
        <v>0.1</v>
      </c>
      <c r="J3070">
        <v>2.4900000000000002</v>
      </c>
      <c r="K3070">
        <v>418.32</v>
      </c>
    </row>
    <row r="3071" spans="1:11" x14ac:dyDescent="0.2">
      <c r="B3071">
        <v>116654</v>
      </c>
      <c r="C3071" t="s">
        <v>6657</v>
      </c>
      <c r="D3071">
        <v>11</v>
      </c>
      <c r="E3071">
        <v>15</v>
      </c>
      <c r="F3071">
        <v>2</v>
      </c>
      <c r="G3071">
        <v>30</v>
      </c>
      <c r="H3071">
        <v>184</v>
      </c>
      <c r="I3071">
        <v>0</v>
      </c>
      <c r="J3071">
        <v>1.19</v>
      </c>
      <c r="K3071">
        <v>35.700000000000003</v>
      </c>
    </row>
    <row r="3072" spans="1:11" x14ac:dyDescent="0.2">
      <c r="B3072">
        <v>116655</v>
      </c>
      <c r="C3072" t="s">
        <v>6658</v>
      </c>
      <c r="D3072">
        <v>11</v>
      </c>
      <c r="E3072">
        <v>6</v>
      </c>
      <c r="F3072">
        <v>3</v>
      </c>
      <c r="G3072">
        <v>18</v>
      </c>
      <c r="H3072">
        <v>105</v>
      </c>
      <c r="I3072">
        <v>0</v>
      </c>
      <c r="J3072">
        <v>5.49</v>
      </c>
      <c r="K3072">
        <v>98.82</v>
      </c>
    </row>
    <row r="3073" spans="1:11" x14ac:dyDescent="0.2">
      <c r="B3073">
        <v>116656</v>
      </c>
      <c r="C3073" t="s">
        <v>6659</v>
      </c>
      <c r="D3073">
        <v>10</v>
      </c>
      <c r="E3073">
        <v>6</v>
      </c>
      <c r="F3073">
        <v>0</v>
      </c>
      <c r="G3073">
        <v>0</v>
      </c>
      <c r="H3073">
        <v>105</v>
      </c>
      <c r="I3073">
        <v>0</v>
      </c>
      <c r="J3073">
        <v>4.49</v>
      </c>
      <c r="K3073">
        <v>0</v>
      </c>
    </row>
    <row r="3074" spans="1:11" x14ac:dyDescent="0.2">
      <c r="B3074">
        <v>116659</v>
      </c>
      <c r="C3074" t="s">
        <v>6660</v>
      </c>
      <c r="D3074">
        <v>11</v>
      </c>
      <c r="E3074">
        <v>6</v>
      </c>
      <c r="F3074">
        <v>0</v>
      </c>
      <c r="G3074">
        <v>0</v>
      </c>
      <c r="H3074">
        <v>105</v>
      </c>
      <c r="I3074">
        <v>0</v>
      </c>
      <c r="J3074">
        <v>7.99</v>
      </c>
      <c r="K3074">
        <v>0</v>
      </c>
    </row>
    <row r="3075" spans="1:11" x14ac:dyDescent="0.2">
      <c r="A3075">
        <v>61203</v>
      </c>
      <c r="B3075">
        <v>116661</v>
      </c>
      <c r="C3075" t="s">
        <v>6661</v>
      </c>
      <c r="D3075">
        <v>10</v>
      </c>
      <c r="E3075">
        <v>6</v>
      </c>
      <c r="F3075">
        <v>28</v>
      </c>
      <c r="G3075">
        <v>166</v>
      </c>
      <c r="H3075">
        <v>105</v>
      </c>
      <c r="I3075">
        <v>0.3</v>
      </c>
      <c r="J3075">
        <v>4.4800000000000004</v>
      </c>
      <c r="K3075">
        <v>743.68</v>
      </c>
    </row>
    <row r="3076" spans="1:11" x14ac:dyDescent="0.2">
      <c r="B3076">
        <v>116663</v>
      </c>
      <c r="C3076" t="s">
        <v>6662</v>
      </c>
      <c r="D3076">
        <v>11</v>
      </c>
      <c r="E3076">
        <v>6</v>
      </c>
      <c r="F3076">
        <v>0</v>
      </c>
      <c r="G3076">
        <v>0</v>
      </c>
      <c r="H3076">
        <v>105</v>
      </c>
      <c r="I3076">
        <v>0</v>
      </c>
      <c r="J3076">
        <v>5.99</v>
      </c>
      <c r="K3076">
        <v>0</v>
      </c>
    </row>
    <row r="3077" spans="1:11" x14ac:dyDescent="0.2">
      <c r="B3077">
        <v>116665</v>
      </c>
      <c r="C3077" t="s">
        <v>6663</v>
      </c>
      <c r="D3077">
        <v>10</v>
      </c>
      <c r="E3077">
        <v>6</v>
      </c>
      <c r="F3077">
        <v>0</v>
      </c>
      <c r="G3077">
        <v>0</v>
      </c>
      <c r="H3077">
        <v>105</v>
      </c>
      <c r="I3077">
        <v>0</v>
      </c>
      <c r="J3077">
        <v>5.99</v>
      </c>
      <c r="K3077">
        <v>0</v>
      </c>
    </row>
    <row r="3078" spans="1:11" x14ac:dyDescent="0.2">
      <c r="B3078">
        <v>116695</v>
      </c>
      <c r="C3078" t="s">
        <v>6664</v>
      </c>
      <c r="D3078">
        <v>11</v>
      </c>
      <c r="E3078">
        <v>20</v>
      </c>
      <c r="F3078">
        <v>0</v>
      </c>
      <c r="G3078">
        <v>0</v>
      </c>
      <c r="H3078">
        <v>160</v>
      </c>
      <c r="I3078">
        <v>0</v>
      </c>
      <c r="J3078">
        <v>0.49</v>
      </c>
      <c r="K3078">
        <v>0</v>
      </c>
    </row>
    <row r="3079" spans="1:11" x14ac:dyDescent="0.2">
      <c r="B3079">
        <v>116728</v>
      </c>
      <c r="C3079" t="s">
        <v>6665</v>
      </c>
      <c r="D3079">
        <v>11</v>
      </c>
      <c r="E3079">
        <v>3</v>
      </c>
      <c r="F3079">
        <v>0</v>
      </c>
      <c r="G3079">
        <v>0</v>
      </c>
      <c r="H3079">
        <v>120</v>
      </c>
      <c r="I3079">
        <v>0</v>
      </c>
      <c r="J3079">
        <v>2.65</v>
      </c>
      <c r="K3079">
        <v>0</v>
      </c>
    </row>
    <row r="3080" spans="1:11" x14ac:dyDescent="0.2">
      <c r="A3080">
        <v>0</v>
      </c>
      <c r="B3080">
        <v>116739</v>
      </c>
      <c r="C3080" t="s">
        <v>6666</v>
      </c>
      <c r="D3080">
        <v>12</v>
      </c>
      <c r="E3080">
        <v>12</v>
      </c>
      <c r="F3080">
        <v>0</v>
      </c>
      <c r="G3080">
        <v>0</v>
      </c>
      <c r="H3080">
        <v>84</v>
      </c>
      <c r="I3080">
        <v>0</v>
      </c>
      <c r="J3080">
        <v>1.76</v>
      </c>
      <c r="K3080">
        <v>0</v>
      </c>
    </row>
    <row r="3081" spans="1:11" x14ac:dyDescent="0.2">
      <c r="A3081">
        <v>81085</v>
      </c>
      <c r="B3081">
        <v>116739</v>
      </c>
      <c r="C3081" t="s">
        <v>6666</v>
      </c>
      <c r="D3081">
        <v>8</v>
      </c>
      <c r="E3081">
        <v>20</v>
      </c>
      <c r="F3081">
        <v>484</v>
      </c>
      <c r="G3081">
        <v>9680</v>
      </c>
      <c r="H3081">
        <v>80</v>
      </c>
      <c r="I3081">
        <v>6.1</v>
      </c>
      <c r="J3081">
        <v>1.76</v>
      </c>
      <c r="K3081">
        <v>17036.8</v>
      </c>
    </row>
    <row r="3082" spans="1:11" x14ac:dyDescent="0.2">
      <c r="A3082">
        <v>0</v>
      </c>
      <c r="B3082">
        <v>116741</v>
      </c>
      <c r="C3082" t="s">
        <v>6667</v>
      </c>
      <c r="D3082">
        <v>12</v>
      </c>
      <c r="E3082">
        <v>12</v>
      </c>
      <c r="F3082">
        <v>0</v>
      </c>
      <c r="G3082">
        <v>0</v>
      </c>
      <c r="H3082">
        <v>84</v>
      </c>
      <c r="I3082">
        <v>0</v>
      </c>
      <c r="J3082">
        <v>1.76</v>
      </c>
      <c r="K3082">
        <v>0</v>
      </c>
    </row>
    <row r="3083" spans="1:11" x14ac:dyDescent="0.2">
      <c r="B3083">
        <v>116741</v>
      </c>
      <c r="C3083" t="s">
        <v>6667</v>
      </c>
      <c r="D3083">
        <v>11</v>
      </c>
      <c r="E3083">
        <v>20</v>
      </c>
      <c r="F3083">
        <v>2</v>
      </c>
      <c r="G3083">
        <v>40</v>
      </c>
      <c r="H3083">
        <v>80</v>
      </c>
      <c r="I3083">
        <v>0</v>
      </c>
      <c r="J3083">
        <v>1.76</v>
      </c>
      <c r="K3083">
        <v>70.400000000000006</v>
      </c>
    </row>
    <row r="3084" spans="1:11" x14ac:dyDescent="0.2">
      <c r="A3084">
        <v>42519</v>
      </c>
      <c r="B3084">
        <v>116752</v>
      </c>
      <c r="C3084" t="s">
        <v>6668</v>
      </c>
      <c r="D3084">
        <v>10</v>
      </c>
      <c r="E3084">
        <v>12</v>
      </c>
      <c r="F3084">
        <v>8</v>
      </c>
      <c r="G3084">
        <v>96</v>
      </c>
      <c r="H3084">
        <v>72</v>
      </c>
      <c r="I3084">
        <v>0.1</v>
      </c>
      <c r="J3084">
        <v>2.19</v>
      </c>
      <c r="K3084">
        <v>210.24</v>
      </c>
    </row>
    <row r="3085" spans="1:11" x14ac:dyDescent="0.2">
      <c r="B3085">
        <v>116799</v>
      </c>
      <c r="C3085" t="s">
        <v>6669</v>
      </c>
      <c r="D3085">
        <v>11</v>
      </c>
      <c r="E3085">
        <v>6</v>
      </c>
      <c r="F3085">
        <v>-3</v>
      </c>
      <c r="G3085">
        <v>-18</v>
      </c>
      <c r="H3085">
        <v>100</v>
      </c>
      <c r="I3085">
        <v>0</v>
      </c>
      <c r="J3085">
        <v>4.99</v>
      </c>
      <c r="K3085">
        <v>-89.82</v>
      </c>
    </row>
    <row r="3086" spans="1:11" x14ac:dyDescent="0.2">
      <c r="B3086">
        <v>116820</v>
      </c>
      <c r="C3086" t="s">
        <v>6670</v>
      </c>
      <c r="D3086">
        <v>11</v>
      </c>
      <c r="E3086">
        <v>12</v>
      </c>
      <c r="F3086">
        <v>0</v>
      </c>
      <c r="G3086">
        <v>0</v>
      </c>
      <c r="H3086">
        <v>128</v>
      </c>
      <c r="I3086">
        <v>0</v>
      </c>
      <c r="J3086">
        <v>1.59</v>
      </c>
      <c r="K3086">
        <v>0</v>
      </c>
    </row>
    <row r="3087" spans="1:11" x14ac:dyDescent="0.2">
      <c r="B3087">
        <v>116821</v>
      </c>
      <c r="C3087" t="s">
        <v>6671</v>
      </c>
      <c r="D3087">
        <v>11</v>
      </c>
      <c r="E3087">
        <v>12</v>
      </c>
      <c r="F3087">
        <v>0</v>
      </c>
      <c r="G3087">
        <v>0</v>
      </c>
      <c r="H3087">
        <v>128</v>
      </c>
      <c r="I3087">
        <v>0</v>
      </c>
      <c r="J3087">
        <v>1.79</v>
      </c>
      <c r="K3087">
        <v>0</v>
      </c>
    </row>
    <row r="3088" spans="1:11" x14ac:dyDescent="0.2">
      <c r="A3088">
        <v>70221</v>
      </c>
      <c r="B3088">
        <v>116872</v>
      </c>
      <c r="C3088" t="s">
        <v>6672</v>
      </c>
      <c r="D3088">
        <v>8</v>
      </c>
      <c r="E3088">
        <v>24</v>
      </c>
      <c r="F3088">
        <v>118</v>
      </c>
      <c r="G3088">
        <v>2832</v>
      </c>
      <c r="H3088">
        <v>160</v>
      </c>
      <c r="I3088">
        <v>0.7</v>
      </c>
      <c r="J3088">
        <v>1.99</v>
      </c>
      <c r="K3088">
        <v>5635.68</v>
      </c>
    </row>
    <row r="3089" spans="1:11" x14ac:dyDescent="0.2">
      <c r="B3089">
        <v>116878</v>
      </c>
      <c r="C3089" t="s">
        <v>5860</v>
      </c>
      <c r="D3089">
        <v>11</v>
      </c>
      <c r="E3089">
        <v>40</v>
      </c>
      <c r="F3089">
        <v>0</v>
      </c>
      <c r="G3089">
        <v>0</v>
      </c>
      <c r="H3089">
        <v>100</v>
      </c>
      <c r="I3089">
        <v>0</v>
      </c>
      <c r="J3089">
        <v>1.99</v>
      </c>
      <c r="K3089">
        <v>0</v>
      </c>
    </row>
    <row r="3090" spans="1:11" x14ac:dyDescent="0.2">
      <c r="A3090">
        <v>73078</v>
      </c>
      <c r="B3090">
        <v>116893</v>
      </c>
      <c r="C3090" t="s">
        <v>6673</v>
      </c>
      <c r="D3090">
        <v>8</v>
      </c>
      <c r="E3090">
        <v>12</v>
      </c>
      <c r="F3090">
        <v>1071</v>
      </c>
      <c r="G3090">
        <v>12852</v>
      </c>
      <c r="H3090">
        <v>130</v>
      </c>
      <c r="I3090">
        <v>8.1999999999999993</v>
      </c>
      <c r="J3090">
        <v>1.39</v>
      </c>
      <c r="K3090">
        <v>17864.28</v>
      </c>
    </row>
    <row r="3091" spans="1:11" x14ac:dyDescent="0.2">
      <c r="A3091">
        <v>80146</v>
      </c>
      <c r="B3091">
        <v>116915</v>
      </c>
      <c r="C3091" t="s">
        <v>6674</v>
      </c>
      <c r="D3091">
        <v>8</v>
      </c>
      <c r="E3091">
        <v>8</v>
      </c>
      <c r="F3091">
        <v>445</v>
      </c>
      <c r="G3091">
        <v>3561</v>
      </c>
      <c r="H3091">
        <v>96</v>
      </c>
      <c r="I3091">
        <v>4.5999999999999996</v>
      </c>
      <c r="J3091">
        <v>1.85</v>
      </c>
      <c r="K3091">
        <v>6587.85</v>
      </c>
    </row>
    <row r="3092" spans="1:11" x14ac:dyDescent="0.2">
      <c r="A3092">
        <v>87027</v>
      </c>
      <c r="B3092">
        <v>116942</v>
      </c>
      <c r="C3092" t="s">
        <v>6675</v>
      </c>
      <c r="D3092">
        <v>8</v>
      </c>
      <c r="E3092">
        <v>10</v>
      </c>
      <c r="F3092">
        <v>54</v>
      </c>
      <c r="G3092">
        <v>540</v>
      </c>
      <c r="H3092">
        <v>54</v>
      </c>
      <c r="I3092">
        <v>1</v>
      </c>
      <c r="J3092">
        <v>1.95</v>
      </c>
      <c r="K3092">
        <v>1053</v>
      </c>
    </row>
    <row r="3093" spans="1:11" x14ac:dyDescent="0.2">
      <c r="B3093">
        <v>116957</v>
      </c>
      <c r="C3093" t="s">
        <v>6676</v>
      </c>
      <c r="D3093">
        <v>11</v>
      </c>
      <c r="E3093">
        <v>12</v>
      </c>
      <c r="F3093">
        <v>0</v>
      </c>
      <c r="G3093">
        <v>0</v>
      </c>
      <c r="H3093">
        <v>272</v>
      </c>
      <c r="I3093">
        <v>0</v>
      </c>
      <c r="J3093">
        <v>0.49</v>
      </c>
      <c r="K3093">
        <v>0</v>
      </c>
    </row>
    <row r="3094" spans="1:11" x14ac:dyDescent="0.2">
      <c r="B3094">
        <v>116971</v>
      </c>
      <c r="C3094" t="s">
        <v>6677</v>
      </c>
      <c r="D3094">
        <v>6</v>
      </c>
      <c r="E3094">
        <v>16</v>
      </c>
      <c r="F3094">
        <v>0</v>
      </c>
      <c r="G3094">
        <v>0</v>
      </c>
      <c r="H3094">
        <v>72</v>
      </c>
      <c r="I3094">
        <v>0</v>
      </c>
      <c r="J3094">
        <v>1.99</v>
      </c>
      <c r="K3094">
        <v>0</v>
      </c>
    </row>
    <row r="3095" spans="1:11" x14ac:dyDescent="0.2">
      <c r="A3095">
        <v>67243</v>
      </c>
      <c r="B3095">
        <v>117022</v>
      </c>
      <c r="C3095" t="s">
        <v>6678</v>
      </c>
      <c r="D3095">
        <v>8</v>
      </c>
      <c r="E3095">
        <v>8</v>
      </c>
      <c r="F3095">
        <v>685</v>
      </c>
      <c r="G3095">
        <v>5481</v>
      </c>
      <c r="H3095">
        <v>64</v>
      </c>
      <c r="I3095">
        <v>10.7</v>
      </c>
      <c r="J3095">
        <v>1.65</v>
      </c>
      <c r="K3095">
        <v>9043.65</v>
      </c>
    </row>
    <row r="3096" spans="1:11" x14ac:dyDescent="0.2">
      <c r="A3096">
        <v>99773</v>
      </c>
      <c r="B3096">
        <v>117024</v>
      </c>
      <c r="C3096" t="s">
        <v>6679</v>
      </c>
      <c r="D3096">
        <v>6</v>
      </c>
      <c r="E3096">
        <v>10</v>
      </c>
      <c r="F3096">
        <v>0</v>
      </c>
      <c r="G3096">
        <v>0</v>
      </c>
      <c r="H3096">
        <v>72</v>
      </c>
      <c r="I3096">
        <v>0</v>
      </c>
      <c r="J3096">
        <v>0.89</v>
      </c>
      <c r="K3096">
        <v>0</v>
      </c>
    </row>
    <row r="3097" spans="1:11" x14ac:dyDescent="0.2">
      <c r="A3097">
        <v>57196</v>
      </c>
      <c r="B3097">
        <v>117043</v>
      </c>
      <c r="C3097" t="s">
        <v>6680</v>
      </c>
      <c r="D3097">
        <v>11</v>
      </c>
      <c r="E3097">
        <v>16</v>
      </c>
      <c r="F3097">
        <v>0</v>
      </c>
      <c r="G3097">
        <v>0</v>
      </c>
      <c r="H3097">
        <v>28</v>
      </c>
      <c r="I3097">
        <v>0</v>
      </c>
      <c r="J3097">
        <v>2</v>
      </c>
      <c r="K3097">
        <v>0</v>
      </c>
    </row>
    <row r="3098" spans="1:11" x14ac:dyDescent="0.2">
      <c r="A3098">
        <v>69003</v>
      </c>
      <c r="B3098">
        <v>117053</v>
      </c>
      <c r="C3098" t="s">
        <v>6681</v>
      </c>
      <c r="D3098">
        <v>8</v>
      </c>
      <c r="E3098">
        <v>12</v>
      </c>
      <c r="F3098">
        <v>517</v>
      </c>
      <c r="G3098">
        <v>6204</v>
      </c>
      <c r="H3098">
        <v>77</v>
      </c>
      <c r="I3098">
        <v>6.7</v>
      </c>
      <c r="J3098">
        <v>1.99</v>
      </c>
      <c r="K3098">
        <v>12345.96</v>
      </c>
    </row>
    <row r="3099" spans="1:11" x14ac:dyDescent="0.2">
      <c r="A3099">
        <v>69017</v>
      </c>
      <c r="B3099">
        <v>117145</v>
      </c>
      <c r="C3099" t="s">
        <v>6682</v>
      </c>
      <c r="D3099">
        <v>8</v>
      </c>
      <c r="E3099">
        <v>6</v>
      </c>
      <c r="F3099">
        <v>217</v>
      </c>
      <c r="G3099">
        <v>1302</v>
      </c>
      <c r="H3099">
        <v>108</v>
      </c>
      <c r="I3099">
        <v>2</v>
      </c>
      <c r="J3099">
        <v>4.99</v>
      </c>
      <c r="K3099">
        <v>6496.98</v>
      </c>
    </row>
    <row r="3100" spans="1:11" x14ac:dyDescent="0.2">
      <c r="A3100">
        <v>57017</v>
      </c>
      <c r="B3100">
        <v>117266</v>
      </c>
      <c r="C3100" t="s">
        <v>6683</v>
      </c>
      <c r="D3100">
        <v>11</v>
      </c>
      <c r="E3100">
        <v>27</v>
      </c>
      <c r="F3100">
        <v>0</v>
      </c>
      <c r="G3100">
        <v>0</v>
      </c>
      <c r="H3100">
        <v>160</v>
      </c>
      <c r="I3100">
        <v>0</v>
      </c>
      <c r="J3100">
        <v>1</v>
      </c>
      <c r="K3100">
        <v>0</v>
      </c>
    </row>
    <row r="3101" spans="1:11" x14ac:dyDescent="0.2">
      <c r="A3101">
        <v>49623</v>
      </c>
      <c r="B3101">
        <v>117267</v>
      </c>
      <c r="C3101" t="s">
        <v>6684</v>
      </c>
      <c r="D3101">
        <v>10</v>
      </c>
      <c r="E3101">
        <v>12</v>
      </c>
      <c r="F3101">
        <v>0</v>
      </c>
      <c r="G3101">
        <v>0</v>
      </c>
      <c r="H3101">
        <v>28</v>
      </c>
      <c r="I3101">
        <v>0</v>
      </c>
      <c r="J3101">
        <v>6.99</v>
      </c>
      <c r="K3101">
        <v>0</v>
      </c>
    </row>
    <row r="3102" spans="1:11" x14ac:dyDescent="0.2">
      <c r="A3102">
        <v>47660</v>
      </c>
      <c r="B3102">
        <v>117276</v>
      </c>
      <c r="C3102" t="s">
        <v>6685</v>
      </c>
      <c r="D3102">
        <v>10</v>
      </c>
      <c r="E3102">
        <v>36</v>
      </c>
      <c r="F3102">
        <v>1</v>
      </c>
      <c r="G3102">
        <v>36</v>
      </c>
      <c r="H3102">
        <v>80</v>
      </c>
      <c r="I3102">
        <v>0</v>
      </c>
      <c r="J3102">
        <v>1.79</v>
      </c>
      <c r="K3102">
        <v>64.44</v>
      </c>
    </row>
    <row r="3103" spans="1:11" x14ac:dyDescent="0.2">
      <c r="A3103">
        <v>75182</v>
      </c>
      <c r="B3103">
        <v>117318</v>
      </c>
      <c r="C3103" t="s">
        <v>6686</v>
      </c>
      <c r="D3103">
        <v>10</v>
      </c>
      <c r="E3103">
        <v>18</v>
      </c>
      <c r="F3103">
        <v>1</v>
      </c>
      <c r="G3103">
        <v>18</v>
      </c>
      <c r="H3103">
        <v>56</v>
      </c>
      <c r="I3103">
        <v>0</v>
      </c>
      <c r="J3103">
        <v>2.09</v>
      </c>
      <c r="K3103">
        <v>37.619999999999997</v>
      </c>
    </row>
    <row r="3104" spans="1:11" x14ac:dyDescent="0.2">
      <c r="A3104">
        <v>76074</v>
      </c>
      <c r="B3104">
        <v>117463</v>
      </c>
      <c r="C3104" t="s">
        <v>6687</v>
      </c>
      <c r="D3104">
        <v>8</v>
      </c>
      <c r="E3104">
        <v>12</v>
      </c>
      <c r="F3104">
        <v>354</v>
      </c>
      <c r="G3104">
        <v>4248</v>
      </c>
      <c r="H3104">
        <v>48</v>
      </c>
      <c r="I3104">
        <v>7.4</v>
      </c>
      <c r="J3104">
        <v>1.99</v>
      </c>
      <c r="K3104">
        <v>8453.52</v>
      </c>
    </row>
    <row r="3105" spans="1:11" x14ac:dyDescent="0.2">
      <c r="A3105">
        <v>2617</v>
      </c>
      <c r="B3105">
        <v>117533</v>
      </c>
      <c r="C3105" t="s">
        <v>6688</v>
      </c>
      <c r="D3105">
        <v>6</v>
      </c>
      <c r="E3105">
        <v>14</v>
      </c>
      <c r="F3105">
        <v>0</v>
      </c>
      <c r="G3105">
        <v>0</v>
      </c>
      <c r="H3105">
        <v>42</v>
      </c>
      <c r="I3105">
        <v>0</v>
      </c>
      <c r="J3105">
        <v>3.49</v>
      </c>
      <c r="K3105">
        <v>0</v>
      </c>
    </row>
    <row r="3106" spans="1:11" x14ac:dyDescent="0.2">
      <c r="A3106">
        <v>2618</v>
      </c>
      <c r="B3106">
        <v>117534</v>
      </c>
      <c r="C3106" t="s">
        <v>6689</v>
      </c>
      <c r="D3106">
        <v>6</v>
      </c>
      <c r="E3106">
        <v>10</v>
      </c>
      <c r="F3106">
        <v>0</v>
      </c>
      <c r="G3106">
        <v>0</v>
      </c>
      <c r="H3106">
        <v>42</v>
      </c>
      <c r="I3106">
        <v>0</v>
      </c>
      <c r="J3106">
        <v>3.49</v>
      </c>
      <c r="K3106">
        <v>0</v>
      </c>
    </row>
    <row r="3107" spans="1:11" x14ac:dyDescent="0.2">
      <c r="A3107">
        <v>2619</v>
      </c>
      <c r="B3107">
        <v>117535</v>
      </c>
      <c r="C3107" t="s">
        <v>6690</v>
      </c>
      <c r="D3107">
        <v>6</v>
      </c>
      <c r="E3107">
        <v>8</v>
      </c>
      <c r="F3107">
        <v>0</v>
      </c>
      <c r="G3107">
        <v>0</v>
      </c>
      <c r="H3107">
        <v>42</v>
      </c>
      <c r="I3107">
        <v>0</v>
      </c>
      <c r="J3107">
        <v>3.49</v>
      </c>
      <c r="K3107">
        <v>0</v>
      </c>
    </row>
    <row r="3108" spans="1:11" x14ac:dyDescent="0.2">
      <c r="A3108">
        <v>2620</v>
      </c>
      <c r="B3108">
        <v>117536</v>
      </c>
      <c r="C3108" t="s">
        <v>6691</v>
      </c>
      <c r="D3108">
        <v>6</v>
      </c>
      <c r="E3108">
        <v>12</v>
      </c>
      <c r="F3108">
        <v>0</v>
      </c>
      <c r="G3108">
        <v>0</v>
      </c>
      <c r="H3108">
        <v>42</v>
      </c>
      <c r="I3108">
        <v>0</v>
      </c>
      <c r="J3108">
        <v>3.49</v>
      </c>
      <c r="K3108">
        <v>0</v>
      </c>
    </row>
    <row r="3109" spans="1:11" x14ac:dyDescent="0.2">
      <c r="A3109">
        <v>65162</v>
      </c>
      <c r="B3109">
        <v>117569</v>
      </c>
      <c r="C3109" t="s">
        <v>6692</v>
      </c>
      <c r="D3109">
        <v>8</v>
      </c>
      <c r="E3109">
        <v>50</v>
      </c>
      <c r="F3109">
        <v>390</v>
      </c>
      <c r="G3109">
        <v>19498</v>
      </c>
      <c r="H3109">
        <v>110</v>
      </c>
      <c r="I3109">
        <v>3.5</v>
      </c>
      <c r="J3109">
        <v>0.89</v>
      </c>
      <c r="K3109">
        <v>17353.22</v>
      </c>
    </row>
    <row r="3110" spans="1:11" x14ac:dyDescent="0.2">
      <c r="A3110">
        <v>65069</v>
      </c>
      <c r="B3110">
        <v>117574</v>
      </c>
      <c r="C3110" t="s">
        <v>6693</v>
      </c>
      <c r="D3110">
        <v>8</v>
      </c>
      <c r="E3110">
        <v>12</v>
      </c>
      <c r="F3110">
        <v>1247</v>
      </c>
      <c r="G3110">
        <v>14966</v>
      </c>
      <c r="H3110">
        <v>144</v>
      </c>
      <c r="I3110">
        <v>8.6999999999999993</v>
      </c>
      <c r="J3110">
        <v>0.69</v>
      </c>
      <c r="K3110">
        <v>10326.540000000001</v>
      </c>
    </row>
    <row r="3111" spans="1:11" x14ac:dyDescent="0.2">
      <c r="A3111">
        <v>57527</v>
      </c>
      <c r="B3111">
        <v>117575</v>
      </c>
      <c r="C3111" t="s">
        <v>6694</v>
      </c>
      <c r="D3111">
        <v>11</v>
      </c>
      <c r="E3111">
        <v>6</v>
      </c>
      <c r="F3111">
        <v>6</v>
      </c>
      <c r="G3111">
        <v>37</v>
      </c>
      <c r="H3111">
        <v>84</v>
      </c>
      <c r="I3111">
        <v>0.1</v>
      </c>
      <c r="J3111">
        <v>1.69</v>
      </c>
      <c r="K3111">
        <v>62.53</v>
      </c>
    </row>
    <row r="3112" spans="1:11" x14ac:dyDescent="0.2">
      <c r="A3112">
        <v>4507</v>
      </c>
      <c r="B3112">
        <v>117675</v>
      </c>
      <c r="C3112" t="s">
        <v>6695</v>
      </c>
      <c r="D3112">
        <v>6</v>
      </c>
      <c r="E3112">
        <v>12</v>
      </c>
      <c r="F3112">
        <v>0</v>
      </c>
      <c r="G3112">
        <v>0</v>
      </c>
      <c r="H3112">
        <v>272</v>
      </c>
      <c r="I3112">
        <v>0</v>
      </c>
      <c r="J3112">
        <v>0.49</v>
      </c>
      <c r="K3112">
        <v>0</v>
      </c>
    </row>
    <row r="3113" spans="1:11" x14ac:dyDescent="0.2">
      <c r="A3113">
        <v>48507</v>
      </c>
      <c r="B3113">
        <v>117679</v>
      </c>
      <c r="C3113" t="s">
        <v>6696</v>
      </c>
      <c r="D3113">
        <v>10</v>
      </c>
      <c r="E3113">
        <v>24</v>
      </c>
      <c r="F3113">
        <v>-4</v>
      </c>
      <c r="G3113">
        <v>-96</v>
      </c>
      <c r="H3113">
        <v>72</v>
      </c>
      <c r="I3113">
        <v>-0.1</v>
      </c>
      <c r="J3113">
        <v>2.19</v>
      </c>
      <c r="K3113">
        <v>-210.24</v>
      </c>
    </row>
    <row r="3114" spans="1:11" x14ac:dyDescent="0.2">
      <c r="B3114">
        <v>117689</v>
      </c>
      <c r="C3114" t="s">
        <v>6697</v>
      </c>
      <c r="D3114">
        <v>11</v>
      </c>
      <c r="E3114">
        <v>32</v>
      </c>
      <c r="F3114">
        <v>-5</v>
      </c>
      <c r="G3114">
        <v>-160</v>
      </c>
      <c r="H3114">
        <v>104</v>
      </c>
      <c r="I3114">
        <v>0</v>
      </c>
      <c r="J3114">
        <v>1.69</v>
      </c>
      <c r="K3114">
        <v>-270.39999999999998</v>
      </c>
    </row>
    <row r="3115" spans="1:11" x14ac:dyDescent="0.2">
      <c r="A3115">
        <v>93662</v>
      </c>
      <c r="B3115">
        <v>117797</v>
      </c>
      <c r="C3115" t="s">
        <v>6698</v>
      </c>
      <c r="D3115">
        <v>10</v>
      </c>
      <c r="E3115">
        <v>18</v>
      </c>
      <c r="F3115">
        <v>0</v>
      </c>
      <c r="G3115">
        <v>0</v>
      </c>
      <c r="H3115">
        <v>28</v>
      </c>
      <c r="I3115">
        <v>0</v>
      </c>
      <c r="J3115">
        <v>3.99</v>
      </c>
      <c r="K3115">
        <v>0</v>
      </c>
    </row>
    <row r="3116" spans="1:11" x14ac:dyDescent="0.2">
      <c r="A3116">
        <v>32503</v>
      </c>
      <c r="B3116">
        <v>117915</v>
      </c>
      <c r="C3116" t="s">
        <v>6699</v>
      </c>
      <c r="D3116">
        <v>10</v>
      </c>
      <c r="E3116">
        <v>12</v>
      </c>
      <c r="F3116">
        <v>0</v>
      </c>
      <c r="G3116">
        <v>0</v>
      </c>
      <c r="H3116">
        <v>126</v>
      </c>
      <c r="I3116">
        <v>0</v>
      </c>
      <c r="J3116">
        <v>0.79</v>
      </c>
      <c r="K3116">
        <v>0</v>
      </c>
    </row>
    <row r="3117" spans="1:11" x14ac:dyDescent="0.2">
      <c r="B3117">
        <v>117968</v>
      </c>
      <c r="C3117" t="s">
        <v>6700</v>
      </c>
      <c r="D3117">
        <v>11</v>
      </c>
      <c r="E3117">
        <v>8</v>
      </c>
      <c r="F3117">
        <v>0</v>
      </c>
      <c r="G3117">
        <v>0</v>
      </c>
      <c r="H3117">
        <v>168</v>
      </c>
      <c r="I3117">
        <v>0</v>
      </c>
      <c r="J3117">
        <v>1.69</v>
      </c>
      <c r="K3117">
        <v>0</v>
      </c>
    </row>
    <row r="3118" spans="1:11" x14ac:dyDescent="0.2">
      <c r="A3118">
        <v>81001</v>
      </c>
      <c r="B3118">
        <v>118042</v>
      </c>
      <c r="C3118" t="s">
        <v>6701</v>
      </c>
      <c r="D3118">
        <v>8</v>
      </c>
      <c r="E3118">
        <v>6</v>
      </c>
      <c r="F3118">
        <v>702</v>
      </c>
      <c r="G3118">
        <v>4212</v>
      </c>
      <c r="H3118">
        <v>176</v>
      </c>
      <c r="I3118">
        <v>4</v>
      </c>
      <c r="J3118">
        <v>1.1499999999999999</v>
      </c>
      <c r="K3118">
        <v>4843.8</v>
      </c>
    </row>
    <row r="3119" spans="1:11" x14ac:dyDescent="0.2">
      <c r="A3119">
        <v>38644</v>
      </c>
      <c r="B3119">
        <v>118052</v>
      </c>
      <c r="C3119" t="s">
        <v>6702</v>
      </c>
      <c r="D3119">
        <v>10</v>
      </c>
      <c r="E3119">
        <v>1</v>
      </c>
      <c r="F3119">
        <v>7</v>
      </c>
      <c r="G3119">
        <v>7</v>
      </c>
      <c r="H3119">
        <v>130</v>
      </c>
      <c r="I3119">
        <v>0.1</v>
      </c>
      <c r="J3119">
        <v>3</v>
      </c>
      <c r="K3119">
        <v>21</v>
      </c>
    </row>
    <row r="3120" spans="1:11" x14ac:dyDescent="0.2">
      <c r="A3120">
        <v>81012</v>
      </c>
      <c r="B3120">
        <v>118053</v>
      </c>
      <c r="C3120" t="s">
        <v>6703</v>
      </c>
      <c r="D3120">
        <v>8</v>
      </c>
      <c r="E3120">
        <v>6</v>
      </c>
      <c r="F3120">
        <v>409</v>
      </c>
      <c r="G3120">
        <v>2454</v>
      </c>
      <c r="H3120">
        <v>168</v>
      </c>
      <c r="I3120">
        <v>2.4</v>
      </c>
      <c r="J3120">
        <v>1.05</v>
      </c>
      <c r="K3120">
        <v>2576.6999999999998</v>
      </c>
    </row>
    <row r="3121" spans="1:11" x14ac:dyDescent="0.2">
      <c r="A3121">
        <v>81028</v>
      </c>
      <c r="B3121">
        <v>118054</v>
      </c>
      <c r="C3121" t="s">
        <v>6704</v>
      </c>
      <c r="D3121">
        <v>9</v>
      </c>
      <c r="E3121">
        <v>6</v>
      </c>
      <c r="F3121">
        <v>172</v>
      </c>
      <c r="G3121">
        <v>1032</v>
      </c>
      <c r="H3121">
        <v>108</v>
      </c>
      <c r="I3121">
        <v>1.6</v>
      </c>
      <c r="J3121">
        <v>1.69</v>
      </c>
      <c r="K3121">
        <v>1744.08</v>
      </c>
    </row>
    <row r="3122" spans="1:11" x14ac:dyDescent="0.2">
      <c r="A3122">
        <v>83223</v>
      </c>
      <c r="B3122">
        <v>118075</v>
      </c>
      <c r="C3122" t="s">
        <v>6705</v>
      </c>
      <c r="D3122">
        <v>8</v>
      </c>
      <c r="E3122">
        <v>8</v>
      </c>
      <c r="F3122">
        <v>215</v>
      </c>
      <c r="G3122">
        <v>1720</v>
      </c>
      <c r="H3122">
        <v>70</v>
      </c>
      <c r="I3122">
        <v>3.1</v>
      </c>
      <c r="J3122">
        <v>2.99</v>
      </c>
      <c r="K3122">
        <v>5142.8</v>
      </c>
    </row>
    <row r="3123" spans="1:11" x14ac:dyDescent="0.2">
      <c r="A3123">
        <v>93217</v>
      </c>
      <c r="B3123">
        <v>118098</v>
      </c>
      <c r="C3123" t="s">
        <v>6706</v>
      </c>
      <c r="D3123">
        <v>10</v>
      </c>
      <c r="E3123">
        <v>16</v>
      </c>
      <c r="F3123">
        <v>0</v>
      </c>
      <c r="G3123">
        <v>0</v>
      </c>
      <c r="H3123">
        <v>32</v>
      </c>
      <c r="I3123">
        <v>0</v>
      </c>
      <c r="J3123">
        <v>2.39</v>
      </c>
      <c r="K3123">
        <v>0</v>
      </c>
    </row>
    <row r="3124" spans="1:11" x14ac:dyDescent="0.2">
      <c r="A3124">
        <v>93356</v>
      </c>
      <c r="B3124">
        <v>118103</v>
      </c>
      <c r="C3124" t="s">
        <v>6707</v>
      </c>
      <c r="D3124">
        <v>10</v>
      </c>
      <c r="E3124">
        <v>20</v>
      </c>
      <c r="F3124">
        <v>0</v>
      </c>
      <c r="G3124">
        <v>0</v>
      </c>
      <c r="H3124">
        <v>48</v>
      </c>
      <c r="I3124">
        <v>0</v>
      </c>
      <c r="J3124">
        <v>2.99</v>
      </c>
      <c r="K3124">
        <v>0</v>
      </c>
    </row>
    <row r="3125" spans="1:11" x14ac:dyDescent="0.2">
      <c r="B3125">
        <v>118123</v>
      </c>
      <c r="C3125" t="s">
        <v>6708</v>
      </c>
      <c r="D3125">
        <v>10</v>
      </c>
      <c r="E3125">
        <v>10</v>
      </c>
      <c r="F3125">
        <v>0</v>
      </c>
      <c r="G3125">
        <v>0</v>
      </c>
      <c r="H3125">
        <v>144</v>
      </c>
      <c r="I3125">
        <v>0</v>
      </c>
      <c r="J3125">
        <v>3.99</v>
      </c>
      <c r="K3125">
        <v>0</v>
      </c>
    </row>
    <row r="3126" spans="1:11" x14ac:dyDescent="0.2">
      <c r="B3126">
        <v>118124</v>
      </c>
      <c r="C3126" t="s">
        <v>6709</v>
      </c>
      <c r="D3126">
        <v>11</v>
      </c>
      <c r="E3126">
        <v>14</v>
      </c>
      <c r="F3126">
        <v>-3</v>
      </c>
      <c r="G3126">
        <v>-42</v>
      </c>
      <c r="H3126">
        <v>192</v>
      </c>
      <c r="I3126">
        <v>0</v>
      </c>
      <c r="J3126">
        <v>3.79</v>
      </c>
      <c r="K3126">
        <v>-159.18</v>
      </c>
    </row>
    <row r="3127" spans="1:11" x14ac:dyDescent="0.2">
      <c r="A3127">
        <v>2645</v>
      </c>
      <c r="B3127">
        <v>118237</v>
      </c>
      <c r="C3127" t="s">
        <v>6710</v>
      </c>
      <c r="D3127">
        <v>6</v>
      </c>
      <c r="E3127">
        <v>12</v>
      </c>
      <c r="F3127">
        <v>0</v>
      </c>
      <c r="G3127">
        <v>0</v>
      </c>
      <c r="H3127">
        <v>64</v>
      </c>
      <c r="I3127">
        <v>0</v>
      </c>
      <c r="J3127">
        <v>3.79</v>
      </c>
      <c r="K3127">
        <v>0</v>
      </c>
    </row>
    <row r="3128" spans="1:11" x14ac:dyDescent="0.2">
      <c r="A3128">
        <v>3630</v>
      </c>
      <c r="B3128">
        <v>118247</v>
      </c>
      <c r="C3128" t="s">
        <v>6711</v>
      </c>
      <c r="D3128">
        <v>6</v>
      </c>
      <c r="E3128">
        <v>36</v>
      </c>
      <c r="F3128">
        <v>2800</v>
      </c>
      <c r="G3128">
        <v>100800</v>
      </c>
      <c r="H3128">
        <v>4</v>
      </c>
      <c r="I3128">
        <v>700</v>
      </c>
      <c r="J3128">
        <v>6.49</v>
      </c>
      <c r="K3128">
        <v>654192</v>
      </c>
    </row>
    <row r="3129" spans="1:11" x14ac:dyDescent="0.2">
      <c r="A3129">
        <v>80182</v>
      </c>
      <c r="B3129">
        <v>118248</v>
      </c>
      <c r="C3129" t="s">
        <v>6712</v>
      </c>
      <c r="D3129">
        <v>8</v>
      </c>
      <c r="E3129">
        <v>8</v>
      </c>
      <c r="F3129">
        <v>247</v>
      </c>
      <c r="G3129">
        <v>1976</v>
      </c>
      <c r="H3129">
        <v>224</v>
      </c>
      <c r="I3129">
        <v>1.1000000000000001</v>
      </c>
      <c r="J3129">
        <v>0.89</v>
      </c>
      <c r="K3129">
        <v>1758.64</v>
      </c>
    </row>
    <row r="3130" spans="1:11" x14ac:dyDescent="0.2">
      <c r="A3130">
        <v>86025</v>
      </c>
      <c r="B3130">
        <v>118251</v>
      </c>
      <c r="C3130" t="s">
        <v>6713</v>
      </c>
      <c r="D3130">
        <v>8</v>
      </c>
      <c r="E3130">
        <v>30</v>
      </c>
      <c r="F3130">
        <v>0</v>
      </c>
      <c r="G3130">
        <v>0</v>
      </c>
      <c r="H3130">
        <v>24</v>
      </c>
      <c r="I3130">
        <v>0</v>
      </c>
      <c r="J3130">
        <v>0.99</v>
      </c>
      <c r="K3130">
        <v>0</v>
      </c>
    </row>
    <row r="3131" spans="1:11" x14ac:dyDescent="0.2">
      <c r="A3131">
        <v>93313</v>
      </c>
      <c r="B3131">
        <v>118267</v>
      </c>
      <c r="C3131" t="s">
        <v>6714</v>
      </c>
      <c r="D3131">
        <v>10</v>
      </c>
      <c r="E3131">
        <v>20</v>
      </c>
      <c r="F3131">
        <v>0</v>
      </c>
      <c r="G3131">
        <v>0</v>
      </c>
      <c r="H3131">
        <v>48</v>
      </c>
      <c r="I3131">
        <v>0</v>
      </c>
      <c r="J3131">
        <v>4.49</v>
      </c>
      <c r="K3131">
        <v>0</v>
      </c>
    </row>
    <row r="3132" spans="1:11" x14ac:dyDescent="0.2">
      <c r="B3132">
        <v>118275</v>
      </c>
      <c r="C3132" t="s">
        <v>6715</v>
      </c>
      <c r="D3132">
        <v>11</v>
      </c>
      <c r="E3132">
        <v>1</v>
      </c>
      <c r="F3132">
        <v>0</v>
      </c>
      <c r="G3132">
        <v>0</v>
      </c>
      <c r="H3132">
        <v>80</v>
      </c>
      <c r="I3132">
        <v>0</v>
      </c>
      <c r="J3132">
        <v>8</v>
      </c>
      <c r="K3132">
        <v>0</v>
      </c>
    </row>
    <row r="3133" spans="1:11" x14ac:dyDescent="0.2">
      <c r="A3133">
        <v>86029</v>
      </c>
      <c r="B3133">
        <v>118290</v>
      </c>
      <c r="C3133" t="s">
        <v>6716</v>
      </c>
      <c r="D3133">
        <v>8</v>
      </c>
      <c r="E3133">
        <v>25</v>
      </c>
      <c r="F3133">
        <v>280</v>
      </c>
      <c r="G3133">
        <v>7000</v>
      </c>
      <c r="H3133">
        <v>28</v>
      </c>
      <c r="I3133">
        <v>10</v>
      </c>
      <c r="J3133">
        <v>1.75</v>
      </c>
      <c r="K3133">
        <v>12250</v>
      </c>
    </row>
    <row r="3134" spans="1:11" x14ac:dyDescent="0.2">
      <c r="A3134">
        <v>99872</v>
      </c>
      <c r="B3134">
        <v>118325</v>
      </c>
      <c r="C3134" t="s">
        <v>6717</v>
      </c>
      <c r="D3134">
        <v>10</v>
      </c>
      <c r="E3134">
        <v>12</v>
      </c>
      <c r="F3134">
        <v>0</v>
      </c>
      <c r="G3134">
        <v>0</v>
      </c>
      <c r="H3134">
        <v>77</v>
      </c>
      <c r="I3134">
        <v>0</v>
      </c>
      <c r="J3134">
        <v>4.99</v>
      </c>
      <c r="K3134">
        <v>0</v>
      </c>
    </row>
    <row r="3135" spans="1:11" x14ac:dyDescent="0.2">
      <c r="A3135">
        <v>73269</v>
      </c>
      <c r="B3135">
        <v>118336</v>
      </c>
      <c r="C3135" t="s">
        <v>6718</v>
      </c>
      <c r="D3135">
        <v>10</v>
      </c>
      <c r="E3135">
        <v>14</v>
      </c>
      <c r="F3135">
        <v>10</v>
      </c>
      <c r="G3135">
        <v>139</v>
      </c>
      <c r="H3135">
        <v>80</v>
      </c>
      <c r="I3135">
        <v>0.1</v>
      </c>
      <c r="J3135">
        <v>2.4900000000000002</v>
      </c>
      <c r="K3135">
        <v>346.11</v>
      </c>
    </row>
    <row r="3136" spans="1:11" x14ac:dyDescent="0.2">
      <c r="B3136">
        <v>118361</v>
      </c>
      <c r="C3136" t="s">
        <v>6719</v>
      </c>
      <c r="D3136">
        <v>11</v>
      </c>
      <c r="E3136">
        <v>8</v>
      </c>
      <c r="F3136">
        <v>0</v>
      </c>
      <c r="G3136">
        <v>0</v>
      </c>
      <c r="H3136">
        <v>168</v>
      </c>
      <c r="I3136">
        <v>0</v>
      </c>
      <c r="J3136">
        <v>1.69</v>
      </c>
      <c r="K3136">
        <v>0</v>
      </c>
    </row>
    <row r="3137" spans="1:11" x14ac:dyDescent="0.2">
      <c r="A3137">
        <v>80171</v>
      </c>
      <c r="B3137">
        <v>118408</v>
      </c>
      <c r="C3137" t="s">
        <v>6720</v>
      </c>
      <c r="D3137">
        <v>8</v>
      </c>
      <c r="E3137">
        <v>6</v>
      </c>
      <c r="F3137">
        <v>477</v>
      </c>
      <c r="G3137">
        <v>2862</v>
      </c>
      <c r="H3137">
        <v>120</v>
      </c>
      <c r="I3137">
        <v>4</v>
      </c>
      <c r="J3137">
        <v>1.59</v>
      </c>
      <c r="K3137">
        <v>4550.58</v>
      </c>
    </row>
    <row r="3138" spans="1:11" x14ac:dyDescent="0.2">
      <c r="A3138">
        <v>80153</v>
      </c>
      <c r="B3138">
        <v>118409</v>
      </c>
      <c r="C3138" t="s">
        <v>6721</v>
      </c>
      <c r="D3138">
        <v>8</v>
      </c>
      <c r="E3138">
        <v>6</v>
      </c>
      <c r="F3138">
        <v>479</v>
      </c>
      <c r="G3138">
        <v>2874</v>
      </c>
      <c r="H3138">
        <v>120</v>
      </c>
      <c r="I3138">
        <v>4</v>
      </c>
      <c r="J3138">
        <v>1.59</v>
      </c>
      <c r="K3138">
        <v>4569.66</v>
      </c>
    </row>
    <row r="3139" spans="1:11" x14ac:dyDescent="0.2">
      <c r="A3139">
        <v>46620</v>
      </c>
      <c r="B3139">
        <v>118427</v>
      </c>
      <c r="C3139" t="s">
        <v>6722</v>
      </c>
      <c r="D3139">
        <v>10</v>
      </c>
      <c r="E3139">
        <v>1</v>
      </c>
      <c r="F3139">
        <v>10</v>
      </c>
      <c r="G3139">
        <v>10</v>
      </c>
      <c r="H3139">
        <v>108</v>
      </c>
      <c r="I3139">
        <v>0.1</v>
      </c>
      <c r="J3139">
        <v>5.49</v>
      </c>
      <c r="K3139">
        <v>54.9</v>
      </c>
    </row>
    <row r="3140" spans="1:11" x14ac:dyDescent="0.2">
      <c r="A3140">
        <v>33678</v>
      </c>
      <c r="B3140">
        <v>118449</v>
      </c>
      <c r="C3140" t="s">
        <v>6723</v>
      </c>
      <c r="D3140">
        <v>6</v>
      </c>
      <c r="E3140">
        <v>1</v>
      </c>
      <c r="F3140">
        <v>0</v>
      </c>
      <c r="G3140">
        <v>0</v>
      </c>
      <c r="H3140">
        <v>336</v>
      </c>
      <c r="I3140">
        <v>0</v>
      </c>
      <c r="J3140">
        <v>1.79</v>
      </c>
      <c r="K3140">
        <v>0</v>
      </c>
    </row>
    <row r="3141" spans="1:11" x14ac:dyDescent="0.2">
      <c r="A3141">
        <v>33679</v>
      </c>
      <c r="B3141">
        <v>118450</v>
      </c>
      <c r="C3141" t="s">
        <v>6724</v>
      </c>
      <c r="D3141">
        <v>6</v>
      </c>
      <c r="E3141">
        <v>1</v>
      </c>
      <c r="F3141">
        <v>0</v>
      </c>
      <c r="G3141">
        <v>0</v>
      </c>
      <c r="H3141">
        <v>240</v>
      </c>
      <c r="I3141">
        <v>0</v>
      </c>
      <c r="J3141">
        <v>1.79</v>
      </c>
      <c r="K3141">
        <v>0</v>
      </c>
    </row>
    <row r="3142" spans="1:11" x14ac:dyDescent="0.2">
      <c r="A3142">
        <v>57383</v>
      </c>
      <c r="B3142">
        <v>118451</v>
      </c>
      <c r="C3142" t="s">
        <v>6725</v>
      </c>
      <c r="D3142">
        <v>10</v>
      </c>
      <c r="E3142">
        <v>15</v>
      </c>
      <c r="F3142">
        <v>0</v>
      </c>
      <c r="G3142">
        <v>0</v>
      </c>
      <c r="H3142">
        <v>240</v>
      </c>
      <c r="I3142">
        <v>0</v>
      </c>
      <c r="J3142">
        <v>2.69</v>
      </c>
      <c r="K3142">
        <v>0</v>
      </c>
    </row>
    <row r="3143" spans="1:11" x14ac:dyDescent="0.2">
      <c r="A3143">
        <v>57384</v>
      </c>
      <c r="B3143">
        <v>118452</v>
      </c>
      <c r="C3143" t="s">
        <v>6726</v>
      </c>
      <c r="D3143">
        <v>10</v>
      </c>
      <c r="E3143">
        <v>12</v>
      </c>
      <c r="F3143">
        <v>0</v>
      </c>
      <c r="G3143">
        <v>0</v>
      </c>
      <c r="H3143">
        <v>192</v>
      </c>
      <c r="I3143">
        <v>0</v>
      </c>
      <c r="J3143">
        <v>2.69</v>
      </c>
      <c r="K3143">
        <v>0</v>
      </c>
    </row>
    <row r="3144" spans="1:11" x14ac:dyDescent="0.2">
      <c r="A3144">
        <v>57163</v>
      </c>
      <c r="B3144">
        <v>118528</v>
      </c>
      <c r="C3144" t="s">
        <v>6727</v>
      </c>
      <c r="D3144">
        <v>11</v>
      </c>
      <c r="E3144">
        <v>48</v>
      </c>
      <c r="F3144">
        <v>0</v>
      </c>
      <c r="G3144">
        <v>0</v>
      </c>
      <c r="H3144">
        <v>28</v>
      </c>
      <c r="I3144">
        <v>0</v>
      </c>
      <c r="J3144">
        <v>2</v>
      </c>
      <c r="K3144">
        <v>0</v>
      </c>
    </row>
    <row r="3145" spans="1:11" x14ac:dyDescent="0.2">
      <c r="A3145">
        <v>65247</v>
      </c>
      <c r="B3145">
        <v>118587</v>
      </c>
      <c r="C3145" t="s">
        <v>6728</v>
      </c>
      <c r="D3145">
        <v>8</v>
      </c>
      <c r="E3145">
        <v>12</v>
      </c>
      <c r="F3145">
        <v>427</v>
      </c>
      <c r="G3145">
        <v>5124</v>
      </c>
      <c r="H3145">
        <v>84</v>
      </c>
      <c r="I3145">
        <v>5.0999999999999996</v>
      </c>
      <c r="J3145">
        <v>0.99</v>
      </c>
      <c r="K3145">
        <v>5072.76</v>
      </c>
    </row>
    <row r="3146" spans="1:11" x14ac:dyDescent="0.2">
      <c r="B3146">
        <v>118603</v>
      </c>
      <c r="C3146" t="s">
        <v>6729</v>
      </c>
      <c r="D3146">
        <v>11</v>
      </c>
      <c r="E3146">
        <v>6</v>
      </c>
      <c r="F3146">
        <v>0</v>
      </c>
      <c r="G3146">
        <v>0</v>
      </c>
      <c r="H3146">
        <v>24</v>
      </c>
      <c r="I3146">
        <v>0</v>
      </c>
      <c r="J3146">
        <v>6.99</v>
      </c>
      <c r="K3146">
        <v>0</v>
      </c>
    </row>
    <row r="3147" spans="1:11" x14ac:dyDescent="0.2">
      <c r="B3147">
        <v>118737</v>
      </c>
      <c r="C3147" t="s">
        <v>6730</v>
      </c>
      <c r="D3147">
        <v>11</v>
      </c>
      <c r="E3147">
        <v>14</v>
      </c>
      <c r="F3147">
        <v>0</v>
      </c>
      <c r="G3147">
        <v>0</v>
      </c>
      <c r="H3147">
        <v>32</v>
      </c>
      <c r="I3147">
        <v>0</v>
      </c>
      <c r="J3147">
        <v>1.99</v>
      </c>
      <c r="K3147">
        <v>0</v>
      </c>
    </row>
    <row r="3148" spans="1:11" x14ac:dyDescent="0.2">
      <c r="B3148">
        <v>118806</v>
      </c>
      <c r="C3148" t="s">
        <v>6731</v>
      </c>
      <c r="D3148">
        <v>12</v>
      </c>
      <c r="E3148">
        <v>14</v>
      </c>
      <c r="F3148">
        <v>0</v>
      </c>
      <c r="G3148">
        <v>0</v>
      </c>
      <c r="H3148">
        <v>130</v>
      </c>
      <c r="I3148">
        <v>0</v>
      </c>
      <c r="J3148">
        <v>1.95</v>
      </c>
      <c r="K3148">
        <v>0</v>
      </c>
    </row>
    <row r="3149" spans="1:11" x14ac:dyDescent="0.2">
      <c r="A3149">
        <v>46612</v>
      </c>
      <c r="B3149">
        <v>118806</v>
      </c>
      <c r="C3149" t="s">
        <v>6731</v>
      </c>
      <c r="D3149">
        <v>10</v>
      </c>
      <c r="E3149">
        <v>102</v>
      </c>
      <c r="F3149">
        <v>1</v>
      </c>
      <c r="G3149">
        <v>102</v>
      </c>
      <c r="H3149">
        <v>4</v>
      </c>
      <c r="I3149">
        <v>0.3</v>
      </c>
      <c r="J3149">
        <v>1.95</v>
      </c>
      <c r="K3149">
        <v>198.9</v>
      </c>
    </row>
    <row r="3150" spans="1:11" x14ac:dyDescent="0.2">
      <c r="A3150">
        <v>73259</v>
      </c>
      <c r="B3150">
        <v>118851</v>
      </c>
      <c r="C3150" t="s">
        <v>6732</v>
      </c>
      <c r="D3150">
        <v>10</v>
      </c>
      <c r="E3150">
        <v>10</v>
      </c>
      <c r="F3150">
        <v>0</v>
      </c>
      <c r="G3150">
        <v>0</v>
      </c>
      <c r="H3150">
        <v>162</v>
      </c>
      <c r="I3150">
        <v>0</v>
      </c>
      <c r="J3150">
        <v>1.19</v>
      </c>
      <c r="K3150">
        <v>0</v>
      </c>
    </row>
    <row r="3151" spans="1:11" x14ac:dyDescent="0.2">
      <c r="A3151">
        <v>82067</v>
      </c>
      <c r="B3151">
        <v>118899</v>
      </c>
      <c r="C3151" t="s">
        <v>6733</v>
      </c>
      <c r="D3151">
        <v>8</v>
      </c>
      <c r="E3151">
        <v>24</v>
      </c>
      <c r="F3151">
        <v>349</v>
      </c>
      <c r="G3151">
        <v>8376</v>
      </c>
      <c r="H3151">
        <v>32</v>
      </c>
      <c r="I3151">
        <v>10.9</v>
      </c>
      <c r="J3151">
        <v>2.99</v>
      </c>
      <c r="K3151">
        <v>25044.240000000002</v>
      </c>
    </row>
    <row r="3152" spans="1:11" x14ac:dyDescent="0.2">
      <c r="B3152">
        <v>118911</v>
      </c>
      <c r="C3152" t="s">
        <v>6734</v>
      </c>
      <c r="D3152">
        <v>11</v>
      </c>
      <c r="E3152">
        <v>48</v>
      </c>
      <c r="F3152">
        <v>0</v>
      </c>
      <c r="G3152">
        <v>0</v>
      </c>
      <c r="H3152">
        <v>120</v>
      </c>
      <c r="I3152">
        <v>0</v>
      </c>
      <c r="J3152">
        <v>0.85</v>
      </c>
      <c r="K3152">
        <v>0</v>
      </c>
    </row>
    <row r="3153" spans="1:11" x14ac:dyDescent="0.2">
      <c r="A3153">
        <v>93034</v>
      </c>
      <c r="B3153">
        <v>118939</v>
      </c>
      <c r="C3153" t="s">
        <v>6735</v>
      </c>
      <c r="D3153">
        <v>10</v>
      </c>
      <c r="E3153">
        <v>8</v>
      </c>
      <c r="F3153">
        <v>3</v>
      </c>
      <c r="G3153">
        <v>24</v>
      </c>
      <c r="H3153">
        <v>1</v>
      </c>
      <c r="I3153">
        <v>3</v>
      </c>
      <c r="J3153">
        <v>22.99</v>
      </c>
      <c r="K3153">
        <v>551.76</v>
      </c>
    </row>
    <row r="3154" spans="1:11" x14ac:dyDescent="0.2">
      <c r="A3154">
        <v>89013</v>
      </c>
      <c r="B3154">
        <v>118965</v>
      </c>
      <c r="C3154" t="s">
        <v>6736</v>
      </c>
      <c r="D3154">
        <v>8</v>
      </c>
      <c r="E3154">
        <v>10</v>
      </c>
      <c r="F3154">
        <v>192</v>
      </c>
      <c r="G3154">
        <v>1920</v>
      </c>
      <c r="H3154">
        <v>48</v>
      </c>
      <c r="I3154">
        <v>4</v>
      </c>
      <c r="J3154">
        <v>1.49</v>
      </c>
      <c r="K3154">
        <v>2860.8</v>
      </c>
    </row>
    <row r="3155" spans="1:11" x14ac:dyDescent="0.2">
      <c r="A3155">
        <v>89011</v>
      </c>
      <c r="B3155">
        <v>118966</v>
      </c>
      <c r="C3155" t="s">
        <v>6737</v>
      </c>
      <c r="D3155">
        <v>8</v>
      </c>
      <c r="E3155">
        <v>10</v>
      </c>
      <c r="F3155">
        <v>126</v>
      </c>
      <c r="G3155">
        <v>1260</v>
      </c>
      <c r="H3155">
        <v>63</v>
      </c>
      <c r="I3155">
        <v>2</v>
      </c>
      <c r="J3155">
        <v>1.32</v>
      </c>
      <c r="K3155">
        <v>1663.2</v>
      </c>
    </row>
    <row r="3156" spans="1:11" x14ac:dyDescent="0.2">
      <c r="A3156">
        <v>99247</v>
      </c>
      <c r="B3156">
        <v>119071</v>
      </c>
      <c r="C3156" t="s">
        <v>6738</v>
      </c>
      <c r="D3156">
        <v>10</v>
      </c>
      <c r="E3156">
        <v>12</v>
      </c>
      <c r="F3156">
        <v>0</v>
      </c>
      <c r="G3156">
        <v>0</v>
      </c>
      <c r="H3156">
        <v>80</v>
      </c>
      <c r="I3156">
        <v>0</v>
      </c>
      <c r="J3156">
        <v>1.59</v>
      </c>
      <c r="K3156">
        <v>0</v>
      </c>
    </row>
    <row r="3157" spans="1:11" x14ac:dyDescent="0.2">
      <c r="A3157">
        <v>99041</v>
      </c>
      <c r="B3157">
        <v>119091</v>
      </c>
      <c r="C3157" t="s">
        <v>6739</v>
      </c>
      <c r="D3157">
        <v>10</v>
      </c>
      <c r="E3157">
        <v>12</v>
      </c>
      <c r="F3157">
        <v>0</v>
      </c>
      <c r="G3157">
        <v>0</v>
      </c>
      <c r="H3157">
        <v>80</v>
      </c>
      <c r="I3157">
        <v>0</v>
      </c>
      <c r="J3157">
        <v>1.79</v>
      </c>
      <c r="K3157">
        <v>0</v>
      </c>
    </row>
    <row r="3158" spans="1:11" x14ac:dyDescent="0.2">
      <c r="A3158">
        <v>99248</v>
      </c>
      <c r="B3158">
        <v>119108</v>
      </c>
      <c r="C3158" t="s">
        <v>6740</v>
      </c>
      <c r="D3158">
        <v>10</v>
      </c>
      <c r="E3158">
        <v>12</v>
      </c>
      <c r="F3158">
        <v>0</v>
      </c>
      <c r="G3158">
        <v>0</v>
      </c>
      <c r="H3158">
        <v>96</v>
      </c>
      <c r="I3158">
        <v>0</v>
      </c>
      <c r="J3158">
        <v>1.79</v>
      </c>
      <c r="K3158">
        <v>0</v>
      </c>
    </row>
    <row r="3159" spans="1:11" x14ac:dyDescent="0.2">
      <c r="A3159">
        <v>95708</v>
      </c>
      <c r="B3159">
        <v>119115</v>
      </c>
      <c r="C3159" t="s">
        <v>6741</v>
      </c>
      <c r="D3159">
        <v>8</v>
      </c>
      <c r="E3159">
        <v>12</v>
      </c>
      <c r="F3159">
        <v>530</v>
      </c>
      <c r="G3159">
        <v>6360</v>
      </c>
      <c r="H3159">
        <v>42</v>
      </c>
      <c r="I3159">
        <v>12.6</v>
      </c>
      <c r="J3159">
        <v>1.99</v>
      </c>
      <c r="K3159">
        <v>12656.4</v>
      </c>
    </row>
    <row r="3160" spans="1:11" x14ac:dyDescent="0.2">
      <c r="A3160">
        <v>32504</v>
      </c>
      <c r="B3160">
        <v>119161</v>
      </c>
      <c r="C3160" t="s">
        <v>6742</v>
      </c>
      <c r="D3160">
        <v>10</v>
      </c>
      <c r="E3160">
        <v>10</v>
      </c>
      <c r="F3160">
        <v>0</v>
      </c>
      <c r="G3160">
        <v>0</v>
      </c>
      <c r="H3160">
        <v>104</v>
      </c>
      <c r="I3160">
        <v>0</v>
      </c>
      <c r="J3160">
        <v>2.29</v>
      </c>
      <c r="K3160">
        <v>0</v>
      </c>
    </row>
    <row r="3161" spans="1:11" x14ac:dyDescent="0.2">
      <c r="B3161">
        <v>119194</v>
      </c>
      <c r="C3161" t="s">
        <v>6743</v>
      </c>
      <c r="D3161">
        <v>11</v>
      </c>
      <c r="E3161">
        <v>10</v>
      </c>
      <c r="F3161">
        <v>0</v>
      </c>
      <c r="G3161">
        <v>0</v>
      </c>
      <c r="H3161">
        <v>48</v>
      </c>
      <c r="I3161">
        <v>0</v>
      </c>
      <c r="J3161">
        <v>2.2000000000000002</v>
      </c>
      <c r="K3161">
        <v>0</v>
      </c>
    </row>
    <row r="3162" spans="1:11" x14ac:dyDescent="0.2">
      <c r="A3162">
        <v>86064</v>
      </c>
      <c r="B3162">
        <v>119200</v>
      </c>
      <c r="C3162" t="s">
        <v>6744</v>
      </c>
      <c r="D3162">
        <v>8</v>
      </c>
      <c r="E3162">
        <v>16</v>
      </c>
      <c r="F3162">
        <v>63</v>
      </c>
      <c r="G3162">
        <v>1008</v>
      </c>
      <c r="H3162">
        <v>63</v>
      </c>
      <c r="I3162">
        <v>1</v>
      </c>
      <c r="J3162">
        <v>1.29</v>
      </c>
      <c r="K3162">
        <v>1300.32</v>
      </c>
    </row>
    <row r="3163" spans="1:11" x14ac:dyDescent="0.2">
      <c r="A3163">
        <v>57348</v>
      </c>
      <c r="B3163">
        <v>119215</v>
      </c>
      <c r="C3163" t="s">
        <v>6745</v>
      </c>
      <c r="D3163">
        <v>11</v>
      </c>
      <c r="E3163">
        <v>12</v>
      </c>
      <c r="F3163">
        <v>0</v>
      </c>
      <c r="G3163">
        <v>0</v>
      </c>
      <c r="H3163">
        <v>80</v>
      </c>
      <c r="I3163">
        <v>0</v>
      </c>
      <c r="J3163">
        <v>2.1</v>
      </c>
      <c r="K3163">
        <v>0</v>
      </c>
    </row>
    <row r="3164" spans="1:11" x14ac:dyDescent="0.2">
      <c r="A3164">
        <v>65225</v>
      </c>
      <c r="B3164">
        <v>119223</v>
      </c>
      <c r="C3164" t="s">
        <v>6746</v>
      </c>
      <c r="D3164">
        <v>8</v>
      </c>
      <c r="E3164">
        <v>6</v>
      </c>
      <c r="F3164">
        <v>1705</v>
      </c>
      <c r="G3164">
        <v>10228</v>
      </c>
      <c r="H3164">
        <v>60</v>
      </c>
      <c r="I3164">
        <v>28.4</v>
      </c>
      <c r="J3164">
        <v>3.19</v>
      </c>
      <c r="K3164">
        <v>32627.32</v>
      </c>
    </row>
    <row r="3165" spans="1:11" x14ac:dyDescent="0.2">
      <c r="A3165">
        <v>99997</v>
      </c>
      <c r="B3165">
        <v>119232</v>
      </c>
      <c r="C3165" t="s">
        <v>6747</v>
      </c>
      <c r="D3165">
        <v>9</v>
      </c>
      <c r="E3165">
        <v>18</v>
      </c>
      <c r="F3165">
        <v>0</v>
      </c>
      <c r="G3165">
        <v>0</v>
      </c>
      <c r="H3165">
        <v>54</v>
      </c>
      <c r="I3165">
        <v>0</v>
      </c>
      <c r="J3165">
        <v>0.79</v>
      </c>
      <c r="K3165">
        <v>0</v>
      </c>
    </row>
    <row r="3166" spans="1:11" x14ac:dyDescent="0.2">
      <c r="B3166">
        <v>119237</v>
      </c>
      <c r="C3166" t="s">
        <v>6748</v>
      </c>
      <c r="D3166">
        <v>10</v>
      </c>
      <c r="E3166">
        <v>40</v>
      </c>
      <c r="F3166">
        <v>0</v>
      </c>
      <c r="G3166">
        <v>0</v>
      </c>
      <c r="H3166">
        <v>48</v>
      </c>
      <c r="I3166">
        <v>0</v>
      </c>
      <c r="J3166">
        <v>1.35</v>
      </c>
      <c r="K3166">
        <v>0</v>
      </c>
    </row>
    <row r="3167" spans="1:11" x14ac:dyDescent="0.2">
      <c r="B3167">
        <v>119240</v>
      </c>
      <c r="C3167" t="s">
        <v>6749</v>
      </c>
      <c r="D3167">
        <v>11</v>
      </c>
      <c r="E3167">
        <v>12</v>
      </c>
      <c r="F3167">
        <v>0</v>
      </c>
      <c r="G3167">
        <v>0</v>
      </c>
      <c r="H3167">
        <v>112</v>
      </c>
      <c r="I3167">
        <v>0</v>
      </c>
      <c r="J3167">
        <v>1.69</v>
      </c>
      <c r="K3167">
        <v>0</v>
      </c>
    </row>
    <row r="3168" spans="1:11" x14ac:dyDescent="0.2">
      <c r="B3168">
        <v>119286</v>
      </c>
      <c r="C3168" t="s">
        <v>6750</v>
      </c>
      <c r="D3168">
        <v>11</v>
      </c>
      <c r="E3168">
        <v>12</v>
      </c>
      <c r="F3168">
        <v>0</v>
      </c>
      <c r="G3168">
        <v>0</v>
      </c>
      <c r="H3168">
        <v>135</v>
      </c>
      <c r="I3168">
        <v>0</v>
      </c>
      <c r="J3168">
        <v>1.69</v>
      </c>
      <c r="K3168">
        <v>0</v>
      </c>
    </row>
    <row r="3169" spans="1:11" x14ac:dyDescent="0.2">
      <c r="A3169">
        <v>70267</v>
      </c>
      <c r="B3169">
        <v>119367</v>
      </c>
      <c r="C3169" t="s">
        <v>6751</v>
      </c>
      <c r="D3169">
        <v>8</v>
      </c>
      <c r="E3169">
        <v>150</v>
      </c>
      <c r="F3169">
        <v>60</v>
      </c>
      <c r="G3169">
        <v>9000</v>
      </c>
      <c r="H3169">
        <v>96</v>
      </c>
      <c r="I3169">
        <v>0.6</v>
      </c>
      <c r="J3169">
        <v>1.99</v>
      </c>
      <c r="K3169">
        <v>17910</v>
      </c>
    </row>
    <row r="3170" spans="1:11" x14ac:dyDescent="0.2">
      <c r="B3170">
        <v>119373</v>
      </c>
      <c r="C3170" t="s">
        <v>6752</v>
      </c>
      <c r="D3170">
        <v>11</v>
      </c>
      <c r="E3170">
        <v>1</v>
      </c>
      <c r="F3170">
        <v>0</v>
      </c>
      <c r="G3170">
        <v>0</v>
      </c>
      <c r="H3170">
        <v>960</v>
      </c>
      <c r="I3170">
        <v>0</v>
      </c>
      <c r="J3170">
        <v>1.99</v>
      </c>
      <c r="K3170">
        <v>0</v>
      </c>
    </row>
    <row r="3171" spans="1:11" x14ac:dyDescent="0.2">
      <c r="A3171">
        <v>72160</v>
      </c>
      <c r="B3171">
        <v>119408</v>
      </c>
      <c r="C3171" t="s">
        <v>6753</v>
      </c>
      <c r="D3171">
        <v>8</v>
      </c>
      <c r="E3171">
        <v>12</v>
      </c>
      <c r="F3171">
        <v>238</v>
      </c>
      <c r="G3171">
        <v>2851</v>
      </c>
      <c r="H3171">
        <v>64</v>
      </c>
      <c r="I3171">
        <v>3.7</v>
      </c>
      <c r="J3171">
        <v>1.39</v>
      </c>
      <c r="K3171">
        <v>3962.89</v>
      </c>
    </row>
    <row r="3172" spans="1:11" x14ac:dyDescent="0.2">
      <c r="A3172">
        <v>99115</v>
      </c>
      <c r="B3172">
        <v>119414</v>
      </c>
      <c r="C3172" t="s">
        <v>6754</v>
      </c>
      <c r="D3172">
        <v>10</v>
      </c>
      <c r="E3172">
        <v>16</v>
      </c>
      <c r="F3172">
        <v>0</v>
      </c>
      <c r="G3172">
        <v>0</v>
      </c>
      <c r="H3172">
        <v>84</v>
      </c>
      <c r="I3172">
        <v>0</v>
      </c>
      <c r="J3172">
        <v>1.59</v>
      </c>
      <c r="K3172">
        <v>0</v>
      </c>
    </row>
    <row r="3173" spans="1:11" x14ac:dyDescent="0.2">
      <c r="A3173">
        <v>36509</v>
      </c>
      <c r="B3173">
        <v>119419</v>
      </c>
      <c r="C3173" t="s">
        <v>6755</v>
      </c>
      <c r="D3173">
        <v>10</v>
      </c>
      <c r="E3173">
        <v>15</v>
      </c>
      <c r="F3173">
        <v>0</v>
      </c>
      <c r="G3173">
        <v>0</v>
      </c>
      <c r="H3173">
        <v>64</v>
      </c>
      <c r="I3173">
        <v>0</v>
      </c>
      <c r="J3173">
        <v>2.19</v>
      </c>
      <c r="K3173">
        <v>0</v>
      </c>
    </row>
    <row r="3174" spans="1:11" x14ac:dyDescent="0.2">
      <c r="A3174">
        <v>72155</v>
      </c>
      <c r="B3174">
        <v>119432</v>
      </c>
      <c r="C3174" t="s">
        <v>6756</v>
      </c>
      <c r="D3174">
        <v>8</v>
      </c>
      <c r="E3174">
        <v>12</v>
      </c>
      <c r="F3174">
        <v>707</v>
      </c>
      <c r="G3174">
        <v>8484</v>
      </c>
      <c r="H3174">
        <v>96</v>
      </c>
      <c r="I3174">
        <v>7.4</v>
      </c>
      <c r="J3174">
        <v>1.69</v>
      </c>
      <c r="K3174">
        <v>14337.96</v>
      </c>
    </row>
    <row r="3175" spans="1:11" x14ac:dyDescent="0.2">
      <c r="B3175">
        <v>119530</v>
      </c>
      <c r="C3175" t="s">
        <v>6757</v>
      </c>
      <c r="D3175">
        <v>6</v>
      </c>
      <c r="E3175">
        <v>12</v>
      </c>
      <c r="F3175">
        <v>0</v>
      </c>
      <c r="G3175">
        <v>0</v>
      </c>
      <c r="H3175">
        <v>144</v>
      </c>
      <c r="I3175">
        <v>0</v>
      </c>
      <c r="J3175">
        <v>0.78</v>
      </c>
      <c r="K3175">
        <v>0</v>
      </c>
    </row>
    <row r="3176" spans="1:11" x14ac:dyDescent="0.2">
      <c r="A3176">
        <v>31506</v>
      </c>
      <c r="B3176">
        <v>119549</v>
      </c>
      <c r="C3176" t="s">
        <v>6758</v>
      </c>
      <c r="D3176">
        <v>10</v>
      </c>
      <c r="E3176">
        <v>10</v>
      </c>
      <c r="F3176">
        <v>0</v>
      </c>
      <c r="G3176">
        <v>0</v>
      </c>
      <c r="H3176">
        <v>189</v>
      </c>
      <c r="I3176">
        <v>0</v>
      </c>
      <c r="J3176">
        <v>2.4900000000000002</v>
      </c>
      <c r="K3176">
        <v>0</v>
      </c>
    </row>
    <row r="3177" spans="1:11" x14ac:dyDescent="0.2">
      <c r="A3177">
        <v>57018</v>
      </c>
      <c r="B3177">
        <v>119550</v>
      </c>
      <c r="C3177" t="s">
        <v>6759</v>
      </c>
      <c r="D3177">
        <v>11</v>
      </c>
      <c r="E3177">
        <v>12</v>
      </c>
      <c r="F3177">
        <v>0</v>
      </c>
      <c r="G3177">
        <v>0</v>
      </c>
      <c r="H3177">
        <v>144</v>
      </c>
      <c r="I3177">
        <v>0</v>
      </c>
      <c r="J3177">
        <v>3.3</v>
      </c>
      <c r="K3177">
        <v>0</v>
      </c>
    </row>
    <row r="3178" spans="1:11" x14ac:dyDescent="0.2">
      <c r="A3178">
        <v>57315</v>
      </c>
      <c r="B3178">
        <v>119562</v>
      </c>
      <c r="C3178" t="s">
        <v>6760</v>
      </c>
      <c r="D3178">
        <v>10</v>
      </c>
      <c r="E3178">
        <v>20</v>
      </c>
      <c r="F3178">
        <v>0</v>
      </c>
      <c r="G3178">
        <v>0</v>
      </c>
      <c r="H3178">
        <v>64</v>
      </c>
      <c r="I3178">
        <v>0</v>
      </c>
      <c r="J3178">
        <v>1.99</v>
      </c>
      <c r="K3178">
        <v>0</v>
      </c>
    </row>
    <row r="3179" spans="1:11" x14ac:dyDescent="0.2">
      <c r="A3179">
        <v>37606</v>
      </c>
      <c r="B3179">
        <v>119564</v>
      </c>
      <c r="C3179" t="s">
        <v>6761</v>
      </c>
      <c r="D3179">
        <v>10</v>
      </c>
      <c r="E3179">
        <v>12</v>
      </c>
      <c r="F3179">
        <v>0</v>
      </c>
      <c r="G3179">
        <v>0</v>
      </c>
      <c r="H3179">
        <v>200</v>
      </c>
      <c r="I3179">
        <v>0</v>
      </c>
      <c r="J3179">
        <v>1.99</v>
      </c>
      <c r="K3179">
        <v>0</v>
      </c>
    </row>
    <row r="3180" spans="1:11" x14ac:dyDescent="0.2">
      <c r="A3180">
        <v>73043</v>
      </c>
      <c r="B3180">
        <v>119604</v>
      </c>
      <c r="C3180" t="s">
        <v>6762</v>
      </c>
      <c r="D3180">
        <v>8</v>
      </c>
      <c r="E3180">
        <v>200</v>
      </c>
      <c r="F3180">
        <v>280</v>
      </c>
      <c r="G3180">
        <v>56000</v>
      </c>
      <c r="H3180">
        <v>24</v>
      </c>
      <c r="I3180">
        <v>11.7</v>
      </c>
      <c r="J3180">
        <v>0.15</v>
      </c>
      <c r="K3180">
        <v>8400</v>
      </c>
    </row>
    <row r="3181" spans="1:11" x14ac:dyDescent="0.2">
      <c r="A3181">
        <v>73039</v>
      </c>
      <c r="B3181">
        <v>119605</v>
      </c>
      <c r="C3181" t="s">
        <v>6452</v>
      </c>
      <c r="D3181">
        <v>8</v>
      </c>
      <c r="E3181">
        <v>50</v>
      </c>
      <c r="F3181">
        <v>318</v>
      </c>
      <c r="G3181">
        <v>15900</v>
      </c>
      <c r="H3181">
        <v>24</v>
      </c>
      <c r="I3181">
        <v>13.3</v>
      </c>
      <c r="J3181">
        <v>0.99</v>
      </c>
      <c r="K3181">
        <v>15741</v>
      </c>
    </row>
    <row r="3182" spans="1:11" x14ac:dyDescent="0.2">
      <c r="A3182">
        <v>73034</v>
      </c>
      <c r="B3182">
        <v>119607</v>
      </c>
      <c r="C3182" t="s">
        <v>6763</v>
      </c>
      <c r="D3182">
        <v>8</v>
      </c>
      <c r="E3182">
        <v>75</v>
      </c>
      <c r="F3182">
        <v>872</v>
      </c>
      <c r="G3182">
        <v>65400</v>
      </c>
      <c r="H3182">
        <v>28</v>
      </c>
      <c r="I3182">
        <v>31.1</v>
      </c>
      <c r="J3182">
        <v>0.65</v>
      </c>
      <c r="K3182">
        <v>42510</v>
      </c>
    </row>
    <row r="3183" spans="1:11" x14ac:dyDescent="0.2">
      <c r="A3183">
        <v>70261</v>
      </c>
      <c r="B3183">
        <v>119613</v>
      </c>
      <c r="C3183" t="s">
        <v>6764</v>
      </c>
      <c r="D3183">
        <v>8</v>
      </c>
      <c r="E3183">
        <v>18</v>
      </c>
      <c r="F3183">
        <v>642</v>
      </c>
      <c r="G3183">
        <v>11556</v>
      </c>
      <c r="H3183">
        <v>160</v>
      </c>
      <c r="I3183">
        <v>4</v>
      </c>
      <c r="J3183">
        <v>0.89</v>
      </c>
      <c r="K3183">
        <v>10284.84</v>
      </c>
    </row>
    <row r="3184" spans="1:11" x14ac:dyDescent="0.2">
      <c r="B3184">
        <v>119613</v>
      </c>
      <c r="C3184" t="s">
        <v>6764</v>
      </c>
      <c r="D3184">
        <v>12</v>
      </c>
      <c r="E3184">
        <v>30</v>
      </c>
      <c r="F3184">
        <v>-3</v>
      </c>
      <c r="G3184">
        <v>-90</v>
      </c>
      <c r="H3184">
        <v>210</v>
      </c>
      <c r="I3184">
        <v>0</v>
      </c>
      <c r="J3184">
        <v>0.89</v>
      </c>
      <c r="K3184">
        <v>-80.099999999999994</v>
      </c>
    </row>
    <row r="3185" spans="1:11" x14ac:dyDescent="0.2">
      <c r="A3185">
        <v>57019</v>
      </c>
      <c r="B3185">
        <v>119631</v>
      </c>
      <c r="C3185" t="s">
        <v>6765</v>
      </c>
      <c r="D3185">
        <v>11</v>
      </c>
      <c r="E3185">
        <v>20</v>
      </c>
      <c r="F3185">
        <v>0</v>
      </c>
      <c r="G3185">
        <v>0</v>
      </c>
      <c r="H3185">
        <v>80</v>
      </c>
      <c r="I3185">
        <v>0</v>
      </c>
      <c r="J3185">
        <v>0.5</v>
      </c>
      <c r="K3185">
        <v>0</v>
      </c>
    </row>
    <row r="3186" spans="1:11" x14ac:dyDescent="0.2">
      <c r="B3186">
        <v>119677</v>
      </c>
      <c r="C3186" t="s">
        <v>6766</v>
      </c>
      <c r="D3186">
        <v>11</v>
      </c>
      <c r="E3186">
        <v>12</v>
      </c>
      <c r="F3186">
        <v>0</v>
      </c>
      <c r="G3186">
        <v>0</v>
      </c>
      <c r="H3186">
        <v>272</v>
      </c>
      <c r="I3186">
        <v>0</v>
      </c>
      <c r="J3186">
        <v>0.59</v>
      </c>
      <c r="K3186">
        <v>0</v>
      </c>
    </row>
    <row r="3187" spans="1:11" x14ac:dyDescent="0.2">
      <c r="A3187">
        <v>31507</v>
      </c>
      <c r="B3187">
        <v>119680</v>
      </c>
      <c r="C3187" t="s">
        <v>6767</v>
      </c>
      <c r="D3187">
        <v>10</v>
      </c>
      <c r="E3187">
        <v>12</v>
      </c>
      <c r="F3187">
        <v>0</v>
      </c>
      <c r="G3187">
        <v>0</v>
      </c>
      <c r="H3187">
        <v>240</v>
      </c>
      <c r="I3187">
        <v>0</v>
      </c>
      <c r="J3187">
        <v>1.19</v>
      </c>
      <c r="K3187">
        <v>0</v>
      </c>
    </row>
    <row r="3188" spans="1:11" x14ac:dyDescent="0.2">
      <c r="A3188">
        <v>31508</v>
      </c>
      <c r="B3188">
        <v>119688</v>
      </c>
      <c r="C3188" t="s">
        <v>6768</v>
      </c>
      <c r="D3188">
        <v>10</v>
      </c>
      <c r="E3188">
        <v>12</v>
      </c>
      <c r="F3188">
        <v>0</v>
      </c>
      <c r="G3188">
        <v>0</v>
      </c>
      <c r="H3188">
        <v>126</v>
      </c>
      <c r="I3188">
        <v>0</v>
      </c>
      <c r="J3188">
        <v>1.69</v>
      </c>
      <c r="K3188">
        <v>0</v>
      </c>
    </row>
    <row r="3189" spans="1:11" x14ac:dyDescent="0.2">
      <c r="A3189">
        <v>41507</v>
      </c>
      <c r="B3189">
        <v>119723</v>
      </c>
      <c r="C3189" t="s">
        <v>6769</v>
      </c>
      <c r="D3189">
        <v>10</v>
      </c>
      <c r="E3189">
        <v>20</v>
      </c>
      <c r="F3189">
        <v>1</v>
      </c>
      <c r="G3189">
        <v>20</v>
      </c>
      <c r="H3189">
        <v>100</v>
      </c>
      <c r="I3189">
        <v>0</v>
      </c>
      <c r="J3189">
        <v>2.4900000000000002</v>
      </c>
      <c r="K3189">
        <v>49.8</v>
      </c>
    </row>
    <row r="3190" spans="1:11" x14ac:dyDescent="0.2">
      <c r="A3190">
        <v>57316</v>
      </c>
      <c r="B3190">
        <v>119725</v>
      </c>
      <c r="C3190" t="s">
        <v>6770</v>
      </c>
      <c r="D3190">
        <v>10</v>
      </c>
      <c r="E3190">
        <v>8</v>
      </c>
      <c r="F3190">
        <v>0</v>
      </c>
      <c r="G3190">
        <v>0</v>
      </c>
      <c r="H3190">
        <v>56</v>
      </c>
      <c r="I3190">
        <v>0</v>
      </c>
      <c r="J3190">
        <v>1.5</v>
      </c>
      <c r="K3190">
        <v>0</v>
      </c>
    </row>
    <row r="3191" spans="1:11" x14ac:dyDescent="0.2">
      <c r="A3191">
        <v>31637</v>
      </c>
      <c r="B3191">
        <v>119726</v>
      </c>
      <c r="C3191" t="s">
        <v>6771</v>
      </c>
      <c r="D3191">
        <v>10</v>
      </c>
      <c r="E3191">
        <v>10</v>
      </c>
      <c r="F3191">
        <v>0</v>
      </c>
      <c r="G3191">
        <v>0</v>
      </c>
      <c r="H3191">
        <v>56</v>
      </c>
      <c r="I3191">
        <v>0</v>
      </c>
      <c r="J3191">
        <v>2.23</v>
      </c>
      <c r="K3191">
        <v>0</v>
      </c>
    </row>
    <row r="3192" spans="1:11" x14ac:dyDescent="0.2">
      <c r="A3192">
        <v>73221</v>
      </c>
      <c r="B3192">
        <v>119798</v>
      </c>
      <c r="C3192" t="s">
        <v>6772</v>
      </c>
      <c r="D3192">
        <v>8</v>
      </c>
      <c r="E3192">
        <v>24</v>
      </c>
      <c r="F3192">
        <v>440</v>
      </c>
      <c r="G3192">
        <v>10560</v>
      </c>
      <c r="H3192">
        <v>63</v>
      </c>
      <c r="I3192">
        <v>7</v>
      </c>
      <c r="J3192">
        <v>0.89</v>
      </c>
      <c r="K3192">
        <v>9398.4</v>
      </c>
    </row>
    <row r="3193" spans="1:11" x14ac:dyDescent="0.2">
      <c r="A3193">
        <v>66147</v>
      </c>
      <c r="B3193">
        <v>119800</v>
      </c>
      <c r="C3193" t="s">
        <v>6773</v>
      </c>
      <c r="D3193">
        <v>8</v>
      </c>
      <c r="E3193">
        <v>20</v>
      </c>
      <c r="F3193">
        <v>196</v>
      </c>
      <c r="G3193">
        <v>3920</v>
      </c>
      <c r="H3193">
        <v>28</v>
      </c>
      <c r="I3193">
        <v>7</v>
      </c>
      <c r="J3193">
        <v>1.1299999999999999</v>
      </c>
      <c r="K3193">
        <v>4429.6000000000004</v>
      </c>
    </row>
    <row r="3194" spans="1:11" x14ac:dyDescent="0.2">
      <c r="A3194">
        <v>66160</v>
      </c>
      <c r="B3194">
        <v>119801</v>
      </c>
      <c r="C3194" t="s">
        <v>6774</v>
      </c>
      <c r="D3194">
        <v>8</v>
      </c>
      <c r="E3194">
        <v>20</v>
      </c>
      <c r="F3194">
        <v>202</v>
      </c>
      <c r="G3194">
        <v>4040</v>
      </c>
      <c r="H3194">
        <v>28</v>
      </c>
      <c r="I3194">
        <v>7.2</v>
      </c>
      <c r="J3194">
        <v>1.29</v>
      </c>
      <c r="K3194">
        <v>5211.6000000000004</v>
      </c>
    </row>
    <row r="3195" spans="1:11" x14ac:dyDescent="0.2">
      <c r="A3195">
        <v>93192</v>
      </c>
      <c r="B3195">
        <v>119806</v>
      </c>
      <c r="C3195" t="s">
        <v>6775</v>
      </c>
      <c r="D3195">
        <v>10</v>
      </c>
      <c r="E3195">
        <v>8</v>
      </c>
      <c r="F3195">
        <v>0</v>
      </c>
      <c r="G3195">
        <v>0</v>
      </c>
      <c r="H3195">
        <v>24</v>
      </c>
      <c r="I3195">
        <v>0</v>
      </c>
      <c r="J3195">
        <v>2.79</v>
      </c>
      <c r="K3195">
        <v>0</v>
      </c>
    </row>
    <row r="3196" spans="1:11" x14ac:dyDescent="0.2">
      <c r="A3196">
        <v>93030</v>
      </c>
      <c r="B3196">
        <v>119819</v>
      </c>
      <c r="C3196" t="s">
        <v>6776</v>
      </c>
      <c r="D3196">
        <v>10</v>
      </c>
      <c r="E3196">
        <v>6</v>
      </c>
      <c r="F3196">
        <v>0</v>
      </c>
      <c r="G3196">
        <v>0</v>
      </c>
      <c r="H3196">
        <v>32</v>
      </c>
      <c r="I3196">
        <v>0</v>
      </c>
      <c r="J3196">
        <v>3.99</v>
      </c>
      <c r="K3196">
        <v>0</v>
      </c>
    </row>
    <row r="3197" spans="1:11" x14ac:dyDescent="0.2">
      <c r="A3197">
        <v>93194</v>
      </c>
      <c r="B3197">
        <v>119826</v>
      </c>
      <c r="C3197" t="s">
        <v>6777</v>
      </c>
      <c r="D3197">
        <v>10</v>
      </c>
      <c r="E3197">
        <v>18</v>
      </c>
      <c r="F3197">
        <v>0</v>
      </c>
      <c r="G3197">
        <v>0</v>
      </c>
      <c r="H3197">
        <v>16</v>
      </c>
      <c r="I3197">
        <v>0</v>
      </c>
      <c r="J3197">
        <v>3.99</v>
      </c>
      <c r="K3197">
        <v>0</v>
      </c>
    </row>
    <row r="3198" spans="1:11" x14ac:dyDescent="0.2">
      <c r="A3198">
        <v>93237</v>
      </c>
      <c r="B3198">
        <v>119828</v>
      </c>
      <c r="C3198" t="s">
        <v>6778</v>
      </c>
      <c r="D3198">
        <v>10</v>
      </c>
      <c r="E3198">
        <v>3</v>
      </c>
      <c r="F3198">
        <v>0</v>
      </c>
      <c r="G3198">
        <v>0</v>
      </c>
      <c r="H3198">
        <v>16</v>
      </c>
      <c r="I3198">
        <v>0</v>
      </c>
      <c r="J3198">
        <v>7.99</v>
      </c>
      <c r="K3198">
        <v>0</v>
      </c>
    </row>
    <row r="3199" spans="1:11" x14ac:dyDescent="0.2">
      <c r="A3199">
        <v>34503</v>
      </c>
      <c r="B3199">
        <v>119867</v>
      </c>
      <c r="C3199" t="s">
        <v>6779</v>
      </c>
      <c r="D3199">
        <v>10</v>
      </c>
      <c r="E3199">
        <v>10</v>
      </c>
      <c r="F3199">
        <v>0</v>
      </c>
      <c r="G3199">
        <v>0</v>
      </c>
      <c r="H3199">
        <v>63</v>
      </c>
      <c r="I3199">
        <v>0</v>
      </c>
      <c r="J3199">
        <v>2.39</v>
      </c>
      <c r="K3199">
        <v>0</v>
      </c>
    </row>
    <row r="3200" spans="1:11" x14ac:dyDescent="0.2">
      <c r="A3200">
        <v>74036</v>
      </c>
      <c r="B3200">
        <v>120075</v>
      </c>
      <c r="C3200" t="s">
        <v>6780</v>
      </c>
      <c r="D3200">
        <v>8</v>
      </c>
      <c r="E3200">
        <v>20</v>
      </c>
      <c r="F3200">
        <v>459</v>
      </c>
      <c r="G3200">
        <v>9180</v>
      </c>
      <c r="H3200">
        <v>72</v>
      </c>
      <c r="I3200">
        <v>6.4</v>
      </c>
      <c r="J3200">
        <v>0.83</v>
      </c>
      <c r="K3200">
        <v>7619.4</v>
      </c>
    </row>
    <row r="3201" spans="1:11" x14ac:dyDescent="0.2">
      <c r="A3201">
        <v>81199</v>
      </c>
      <c r="B3201">
        <v>120180</v>
      </c>
      <c r="C3201" t="s">
        <v>6781</v>
      </c>
      <c r="D3201">
        <v>8</v>
      </c>
      <c r="E3201">
        <v>24</v>
      </c>
      <c r="F3201">
        <v>52</v>
      </c>
      <c r="G3201">
        <v>1248</v>
      </c>
      <c r="H3201">
        <v>72</v>
      </c>
      <c r="I3201">
        <v>0.7</v>
      </c>
      <c r="J3201">
        <v>2.99</v>
      </c>
      <c r="K3201">
        <v>3731.52</v>
      </c>
    </row>
    <row r="3202" spans="1:11" x14ac:dyDescent="0.2">
      <c r="A3202">
        <v>69226</v>
      </c>
      <c r="B3202">
        <v>120209</v>
      </c>
      <c r="C3202" t="s">
        <v>6782</v>
      </c>
      <c r="D3202">
        <v>8</v>
      </c>
      <c r="E3202">
        <v>9</v>
      </c>
      <c r="F3202">
        <v>2925</v>
      </c>
      <c r="G3202">
        <v>26324</v>
      </c>
      <c r="H3202">
        <v>120</v>
      </c>
      <c r="I3202">
        <v>24.4</v>
      </c>
      <c r="J3202">
        <v>1.42</v>
      </c>
      <c r="K3202">
        <v>37380.080000000002</v>
      </c>
    </row>
    <row r="3203" spans="1:11" x14ac:dyDescent="0.2">
      <c r="A3203">
        <v>76059</v>
      </c>
      <c r="B3203">
        <v>120366</v>
      </c>
      <c r="C3203" t="s">
        <v>6783</v>
      </c>
      <c r="D3203">
        <v>8</v>
      </c>
      <c r="E3203">
        <v>14</v>
      </c>
      <c r="F3203">
        <v>101</v>
      </c>
      <c r="G3203">
        <v>1414</v>
      </c>
      <c r="H3203">
        <v>42</v>
      </c>
      <c r="I3203">
        <v>2.4</v>
      </c>
      <c r="J3203">
        <v>2.39</v>
      </c>
      <c r="K3203">
        <v>3379.46</v>
      </c>
    </row>
    <row r="3204" spans="1:11" x14ac:dyDescent="0.2">
      <c r="A3204">
        <v>93314</v>
      </c>
      <c r="B3204">
        <v>120394</v>
      </c>
      <c r="C3204" t="s">
        <v>6784</v>
      </c>
      <c r="D3204">
        <v>10</v>
      </c>
      <c r="E3204">
        <v>8</v>
      </c>
      <c r="F3204">
        <v>1</v>
      </c>
      <c r="G3204">
        <v>8</v>
      </c>
      <c r="H3204">
        <v>20</v>
      </c>
      <c r="I3204">
        <v>0.1</v>
      </c>
      <c r="J3204">
        <v>3.49</v>
      </c>
      <c r="K3204">
        <v>27.92</v>
      </c>
    </row>
    <row r="3205" spans="1:11" x14ac:dyDescent="0.2">
      <c r="A3205">
        <v>93290</v>
      </c>
      <c r="B3205">
        <v>120396</v>
      </c>
      <c r="C3205" t="s">
        <v>6785</v>
      </c>
      <c r="D3205">
        <v>10</v>
      </c>
      <c r="E3205">
        <v>8</v>
      </c>
      <c r="F3205">
        <v>0</v>
      </c>
      <c r="G3205">
        <v>0</v>
      </c>
      <c r="H3205">
        <v>32</v>
      </c>
      <c r="I3205">
        <v>0</v>
      </c>
      <c r="J3205">
        <v>1.99</v>
      </c>
      <c r="K3205">
        <v>0</v>
      </c>
    </row>
    <row r="3206" spans="1:11" x14ac:dyDescent="0.2">
      <c r="A3206">
        <v>93112</v>
      </c>
      <c r="B3206">
        <v>120397</v>
      </c>
      <c r="C3206" t="s">
        <v>6786</v>
      </c>
      <c r="D3206">
        <v>10</v>
      </c>
      <c r="E3206">
        <v>16</v>
      </c>
      <c r="F3206">
        <v>0</v>
      </c>
      <c r="G3206">
        <v>0</v>
      </c>
      <c r="H3206">
        <v>32</v>
      </c>
      <c r="I3206">
        <v>0</v>
      </c>
      <c r="J3206">
        <v>1.29</v>
      </c>
      <c r="K3206">
        <v>0</v>
      </c>
    </row>
    <row r="3207" spans="1:11" x14ac:dyDescent="0.2">
      <c r="A3207">
        <v>93292</v>
      </c>
      <c r="B3207">
        <v>120405</v>
      </c>
      <c r="C3207" t="s">
        <v>6787</v>
      </c>
      <c r="D3207">
        <v>10</v>
      </c>
      <c r="E3207">
        <v>8</v>
      </c>
      <c r="F3207">
        <v>0</v>
      </c>
      <c r="G3207">
        <v>0</v>
      </c>
      <c r="H3207">
        <v>32</v>
      </c>
      <c r="I3207">
        <v>0</v>
      </c>
      <c r="J3207">
        <v>4.99</v>
      </c>
      <c r="K3207">
        <v>0</v>
      </c>
    </row>
    <row r="3208" spans="1:11" x14ac:dyDescent="0.2">
      <c r="A3208">
        <v>93104</v>
      </c>
      <c r="B3208">
        <v>120406</v>
      </c>
      <c r="C3208" t="s">
        <v>6788</v>
      </c>
      <c r="D3208">
        <v>10</v>
      </c>
      <c r="E3208">
        <v>6</v>
      </c>
      <c r="F3208">
        <v>0</v>
      </c>
      <c r="G3208">
        <v>0</v>
      </c>
      <c r="H3208">
        <v>28</v>
      </c>
      <c r="I3208">
        <v>0</v>
      </c>
      <c r="J3208">
        <v>4.99</v>
      </c>
      <c r="K3208">
        <v>0</v>
      </c>
    </row>
    <row r="3209" spans="1:11" x14ac:dyDescent="0.2">
      <c r="A3209">
        <v>93113</v>
      </c>
      <c r="B3209">
        <v>120407</v>
      </c>
      <c r="C3209" t="s">
        <v>6789</v>
      </c>
      <c r="D3209">
        <v>10</v>
      </c>
      <c r="E3209">
        <v>12</v>
      </c>
      <c r="F3209">
        <v>0</v>
      </c>
      <c r="G3209">
        <v>0</v>
      </c>
      <c r="H3209">
        <v>24</v>
      </c>
      <c r="I3209">
        <v>0</v>
      </c>
      <c r="J3209">
        <v>4.99</v>
      </c>
      <c r="K3209">
        <v>0</v>
      </c>
    </row>
    <row r="3210" spans="1:11" x14ac:dyDescent="0.2">
      <c r="A3210">
        <v>93287</v>
      </c>
      <c r="B3210">
        <v>120408</v>
      </c>
      <c r="C3210" t="s">
        <v>6790</v>
      </c>
      <c r="D3210">
        <v>10</v>
      </c>
      <c r="E3210">
        <v>24</v>
      </c>
      <c r="F3210">
        <v>0</v>
      </c>
      <c r="G3210">
        <v>0</v>
      </c>
      <c r="H3210">
        <v>32</v>
      </c>
      <c r="I3210">
        <v>0</v>
      </c>
      <c r="J3210">
        <v>2.99</v>
      </c>
      <c r="K3210">
        <v>0</v>
      </c>
    </row>
    <row r="3211" spans="1:11" x14ac:dyDescent="0.2">
      <c r="A3211">
        <v>66234</v>
      </c>
      <c r="B3211">
        <v>120552</v>
      </c>
      <c r="C3211" t="s">
        <v>6791</v>
      </c>
      <c r="D3211">
        <v>8</v>
      </c>
      <c r="E3211">
        <v>20</v>
      </c>
      <c r="F3211">
        <v>440</v>
      </c>
      <c r="G3211">
        <v>8800</v>
      </c>
      <c r="H3211">
        <v>32</v>
      </c>
      <c r="I3211">
        <v>13.8</v>
      </c>
      <c r="J3211">
        <v>0.99</v>
      </c>
      <c r="K3211">
        <v>8712</v>
      </c>
    </row>
    <row r="3212" spans="1:11" x14ac:dyDescent="0.2">
      <c r="B3212">
        <v>120742</v>
      </c>
      <c r="C3212" t="s">
        <v>6792</v>
      </c>
      <c r="D3212">
        <v>11</v>
      </c>
      <c r="E3212">
        <v>12</v>
      </c>
      <c r="F3212">
        <v>4</v>
      </c>
      <c r="G3212">
        <v>48</v>
      </c>
      <c r="H3212">
        <v>96</v>
      </c>
      <c r="I3212">
        <v>0</v>
      </c>
      <c r="J3212">
        <v>1.99</v>
      </c>
      <c r="K3212">
        <v>95.52</v>
      </c>
    </row>
    <row r="3213" spans="1:11" x14ac:dyDescent="0.2">
      <c r="A3213">
        <v>34504</v>
      </c>
      <c r="B3213">
        <v>120747</v>
      </c>
      <c r="C3213" t="s">
        <v>6793</v>
      </c>
      <c r="D3213">
        <v>10</v>
      </c>
      <c r="E3213">
        <v>8</v>
      </c>
      <c r="F3213">
        <v>0</v>
      </c>
      <c r="G3213">
        <v>0</v>
      </c>
      <c r="H3213">
        <v>108</v>
      </c>
      <c r="I3213">
        <v>0</v>
      </c>
      <c r="J3213">
        <v>1.39</v>
      </c>
      <c r="K3213">
        <v>0</v>
      </c>
    </row>
    <row r="3214" spans="1:11" x14ac:dyDescent="0.2">
      <c r="A3214">
        <v>27504</v>
      </c>
      <c r="B3214">
        <v>120775</v>
      </c>
      <c r="C3214" t="s">
        <v>6794</v>
      </c>
      <c r="D3214">
        <v>10</v>
      </c>
      <c r="E3214">
        <v>13</v>
      </c>
      <c r="F3214">
        <v>0</v>
      </c>
      <c r="G3214">
        <v>0</v>
      </c>
      <c r="H3214">
        <v>100</v>
      </c>
      <c r="I3214">
        <v>0</v>
      </c>
      <c r="J3214">
        <v>1.89</v>
      </c>
      <c r="K3214">
        <v>0</v>
      </c>
    </row>
    <row r="3215" spans="1:11" x14ac:dyDescent="0.2">
      <c r="A3215">
        <v>80120</v>
      </c>
      <c r="B3215">
        <v>120816</v>
      </c>
      <c r="C3215" t="s">
        <v>6795</v>
      </c>
      <c r="D3215">
        <v>8</v>
      </c>
      <c r="E3215">
        <v>12</v>
      </c>
      <c r="F3215">
        <v>354</v>
      </c>
      <c r="G3215">
        <v>4248</v>
      </c>
      <c r="H3215">
        <v>112</v>
      </c>
      <c r="I3215">
        <v>3.2</v>
      </c>
      <c r="J3215">
        <v>0.75</v>
      </c>
      <c r="K3215">
        <v>3186</v>
      </c>
    </row>
    <row r="3216" spans="1:11" x14ac:dyDescent="0.2">
      <c r="A3216">
        <v>86067</v>
      </c>
      <c r="B3216">
        <v>120819</v>
      </c>
      <c r="C3216" t="s">
        <v>6796</v>
      </c>
      <c r="D3216">
        <v>8</v>
      </c>
      <c r="E3216">
        <v>14</v>
      </c>
      <c r="F3216">
        <v>63</v>
      </c>
      <c r="G3216">
        <v>882</v>
      </c>
      <c r="H3216">
        <v>63</v>
      </c>
      <c r="I3216">
        <v>1</v>
      </c>
      <c r="J3216">
        <v>0.99</v>
      </c>
      <c r="K3216">
        <v>873.18</v>
      </c>
    </row>
    <row r="3217" spans="1:11" x14ac:dyDescent="0.2">
      <c r="A3217">
        <v>99586</v>
      </c>
      <c r="B3217">
        <v>120858</v>
      </c>
      <c r="C3217" t="s">
        <v>6797</v>
      </c>
      <c r="D3217">
        <v>10</v>
      </c>
      <c r="E3217">
        <v>12</v>
      </c>
      <c r="F3217">
        <v>0</v>
      </c>
      <c r="G3217">
        <v>0</v>
      </c>
      <c r="H3217">
        <v>80</v>
      </c>
      <c r="I3217">
        <v>0</v>
      </c>
      <c r="J3217">
        <v>1.29</v>
      </c>
      <c r="K3217">
        <v>0</v>
      </c>
    </row>
    <row r="3218" spans="1:11" x14ac:dyDescent="0.2">
      <c r="A3218">
        <v>72008</v>
      </c>
      <c r="B3218">
        <v>120894</v>
      </c>
      <c r="C3218" t="s">
        <v>6798</v>
      </c>
      <c r="D3218">
        <v>8</v>
      </c>
      <c r="E3218">
        <v>34</v>
      </c>
      <c r="F3218">
        <v>235</v>
      </c>
      <c r="G3218">
        <v>7990</v>
      </c>
      <c r="H3218">
        <v>52</v>
      </c>
      <c r="I3218">
        <v>4.5</v>
      </c>
      <c r="J3218">
        <v>0.99</v>
      </c>
      <c r="K3218">
        <v>7910.1</v>
      </c>
    </row>
    <row r="3219" spans="1:11" x14ac:dyDescent="0.2">
      <c r="A3219">
        <v>80113</v>
      </c>
      <c r="B3219">
        <v>120905</v>
      </c>
      <c r="C3219" t="s">
        <v>6799</v>
      </c>
      <c r="D3219">
        <v>8</v>
      </c>
      <c r="E3219">
        <v>6</v>
      </c>
      <c r="F3219">
        <v>310</v>
      </c>
      <c r="G3219">
        <v>1860</v>
      </c>
      <c r="H3219">
        <v>180</v>
      </c>
      <c r="I3219">
        <v>1.7</v>
      </c>
      <c r="J3219">
        <v>1.29</v>
      </c>
      <c r="K3219">
        <v>2399.4</v>
      </c>
    </row>
    <row r="3220" spans="1:11" x14ac:dyDescent="0.2">
      <c r="B3220">
        <v>121032</v>
      </c>
      <c r="C3220" t="s">
        <v>6800</v>
      </c>
      <c r="D3220">
        <v>11</v>
      </c>
      <c r="E3220">
        <v>10</v>
      </c>
      <c r="F3220">
        <v>0</v>
      </c>
      <c r="G3220">
        <v>0</v>
      </c>
      <c r="H3220">
        <v>84</v>
      </c>
      <c r="I3220">
        <v>0</v>
      </c>
      <c r="J3220">
        <v>1.78</v>
      </c>
      <c r="K3220">
        <v>0</v>
      </c>
    </row>
    <row r="3221" spans="1:11" x14ac:dyDescent="0.2">
      <c r="A3221">
        <v>70153</v>
      </c>
      <c r="B3221">
        <v>121066</v>
      </c>
      <c r="C3221" t="s">
        <v>6801</v>
      </c>
      <c r="D3221">
        <v>8</v>
      </c>
      <c r="E3221">
        <v>18</v>
      </c>
      <c r="F3221">
        <v>31</v>
      </c>
      <c r="G3221">
        <v>558</v>
      </c>
      <c r="H3221">
        <v>192</v>
      </c>
      <c r="I3221">
        <v>0.2</v>
      </c>
      <c r="J3221">
        <v>4.29</v>
      </c>
      <c r="K3221">
        <v>2393.8200000000002</v>
      </c>
    </row>
    <row r="3222" spans="1:11" x14ac:dyDescent="0.2">
      <c r="A3222">
        <v>82060</v>
      </c>
      <c r="B3222">
        <v>121172</v>
      </c>
      <c r="C3222" t="s">
        <v>6802</v>
      </c>
      <c r="D3222">
        <v>8</v>
      </c>
      <c r="E3222">
        <v>22</v>
      </c>
      <c r="F3222">
        <v>136</v>
      </c>
      <c r="G3222">
        <v>2992</v>
      </c>
      <c r="H3222">
        <v>80</v>
      </c>
      <c r="I3222">
        <v>1.7</v>
      </c>
      <c r="J3222">
        <v>2.79</v>
      </c>
      <c r="K3222">
        <v>8347.68</v>
      </c>
    </row>
    <row r="3223" spans="1:11" x14ac:dyDescent="0.2">
      <c r="B3223">
        <v>121178</v>
      </c>
      <c r="C3223" t="s">
        <v>6803</v>
      </c>
      <c r="D3223">
        <v>7</v>
      </c>
      <c r="E3223">
        <v>6</v>
      </c>
      <c r="F3223">
        <v>0</v>
      </c>
      <c r="G3223">
        <v>0</v>
      </c>
      <c r="H3223">
        <v>75</v>
      </c>
      <c r="I3223">
        <v>0</v>
      </c>
      <c r="J3223">
        <v>31.9</v>
      </c>
      <c r="K3223">
        <v>0</v>
      </c>
    </row>
    <row r="3224" spans="1:11" x14ac:dyDescent="0.2">
      <c r="B3224">
        <v>121280</v>
      </c>
      <c r="C3224" t="s">
        <v>6804</v>
      </c>
      <c r="D3224">
        <v>11</v>
      </c>
      <c r="E3224">
        <v>3</v>
      </c>
      <c r="F3224">
        <v>0</v>
      </c>
      <c r="G3224">
        <v>0</v>
      </c>
      <c r="H3224">
        <v>120</v>
      </c>
      <c r="I3224">
        <v>0</v>
      </c>
      <c r="J3224">
        <v>1.89</v>
      </c>
      <c r="K3224">
        <v>0</v>
      </c>
    </row>
    <row r="3225" spans="1:11" x14ac:dyDescent="0.2">
      <c r="B3225">
        <v>121312</v>
      </c>
      <c r="C3225" t="s">
        <v>6805</v>
      </c>
      <c r="D3225">
        <v>11</v>
      </c>
      <c r="E3225">
        <v>18</v>
      </c>
      <c r="F3225">
        <v>0</v>
      </c>
      <c r="G3225">
        <v>0</v>
      </c>
      <c r="H3225">
        <v>108</v>
      </c>
      <c r="I3225">
        <v>0</v>
      </c>
      <c r="J3225">
        <v>1.95</v>
      </c>
      <c r="K3225">
        <v>0</v>
      </c>
    </row>
    <row r="3226" spans="1:11" x14ac:dyDescent="0.2">
      <c r="A3226">
        <v>73102</v>
      </c>
      <c r="B3226">
        <v>121313</v>
      </c>
      <c r="C3226" t="s">
        <v>6806</v>
      </c>
      <c r="D3226">
        <v>8</v>
      </c>
      <c r="E3226">
        <v>15</v>
      </c>
      <c r="F3226">
        <v>257</v>
      </c>
      <c r="G3226">
        <v>3855</v>
      </c>
      <c r="H3226">
        <v>110</v>
      </c>
      <c r="I3226">
        <v>2.2999999999999998</v>
      </c>
      <c r="J3226">
        <v>2.29</v>
      </c>
      <c r="K3226">
        <v>8827.9500000000007</v>
      </c>
    </row>
    <row r="3227" spans="1:11" x14ac:dyDescent="0.2">
      <c r="A3227">
        <v>99744</v>
      </c>
      <c r="B3227">
        <v>121358</v>
      </c>
      <c r="C3227" t="s">
        <v>6807</v>
      </c>
      <c r="D3227">
        <v>10</v>
      </c>
      <c r="E3227">
        <v>8</v>
      </c>
      <c r="F3227">
        <v>0</v>
      </c>
      <c r="G3227">
        <v>0</v>
      </c>
      <c r="H3227">
        <v>72</v>
      </c>
      <c r="I3227">
        <v>0</v>
      </c>
      <c r="J3227">
        <v>1.99</v>
      </c>
      <c r="K3227">
        <v>0</v>
      </c>
    </row>
    <row r="3228" spans="1:11" x14ac:dyDescent="0.2">
      <c r="A3228">
        <v>93336</v>
      </c>
      <c r="B3228">
        <v>121521</v>
      </c>
      <c r="C3228" t="s">
        <v>6808</v>
      </c>
      <c r="D3228">
        <v>10</v>
      </c>
      <c r="E3228">
        <v>12</v>
      </c>
      <c r="F3228">
        <v>1</v>
      </c>
      <c r="G3228">
        <v>12</v>
      </c>
      <c r="H3228">
        <v>1</v>
      </c>
      <c r="I3228">
        <v>1</v>
      </c>
      <c r="J3228">
        <v>5.99</v>
      </c>
      <c r="K3228">
        <v>71.88</v>
      </c>
    </row>
    <row r="3229" spans="1:11" x14ac:dyDescent="0.2">
      <c r="A3229">
        <v>72032</v>
      </c>
      <c r="B3229">
        <v>121723</v>
      </c>
      <c r="C3229" t="s">
        <v>5881</v>
      </c>
      <c r="D3229">
        <v>8</v>
      </c>
      <c r="E3229">
        <v>40</v>
      </c>
      <c r="F3229">
        <v>638</v>
      </c>
      <c r="G3229">
        <v>25520</v>
      </c>
      <c r="H3229">
        <v>88</v>
      </c>
      <c r="I3229">
        <v>7.3</v>
      </c>
      <c r="J3229">
        <v>1.49</v>
      </c>
      <c r="K3229">
        <v>38024.800000000003</v>
      </c>
    </row>
    <row r="3230" spans="1:11" x14ac:dyDescent="0.2">
      <c r="B3230">
        <v>121813</v>
      </c>
      <c r="C3230" t="s">
        <v>6809</v>
      </c>
      <c r="D3230">
        <v>11</v>
      </c>
      <c r="E3230">
        <v>1</v>
      </c>
      <c r="F3230">
        <v>0</v>
      </c>
      <c r="G3230">
        <v>0</v>
      </c>
      <c r="H3230">
        <v>56</v>
      </c>
      <c r="I3230">
        <v>0</v>
      </c>
      <c r="J3230">
        <v>4.3899999999999997</v>
      </c>
      <c r="K3230">
        <v>0</v>
      </c>
    </row>
    <row r="3231" spans="1:11" x14ac:dyDescent="0.2">
      <c r="A3231">
        <v>61105</v>
      </c>
      <c r="B3231">
        <v>121820</v>
      </c>
      <c r="C3231" t="s">
        <v>6810</v>
      </c>
      <c r="D3231">
        <v>8</v>
      </c>
      <c r="E3231">
        <v>6</v>
      </c>
      <c r="F3231">
        <v>568</v>
      </c>
      <c r="G3231">
        <v>3408</v>
      </c>
      <c r="H3231">
        <v>105</v>
      </c>
      <c r="I3231">
        <v>5.4</v>
      </c>
      <c r="J3231">
        <v>3.99</v>
      </c>
      <c r="K3231">
        <v>13597.92</v>
      </c>
    </row>
    <row r="3232" spans="1:11" x14ac:dyDescent="0.2">
      <c r="A3232">
        <v>45616</v>
      </c>
      <c r="B3232">
        <v>121844</v>
      </c>
      <c r="C3232" t="s">
        <v>6811</v>
      </c>
      <c r="D3232">
        <v>6</v>
      </c>
      <c r="E3232">
        <v>1</v>
      </c>
      <c r="F3232">
        <v>0</v>
      </c>
      <c r="G3232">
        <v>0</v>
      </c>
      <c r="H3232">
        <v>600</v>
      </c>
      <c r="I3232">
        <v>0</v>
      </c>
      <c r="J3232">
        <v>0.49</v>
      </c>
      <c r="K3232">
        <v>0</v>
      </c>
    </row>
    <row r="3233" spans="1:11" x14ac:dyDescent="0.2">
      <c r="A3233">
        <v>43607</v>
      </c>
      <c r="B3233">
        <v>121896</v>
      </c>
      <c r="C3233" t="s">
        <v>6812</v>
      </c>
      <c r="D3233">
        <v>10</v>
      </c>
      <c r="E3233">
        <v>10</v>
      </c>
      <c r="F3233">
        <v>0</v>
      </c>
      <c r="G3233">
        <v>0</v>
      </c>
      <c r="H3233">
        <v>20</v>
      </c>
      <c r="I3233">
        <v>0</v>
      </c>
      <c r="J3233">
        <v>0.99</v>
      </c>
      <c r="K3233">
        <v>0</v>
      </c>
    </row>
    <row r="3234" spans="1:11" x14ac:dyDescent="0.2">
      <c r="A3234">
        <v>43608</v>
      </c>
      <c r="B3234">
        <v>121897</v>
      </c>
      <c r="C3234" t="s">
        <v>6813</v>
      </c>
      <c r="D3234">
        <v>10</v>
      </c>
      <c r="E3234">
        <v>10</v>
      </c>
      <c r="F3234">
        <v>0</v>
      </c>
      <c r="G3234">
        <v>0</v>
      </c>
      <c r="H3234">
        <v>20</v>
      </c>
      <c r="I3234">
        <v>0</v>
      </c>
      <c r="J3234">
        <v>0.99</v>
      </c>
      <c r="K3234">
        <v>0</v>
      </c>
    </row>
    <row r="3235" spans="1:11" x14ac:dyDescent="0.2">
      <c r="A3235">
        <v>43609</v>
      </c>
      <c r="B3235">
        <v>121898</v>
      </c>
      <c r="C3235" t="s">
        <v>6814</v>
      </c>
      <c r="D3235">
        <v>10</v>
      </c>
      <c r="E3235">
        <v>8</v>
      </c>
      <c r="F3235">
        <v>0</v>
      </c>
      <c r="G3235">
        <v>0</v>
      </c>
      <c r="H3235">
        <v>20</v>
      </c>
      <c r="I3235">
        <v>0</v>
      </c>
      <c r="J3235">
        <v>1.49</v>
      </c>
      <c r="K3235">
        <v>0</v>
      </c>
    </row>
    <row r="3236" spans="1:11" x14ac:dyDescent="0.2">
      <c r="A3236">
        <v>43610</v>
      </c>
      <c r="B3236">
        <v>121899</v>
      </c>
      <c r="C3236" t="s">
        <v>6815</v>
      </c>
      <c r="D3236">
        <v>10</v>
      </c>
      <c r="E3236">
        <v>15</v>
      </c>
      <c r="F3236">
        <v>2</v>
      </c>
      <c r="G3236">
        <v>30</v>
      </c>
      <c r="H3236">
        <v>20</v>
      </c>
      <c r="I3236">
        <v>0.1</v>
      </c>
      <c r="J3236">
        <v>1.99</v>
      </c>
      <c r="K3236">
        <v>59.7</v>
      </c>
    </row>
    <row r="3237" spans="1:11" x14ac:dyDescent="0.2">
      <c r="A3237">
        <v>43611</v>
      </c>
      <c r="B3237">
        <v>121900</v>
      </c>
      <c r="C3237" t="s">
        <v>6816</v>
      </c>
      <c r="D3237">
        <v>10</v>
      </c>
      <c r="E3237">
        <v>9</v>
      </c>
      <c r="F3237">
        <v>0</v>
      </c>
      <c r="G3237">
        <v>0</v>
      </c>
      <c r="H3237">
        <v>20</v>
      </c>
      <c r="I3237">
        <v>0</v>
      </c>
      <c r="J3237">
        <v>1.49</v>
      </c>
      <c r="K3237">
        <v>0</v>
      </c>
    </row>
    <row r="3238" spans="1:11" x14ac:dyDescent="0.2">
      <c r="A3238">
        <v>43612</v>
      </c>
      <c r="B3238">
        <v>121901</v>
      </c>
      <c r="C3238" t="s">
        <v>6817</v>
      </c>
      <c r="D3238">
        <v>10</v>
      </c>
      <c r="E3238">
        <v>21</v>
      </c>
      <c r="F3238">
        <v>0</v>
      </c>
      <c r="G3238">
        <v>0</v>
      </c>
      <c r="H3238">
        <v>20</v>
      </c>
      <c r="I3238">
        <v>0</v>
      </c>
      <c r="J3238">
        <v>0.49</v>
      </c>
      <c r="K3238">
        <v>0</v>
      </c>
    </row>
    <row r="3239" spans="1:11" x14ac:dyDescent="0.2">
      <c r="A3239">
        <v>2646</v>
      </c>
      <c r="B3239">
        <v>121964</v>
      </c>
      <c r="C3239" t="s">
        <v>6818</v>
      </c>
      <c r="D3239">
        <v>6</v>
      </c>
      <c r="E3239">
        <v>17</v>
      </c>
      <c r="F3239">
        <v>352</v>
      </c>
      <c r="G3239">
        <v>5984</v>
      </c>
      <c r="H3239">
        <v>176</v>
      </c>
      <c r="I3239">
        <v>2</v>
      </c>
      <c r="J3239">
        <v>1.79</v>
      </c>
      <c r="K3239">
        <v>10711.36</v>
      </c>
    </row>
    <row r="3240" spans="1:11" x14ac:dyDescent="0.2">
      <c r="A3240">
        <v>2647</v>
      </c>
      <c r="B3240">
        <v>121965</v>
      </c>
      <c r="C3240" t="s">
        <v>6819</v>
      </c>
      <c r="D3240">
        <v>6</v>
      </c>
      <c r="E3240">
        <v>22</v>
      </c>
      <c r="F3240">
        <v>176</v>
      </c>
      <c r="G3240">
        <v>3872</v>
      </c>
      <c r="H3240">
        <v>176</v>
      </c>
      <c r="I3240">
        <v>1</v>
      </c>
      <c r="J3240">
        <v>1.79</v>
      </c>
      <c r="K3240">
        <v>6930.88</v>
      </c>
    </row>
    <row r="3241" spans="1:11" x14ac:dyDescent="0.2">
      <c r="A3241">
        <v>75031</v>
      </c>
      <c r="B3241">
        <v>121978</v>
      </c>
      <c r="C3241" t="s">
        <v>6820</v>
      </c>
      <c r="D3241">
        <v>10</v>
      </c>
      <c r="E3241">
        <v>6</v>
      </c>
      <c r="F3241">
        <v>6</v>
      </c>
      <c r="G3241">
        <v>36</v>
      </c>
      <c r="H3241">
        <v>240</v>
      </c>
      <c r="I3241">
        <v>0</v>
      </c>
      <c r="J3241">
        <v>1.79</v>
      </c>
      <c r="K3241">
        <v>64.44</v>
      </c>
    </row>
    <row r="3242" spans="1:11" x14ac:dyDescent="0.2">
      <c r="A3242">
        <v>57579</v>
      </c>
      <c r="B3242">
        <v>122023</v>
      </c>
      <c r="C3242" t="s">
        <v>6821</v>
      </c>
      <c r="D3242">
        <v>10</v>
      </c>
      <c r="E3242">
        <v>22</v>
      </c>
      <c r="F3242">
        <v>3</v>
      </c>
      <c r="G3242">
        <v>68</v>
      </c>
      <c r="H3242">
        <v>81</v>
      </c>
      <c r="I3242">
        <v>0</v>
      </c>
      <c r="J3242">
        <v>0.5</v>
      </c>
      <c r="K3242">
        <v>34</v>
      </c>
    </row>
    <row r="3243" spans="1:11" x14ac:dyDescent="0.2">
      <c r="A3243">
        <v>2648</v>
      </c>
      <c r="B3243">
        <v>122036</v>
      </c>
      <c r="C3243" t="s">
        <v>5195</v>
      </c>
      <c r="D3243">
        <v>6</v>
      </c>
      <c r="E3243">
        <v>6</v>
      </c>
      <c r="F3243">
        <v>400</v>
      </c>
      <c r="G3243">
        <v>2400</v>
      </c>
      <c r="H3243">
        <v>80</v>
      </c>
      <c r="I3243">
        <v>5</v>
      </c>
      <c r="J3243">
        <v>7.89</v>
      </c>
      <c r="K3243">
        <v>18936</v>
      </c>
    </row>
    <row r="3244" spans="1:11" x14ac:dyDescent="0.2">
      <c r="A3244">
        <v>81129</v>
      </c>
      <c r="B3244">
        <v>122084</v>
      </c>
      <c r="C3244" t="s">
        <v>6822</v>
      </c>
      <c r="D3244">
        <v>8</v>
      </c>
      <c r="E3244">
        <v>40</v>
      </c>
      <c r="F3244">
        <v>473</v>
      </c>
      <c r="G3244">
        <v>18920</v>
      </c>
      <c r="H3244">
        <v>72</v>
      </c>
      <c r="I3244">
        <v>6.6</v>
      </c>
      <c r="J3244">
        <v>0.59</v>
      </c>
      <c r="K3244">
        <v>11162.8</v>
      </c>
    </row>
    <row r="3245" spans="1:11" x14ac:dyDescent="0.2">
      <c r="A3245">
        <v>85203</v>
      </c>
      <c r="B3245">
        <v>122086</v>
      </c>
      <c r="C3245" t="s">
        <v>5209</v>
      </c>
      <c r="D3245">
        <v>9</v>
      </c>
      <c r="E3245">
        <v>24</v>
      </c>
      <c r="F3245">
        <v>0</v>
      </c>
      <c r="G3245">
        <v>0</v>
      </c>
      <c r="H3245">
        <v>168</v>
      </c>
      <c r="I3245">
        <v>0</v>
      </c>
      <c r="J3245">
        <v>1.99</v>
      </c>
      <c r="K3245">
        <v>0</v>
      </c>
    </row>
    <row r="3246" spans="1:11" x14ac:dyDescent="0.2">
      <c r="A3246">
        <v>44609</v>
      </c>
      <c r="B3246">
        <v>122116</v>
      </c>
      <c r="C3246" t="s">
        <v>6823</v>
      </c>
      <c r="D3246">
        <v>10</v>
      </c>
      <c r="E3246">
        <v>12</v>
      </c>
      <c r="F3246">
        <v>0</v>
      </c>
      <c r="G3246">
        <v>0</v>
      </c>
      <c r="H3246">
        <v>196</v>
      </c>
      <c r="I3246">
        <v>0</v>
      </c>
      <c r="J3246">
        <v>2.99</v>
      </c>
      <c r="K3246">
        <v>0</v>
      </c>
    </row>
    <row r="3247" spans="1:11" x14ac:dyDescent="0.2">
      <c r="A3247">
        <v>93271</v>
      </c>
      <c r="B3247">
        <v>122155</v>
      </c>
      <c r="C3247" t="s">
        <v>6824</v>
      </c>
      <c r="D3247">
        <v>10</v>
      </c>
      <c r="E3247">
        <v>16</v>
      </c>
      <c r="F3247">
        <v>0</v>
      </c>
      <c r="G3247">
        <v>0</v>
      </c>
      <c r="H3247">
        <v>16</v>
      </c>
      <c r="I3247">
        <v>0</v>
      </c>
      <c r="J3247">
        <v>19.989999999999998</v>
      </c>
      <c r="K3247">
        <v>0</v>
      </c>
    </row>
    <row r="3248" spans="1:11" x14ac:dyDescent="0.2">
      <c r="A3248">
        <v>99094</v>
      </c>
      <c r="B3248">
        <v>122156</v>
      </c>
      <c r="C3248" t="s">
        <v>6825</v>
      </c>
      <c r="D3248">
        <v>10</v>
      </c>
      <c r="E3248">
        <v>8</v>
      </c>
      <c r="F3248">
        <v>0</v>
      </c>
      <c r="G3248">
        <v>0</v>
      </c>
      <c r="H3248">
        <v>152</v>
      </c>
      <c r="I3248">
        <v>0</v>
      </c>
      <c r="J3248">
        <v>2.59</v>
      </c>
      <c r="K3248">
        <v>0</v>
      </c>
    </row>
    <row r="3249" spans="1:11" x14ac:dyDescent="0.2">
      <c r="B3249">
        <v>122181</v>
      </c>
      <c r="C3249" t="s">
        <v>6826</v>
      </c>
      <c r="D3249">
        <v>11</v>
      </c>
      <c r="E3249">
        <v>12</v>
      </c>
      <c r="F3249">
        <v>0</v>
      </c>
      <c r="G3249">
        <v>0</v>
      </c>
      <c r="H3249">
        <v>144</v>
      </c>
      <c r="I3249">
        <v>0</v>
      </c>
      <c r="J3249">
        <v>1.99</v>
      </c>
      <c r="K3249">
        <v>0</v>
      </c>
    </row>
    <row r="3250" spans="1:11" x14ac:dyDescent="0.2">
      <c r="A3250">
        <v>47503</v>
      </c>
      <c r="B3250">
        <v>122185</v>
      </c>
      <c r="C3250" t="s">
        <v>6827</v>
      </c>
      <c r="D3250">
        <v>10</v>
      </c>
      <c r="E3250">
        <v>8</v>
      </c>
      <c r="F3250">
        <v>0</v>
      </c>
      <c r="G3250">
        <v>0</v>
      </c>
      <c r="H3250">
        <v>204</v>
      </c>
      <c r="I3250">
        <v>0</v>
      </c>
      <c r="J3250">
        <v>2.69</v>
      </c>
      <c r="K3250">
        <v>0</v>
      </c>
    </row>
    <row r="3251" spans="1:11" x14ac:dyDescent="0.2">
      <c r="A3251">
        <v>46503</v>
      </c>
      <c r="B3251">
        <v>122195</v>
      </c>
      <c r="C3251" t="s">
        <v>6828</v>
      </c>
      <c r="D3251">
        <v>10</v>
      </c>
      <c r="E3251">
        <v>6</v>
      </c>
      <c r="F3251">
        <v>0</v>
      </c>
      <c r="G3251">
        <v>0</v>
      </c>
      <c r="H3251">
        <v>144</v>
      </c>
      <c r="I3251">
        <v>0</v>
      </c>
      <c r="J3251">
        <v>2.79</v>
      </c>
      <c r="K3251">
        <v>0</v>
      </c>
    </row>
    <row r="3252" spans="1:11" x14ac:dyDescent="0.2">
      <c r="A3252">
        <v>50601</v>
      </c>
      <c r="B3252">
        <v>122201</v>
      </c>
      <c r="C3252" t="s">
        <v>6829</v>
      </c>
      <c r="D3252">
        <v>10</v>
      </c>
      <c r="E3252">
        <v>36</v>
      </c>
      <c r="F3252">
        <v>-1</v>
      </c>
      <c r="G3252">
        <v>-36</v>
      </c>
      <c r="H3252">
        <v>90</v>
      </c>
      <c r="I3252">
        <v>0</v>
      </c>
      <c r="J3252">
        <v>1.29</v>
      </c>
      <c r="K3252">
        <v>-46.44</v>
      </c>
    </row>
    <row r="3253" spans="1:11" x14ac:dyDescent="0.2">
      <c r="A3253">
        <v>74254</v>
      </c>
      <c r="B3253">
        <v>122211</v>
      </c>
      <c r="C3253" t="s">
        <v>6830</v>
      </c>
      <c r="D3253">
        <v>8</v>
      </c>
      <c r="E3253">
        <v>36</v>
      </c>
      <c r="F3253">
        <v>96</v>
      </c>
      <c r="G3253">
        <v>3452</v>
      </c>
      <c r="H3253">
        <v>90</v>
      </c>
      <c r="I3253">
        <v>1.1000000000000001</v>
      </c>
      <c r="J3253">
        <v>1.19</v>
      </c>
      <c r="K3253">
        <v>4107.88</v>
      </c>
    </row>
    <row r="3254" spans="1:11" x14ac:dyDescent="0.2">
      <c r="A3254">
        <v>2649</v>
      </c>
      <c r="B3254">
        <v>122316</v>
      </c>
      <c r="C3254" t="s">
        <v>6831</v>
      </c>
      <c r="D3254">
        <v>6</v>
      </c>
      <c r="E3254">
        <v>10</v>
      </c>
      <c r="F3254">
        <v>0</v>
      </c>
      <c r="G3254">
        <v>0</v>
      </c>
      <c r="H3254">
        <v>64</v>
      </c>
      <c r="I3254">
        <v>0</v>
      </c>
      <c r="J3254">
        <v>5.49</v>
      </c>
      <c r="K3254">
        <v>0</v>
      </c>
    </row>
    <row r="3255" spans="1:11" x14ac:dyDescent="0.2">
      <c r="A3255">
        <v>2650</v>
      </c>
      <c r="B3255">
        <v>122317</v>
      </c>
      <c r="C3255" t="s">
        <v>6832</v>
      </c>
      <c r="D3255">
        <v>6</v>
      </c>
      <c r="E3255">
        <v>12</v>
      </c>
      <c r="F3255">
        <v>0</v>
      </c>
      <c r="G3255">
        <v>0</v>
      </c>
      <c r="H3255">
        <v>64</v>
      </c>
      <c r="I3255">
        <v>0</v>
      </c>
      <c r="J3255">
        <v>5.98</v>
      </c>
      <c r="K3255">
        <v>0</v>
      </c>
    </row>
    <row r="3256" spans="1:11" x14ac:dyDescent="0.2">
      <c r="A3256">
        <v>2651</v>
      </c>
      <c r="B3256">
        <v>122318</v>
      </c>
      <c r="C3256" t="s">
        <v>6833</v>
      </c>
      <c r="D3256">
        <v>6</v>
      </c>
      <c r="E3256">
        <v>18</v>
      </c>
      <c r="F3256">
        <v>0</v>
      </c>
      <c r="G3256">
        <v>0</v>
      </c>
      <c r="H3256">
        <v>64</v>
      </c>
      <c r="I3256">
        <v>0</v>
      </c>
      <c r="J3256">
        <v>1.99</v>
      </c>
      <c r="K3256">
        <v>0</v>
      </c>
    </row>
    <row r="3257" spans="1:11" x14ac:dyDescent="0.2">
      <c r="A3257">
        <v>99190</v>
      </c>
      <c r="B3257">
        <v>122370</v>
      </c>
      <c r="C3257" t="s">
        <v>6834</v>
      </c>
      <c r="D3257">
        <v>11</v>
      </c>
      <c r="E3257">
        <v>12</v>
      </c>
      <c r="F3257">
        <v>0</v>
      </c>
      <c r="G3257">
        <v>0</v>
      </c>
      <c r="H3257">
        <v>40</v>
      </c>
      <c r="I3257">
        <v>0</v>
      </c>
      <c r="J3257">
        <v>1.29</v>
      </c>
      <c r="K3257">
        <v>0</v>
      </c>
    </row>
    <row r="3258" spans="1:11" x14ac:dyDescent="0.2">
      <c r="A3258">
        <v>65060</v>
      </c>
      <c r="B3258">
        <v>122430</v>
      </c>
      <c r="C3258" t="s">
        <v>6835</v>
      </c>
      <c r="D3258">
        <v>8</v>
      </c>
      <c r="E3258">
        <v>12</v>
      </c>
      <c r="F3258">
        <v>672</v>
      </c>
      <c r="G3258">
        <v>8064</v>
      </c>
      <c r="H3258">
        <v>144</v>
      </c>
      <c r="I3258">
        <v>4.7</v>
      </c>
      <c r="J3258">
        <v>0.79</v>
      </c>
      <c r="K3258">
        <v>6370.56</v>
      </c>
    </row>
    <row r="3259" spans="1:11" x14ac:dyDescent="0.2">
      <c r="A3259">
        <v>65072</v>
      </c>
      <c r="B3259">
        <v>122434</v>
      </c>
      <c r="C3259" t="s">
        <v>6836</v>
      </c>
      <c r="D3259">
        <v>8</v>
      </c>
      <c r="E3259">
        <v>12</v>
      </c>
      <c r="F3259">
        <v>431</v>
      </c>
      <c r="G3259">
        <v>5172</v>
      </c>
      <c r="H3259">
        <v>100</v>
      </c>
      <c r="I3259">
        <v>4.3</v>
      </c>
      <c r="J3259">
        <v>1.0900000000000001</v>
      </c>
      <c r="K3259">
        <v>5637.48</v>
      </c>
    </row>
    <row r="3260" spans="1:11" x14ac:dyDescent="0.2">
      <c r="A3260">
        <v>65074</v>
      </c>
      <c r="B3260">
        <v>122436</v>
      </c>
      <c r="C3260" t="s">
        <v>6837</v>
      </c>
      <c r="D3260">
        <v>8</v>
      </c>
      <c r="E3260">
        <v>12</v>
      </c>
      <c r="F3260">
        <v>571</v>
      </c>
      <c r="G3260">
        <v>6852</v>
      </c>
      <c r="H3260">
        <v>100</v>
      </c>
      <c r="I3260">
        <v>5.7</v>
      </c>
      <c r="J3260">
        <v>1.0900000000000001</v>
      </c>
      <c r="K3260">
        <v>7468.68</v>
      </c>
    </row>
    <row r="3261" spans="1:11" x14ac:dyDescent="0.2">
      <c r="A3261">
        <v>1600</v>
      </c>
      <c r="B3261">
        <v>122437</v>
      </c>
      <c r="C3261" t="s">
        <v>6838</v>
      </c>
      <c r="D3261">
        <v>6</v>
      </c>
      <c r="E3261">
        <v>3</v>
      </c>
      <c r="F3261">
        <v>3</v>
      </c>
      <c r="G3261">
        <v>9</v>
      </c>
      <c r="H3261">
        <v>144</v>
      </c>
      <c r="I3261">
        <v>0</v>
      </c>
      <c r="J3261">
        <v>2.39</v>
      </c>
      <c r="K3261">
        <v>21.51</v>
      </c>
    </row>
    <row r="3262" spans="1:11" x14ac:dyDescent="0.2">
      <c r="A3262">
        <v>65083</v>
      </c>
      <c r="B3262">
        <v>122439</v>
      </c>
      <c r="C3262" t="s">
        <v>6839</v>
      </c>
      <c r="D3262">
        <v>8</v>
      </c>
      <c r="E3262">
        <v>6</v>
      </c>
      <c r="F3262">
        <v>1277</v>
      </c>
      <c r="G3262">
        <v>7662</v>
      </c>
      <c r="H3262">
        <v>90</v>
      </c>
      <c r="I3262">
        <v>14.2</v>
      </c>
      <c r="J3262">
        <v>3.39</v>
      </c>
      <c r="K3262">
        <v>25974.18</v>
      </c>
    </row>
    <row r="3263" spans="1:11" x14ac:dyDescent="0.2">
      <c r="A3263">
        <v>26511</v>
      </c>
      <c r="B3263">
        <v>122466</v>
      </c>
      <c r="C3263" t="s">
        <v>6840</v>
      </c>
      <c r="D3263">
        <v>10</v>
      </c>
      <c r="E3263">
        <v>8</v>
      </c>
      <c r="F3263">
        <v>0</v>
      </c>
      <c r="G3263">
        <v>0</v>
      </c>
      <c r="H3263">
        <v>95</v>
      </c>
      <c r="I3263">
        <v>0</v>
      </c>
      <c r="J3263">
        <v>2.29</v>
      </c>
      <c r="K3263">
        <v>0</v>
      </c>
    </row>
    <row r="3264" spans="1:11" x14ac:dyDescent="0.2">
      <c r="B3264">
        <v>122491</v>
      </c>
      <c r="C3264" t="s">
        <v>6841</v>
      </c>
      <c r="D3264">
        <v>11</v>
      </c>
      <c r="E3264">
        <v>30</v>
      </c>
      <c r="F3264">
        <v>0</v>
      </c>
      <c r="G3264">
        <v>0</v>
      </c>
      <c r="H3264">
        <v>154</v>
      </c>
      <c r="I3264">
        <v>0</v>
      </c>
      <c r="J3264">
        <v>0.39</v>
      </c>
      <c r="K3264">
        <v>0</v>
      </c>
    </row>
    <row r="3265" spans="1:11" x14ac:dyDescent="0.2">
      <c r="B3265">
        <v>122574</v>
      </c>
      <c r="C3265" t="s">
        <v>6842</v>
      </c>
      <c r="D3265">
        <v>11</v>
      </c>
      <c r="E3265">
        <v>30</v>
      </c>
      <c r="F3265">
        <v>0</v>
      </c>
      <c r="G3265">
        <v>0</v>
      </c>
      <c r="H3265">
        <v>32</v>
      </c>
      <c r="I3265">
        <v>0</v>
      </c>
      <c r="J3265">
        <v>1.79</v>
      </c>
      <c r="K3265">
        <v>0</v>
      </c>
    </row>
    <row r="3266" spans="1:11" x14ac:dyDescent="0.2">
      <c r="A3266">
        <v>99769</v>
      </c>
      <c r="B3266">
        <v>122598</v>
      </c>
      <c r="C3266" t="s">
        <v>6843</v>
      </c>
      <c r="D3266">
        <v>10</v>
      </c>
      <c r="E3266">
        <v>14</v>
      </c>
      <c r="F3266">
        <v>0</v>
      </c>
      <c r="G3266">
        <v>0</v>
      </c>
      <c r="H3266">
        <v>54</v>
      </c>
      <c r="I3266">
        <v>0</v>
      </c>
      <c r="J3266">
        <v>1.6</v>
      </c>
      <c r="K3266">
        <v>0</v>
      </c>
    </row>
    <row r="3267" spans="1:11" x14ac:dyDescent="0.2">
      <c r="B3267">
        <v>122610</v>
      </c>
      <c r="C3267" t="s">
        <v>6844</v>
      </c>
      <c r="D3267">
        <v>11</v>
      </c>
      <c r="E3267">
        <v>12</v>
      </c>
      <c r="F3267">
        <v>0</v>
      </c>
      <c r="G3267">
        <v>0</v>
      </c>
      <c r="H3267">
        <v>144</v>
      </c>
      <c r="I3267">
        <v>0</v>
      </c>
      <c r="J3267">
        <v>1.49</v>
      </c>
      <c r="K3267">
        <v>0</v>
      </c>
    </row>
    <row r="3268" spans="1:11" x14ac:dyDescent="0.2">
      <c r="B3268">
        <v>122650</v>
      </c>
      <c r="C3268" t="s">
        <v>6845</v>
      </c>
      <c r="D3268">
        <v>11</v>
      </c>
      <c r="E3268">
        <v>7</v>
      </c>
      <c r="F3268">
        <v>0</v>
      </c>
      <c r="G3268">
        <v>0</v>
      </c>
      <c r="H3268">
        <v>108</v>
      </c>
      <c r="I3268">
        <v>0</v>
      </c>
      <c r="J3268">
        <v>1.99</v>
      </c>
      <c r="K3268">
        <v>0</v>
      </c>
    </row>
    <row r="3269" spans="1:11" x14ac:dyDescent="0.2">
      <c r="B3269">
        <v>122673</v>
      </c>
      <c r="C3269" t="s">
        <v>6846</v>
      </c>
      <c r="D3269">
        <v>11</v>
      </c>
      <c r="E3269">
        <v>6</v>
      </c>
      <c r="F3269">
        <v>0</v>
      </c>
      <c r="G3269">
        <v>0</v>
      </c>
      <c r="H3269">
        <v>84</v>
      </c>
      <c r="I3269">
        <v>0</v>
      </c>
      <c r="J3269">
        <v>4</v>
      </c>
      <c r="K3269">
        <v>0</v>
      </c>
    </row>
    <row r="3270" spans="1:11" x14ac:dyDescent="0.2">
      <c r="B3270">
        <v>122702</v>
      </c>
      <c r="C3270" t="s">
        <v>6847</v>
      </c>
      <c r="D3270">
        <v>11</v>
      </c>
      <c r="E3270">
        <v>15</v>
      </c>
      <c r="F3270">
        <v>0</v>
      </c>
      <c r="G3270">
        <v>0</v>
      </c>
      <c r="H3270">
        <v>49</v>
      </c>
      <c r="I3270">
        <v>0</v>
      </c>
      <c r="J3270">
        <v>5.99</v>
      </c>
      <c r="K3270">
        <v>0</v>
      </c>
    </row>
    <row r="3271" spans="1:11" x14ac:dyDescent="0.2">
      <c r="A3271">
        <v>73063</v>
      </c>
      <c r="B3271">
        <v>122841</v>
      </c>
      <c r="C3271" t="s">
        <v>6848</v>
      </c>
      <c r="D3271">
        <v>9</v>
      </c>
      <c r="E3271">
        <v>10</v>
      </c>
      <c r="F3271">
        <v>15</v>
      </c>
      <c r="G3271">
        <v>150</v>
      </c>
      <c r="H3271">
        <v>84</v>
      </c>
      <c r="I3271">
        <v>0.2</v>
      </c>
      <c r="J3271">
        <v>2.42</v>
      </c>
      <c r="K3271">
        <v>363</v>
      </c>
    </row>
    <row r="3272" spans="1:11" x14ac:dyDescent="0.2">
      <c r="A3272">
        <v>73067</v>
      </c>
      <c r="B3272">
        <v>122842</v>
      </c>
      <c r="C3272" t="s">
        <v>6849</v>
      </c>
      <c r="D3272">
        <v>9</v>
      </c>
      <c r="E3272">
        <v>10</v>
      </c>
      <c r="F3272">
        <v>15</v>
      </c>
      <c r="G3272">
        <v>150</v>
      </c>
      <c r="H3272">
        <v>84</v>
      </c>
      <c r="I3272">
        <v>0.2</v>
      </c>
      <c r="J3272">
        <v>2.38</v>
      </c>
      <c r="K3272">
        <v>357</v>
      </c>
    </row>
    <row r="3273" spans="1:11" x14ac:dyDescent="0.2">
      <c r="A3273">
        <v>81021</v>
      </c>
      <c r="B3273">
        <v>122949</v>
      </c>
      <c r="C3273" t="s">
        <v>6850</v>
      </c>
      <c r="D3273">
        <v>8</v>
      </c>
      <c r="E3273">
        <v>12</v>
      </c>
      <c r="F3273">
        <v>212</v>
      </c>
      <c r="G3273">
        <v>2544</v>
      </c>
      <c r="H3273">
        <v>65</v>
      </c>
      <c r="I3273">
        <v>3.3</v>
      </c>
      <c r="J3273">
        <v>1.19</v>
      </c>
      <c r="K3273">
        <v>3027.36</v>
      </c>
    </row>
    <row r="3274" spans="1:11" x14ac:dyDescent="0.2">
      <c r="A3274">
        <v>61109</v>
      </c>
      <c r="B3274">
        <v>123340</v>
      </c>
      <c r="C3274" t="s">
        <v>6851</v>
      </c>
      <c r="D3274">
        <v>8</v>
      </c>
      <c r="E3274">
        <v>6</v>
      </c>
      <c r="F3274">
        <v>369</v>
      </c>
      <c r="G3274">
        <v>2214</v>
      </c>
      <c r="H3274">
        <v>105</v>
      </c>
      <c r="I3274">
        <v>3.5</v>
      </c>
      <c r="J3274">
        <v>2.99</v>
      </c>
      <c r="K3274">
        <v>6619.86</v>
      </c>
    </row>
    <row r="3275" spans="1:11" x14ac:dyDescent="0.2">
      <c r="A3275">
        <v>67102</v>
      </c>
      <c r="B3275">
        <v>123345</v>
      </c>
      <c r="C3275" t="s">
        <v>6852</v>
      </c>
      <c r="D3275">
        <v>8</v>
      </c>
      <c r="E3275">
        <v>20</v>
      </c>
      <c r="F3275">
        <v>502</v>
      </c>
      <c r="G3275">
        <v>10038</v>
      </c>
      <c r="H3275">
        <v>42</v>
      </c>
      <c r="I3275">
        <v>12</v>
      </c>
      <c r="J3275">
        <v>0.44</v>
      </c>
      <c r="K3275">
        <v>4416.72</v>
      </c>
    </row>
    <row r="3276" spans="1:11" x14ac:dyDescent="0.2">
      <c r="A3276">
        <v>73056</v>
      </c>
      <c r="B3276">
        <v>123353</v>
      </c>
      <c r="C3276" t="s">
        <v>6853</v>
      </c>
      <c r="D3276">
        <v>9</v>
      </c>
      <c r="E3276">
        <v>6</v>
      </c>
      <c r="F3276">
        <v>29</v>
      </c>
      <c r="G3276">
        <v>174</v>
      </c>
      <c r="H3276">
        <v>96</v>
      </c>
      <c r="I3276">
        <v>0.3</v>
      </c>
      <c r="J3276">
        <v>2.39</v>
      </c>
      <c r="K3276">
        <v>415.86</v>
      </c>
    </row>
    <row r="3277" spans="1:11" x14ac:dyDescent="0.2">
      <c r="A3277">
        <v>93046</v>
      </c>
      <c r="B3277">
        <v>123420</v>
      </c>
      <c r="C3277" t="s">
        <v>6854</v>
      </c>
      <c r="D3277">
        <v>10</v>
      </c>
      <c r="E3277">
        <v>6</v>
      </c>
      <c r="F3277">
        <v>7</v>
      </c>
      <c r="G3277">
        <v>42</v>
      </c>
      <c r="H3277">
        <v>24</v>
      </c>
      <c r="I3277">
        <v>0.3</v>
      </c>
      <c r="J3277">
        <v>6.99</v>
      </c>
      <c r="K3277">
        <v>293.58</v>
      </c>
    </row>
    <row r="3278" spans="1:11" x14ac:dyDescent="0.2">
      <c r="A3278">
        <v>93379</v>
      </c>
      <c r="B3278">
        <v>123430</v>
      </c>
      <c r="C3278" t="s">
        <v>6855</v>
      </c>
      <c r="D3278">
        <v>10</v>
      </c>
      <c r="E3278">
        <v>12</v>
      </c>
      <c r="F3278">
        <v>10</v>
      </c>
      <c r="G3278">
        <v>120</v>
      </c>
      <c r="H3278">
        <v>24</v>
      </c>
      <c r="I3278">
        <v>0.4</v>
      </c>
      <c r="J3278">
        <v>2.99</v>
      </c>
      <c r="K3278">
        <v>358.8</v>
      </c>
    </row>
    <row r="3279" spans="1:11" x14ac:dyDescent="0.2">
      <c r="A3279">
        <v>4648</v>
      </c>
      <c r="B3279">
        <v>123440</v>
      </c>
      <c r="C3279" t="s">
        <v>6856</v>
      </c>
      <c r="D3279">
        <v>6</v>
      </c>
      <c r="E3279">
        <v>14</v>
      </c>
      <c r="F3279">
        <v>8</v>
      </c>
      <c r="G3279">
        <v>112</v>
      </c>
      <c r="H3279">
        <v>48</v>
      </c>
      <c r="I3279">
        <v>0.2</v>
      </c>
      <c r="J3279">
        <v>1.19</v>
      </c>
      <c r="K3279">
        <v>133.28</v>
      </c>
    </row>
    <row r="3280" spans="1:11" x14ac:dyDescent="0.2">
      <c r="A3280">
        <v>93188</v>
      </c>
      <c r="B3280">
        <v>123512</v>
      </c>
      <c r="C3280" t="s">
        <v>6857</v>
      </c>
      <c r="D3280">
        <v>10</v>
      </c>
      <c r="E3280">
        <v>12</v>
      </c>
      <c r="F3280">
        <v>0</v>
      </c>
      <c r="G3280">
        <v>0</v>
      </c>
      <c r="H3280">
        <v>20</v>
      </c>
      <c r="I3280">
        <v>0</v>
      </c>
      <c r="J3280">
        <v>0.01</v>
      </c>
      <c r="K3280">
        <v>0</v>
      </c>
    </row>
    <row r="3281" spans="1:11" x14ac:dyDescent="0.2">
      <c r="B3281">
        <v>123616</v>
      </c>
      <c r="C3281" t="s">
        <v>6858</v>
      </c>
      <c r="D3281">
        <v>11</v>
      </c>
      <c r="E3281">
        <v>12</v>
      </c>
      <c r="F3281">
        <v>0</v>
      </c>
      <c r="G3281">
        <v>0</v>
      </c>
      <c r="H3281">
        <v>120</v>
      </c>
      <c r="I3281">
        <v>0</v>
      </c>
      <c r="J3281">
        <v>2</v>
      </c>
      <c r="K3281">
        <v>0</v>
      </c>
    </row>
    <row r="3282" spans="1:11" x14ac:dyDescent="0.2">
      <c r="A3282">
        <v>57349</v>
      </c>
      <c r="B3282">
        <v>123617</v>
      </c>
      <c r="C3282" t="s">
        <v>6859</v>
      </c>
      <c r="D3282">
        <v>10</v>
      </c>
      <c r="E3282">
        <v>12</v>
      </c>
      <c r="F3282">
        <v>0</v>
      </c>
      <c r="G3282">
        <v>0</v>
      </c>
      <c r="H3282">
        <v>120</v>
      </c>
      <c r="I3282">
        <v>0</v>
      </c>
      <c r="J3282">
        <v>1.9</v>
      </c>
      <c r="K3282">
        <v>0</v>
      </c>
    </row>
    <row r="3283" spans="1:11" x14ac:dyDescent="0.2">
      <c r="A3283">
        <v>57484</v>
      </c>
      <c r="B3283">
        <v>123618</v>
      </c>
      <c r="C3283" t="s">
        <v>6860</v>
      </c>
      <c r="D3283">
        <v>10</v>
      </c>
      <c r="E3283">
        <v>12</v>
      </c>
      <c r="F3283">
        <v>6</v>
      </c>
      <c r="G3283">
        <v>72</v>
      </c>
      <c r="H3283">
        <v>120</v>
      </c>
      <c r="I3283">
        <v>0.1</v>
      </c>
      <c r="J3283">
        <v>1.5</v>
      </c>
      <c r="K3283">
        <v>108</v>
      </c>
    </row>
    <row r="3284" spans="1:11" x14ac:dyDescent="0.2">
      <c r="A3284">
        <v>93368</v>
      </c>
      <c r="B3284">
        <v>123638</v>
      </c>
      <c r="C3284" t="s">
        <v>6861</v>
      </c>
      <c r="D3284">
        <v>10</v>
      </c>
      <c r="E3284">
        <v>12</v>
      </c>
      <c r="F3284">
        <v>0</v>
      </c>
      <c r="G3284">
        <v>0</v>
      </c>
      <c r="H3284">
        <v>32</v>
      </c>
      <c r="I3284">
        <v>0</v>
      </c>
      <c r="J3284">
        <v>3.19</v>
      </c>
      <c r="K3284">
        <v>0</v>
      </c>
    </row>
    <row r="3285" spans="1:11" x14ac:dyDescent="0.2">
      <c r="B3285">
        <v>123651</v>
      </c>
      <c r="C3285" t="s">
        <v>6862</v>
      </c>
      <c r="D3285">
        <v>12</v>
      </c>
      <c r="E3285">
        <v>18</v>
      </c>
      <c r="F3285">
        <v>5</v>
      </c>
      <c r="G3285">
        <v>90</v>
      </c>
      <c r="H3285">
        <v>64</v>
      </c>
      <c r="I3285">
        <v>0.1</v>
      </c>
      <c r="J3285">
        <v>2.69</v>
      </c>
      <c r="K3285">
        <v>242.1</v>
      </c>
    </row>
    <row r="3286" spans="1:11" x14ac:dyDescent="0.2">
      <c r="A3286">
        <v>72093</v>
      </c>
      <c r="B3286">
        <v>123651</v>
      </c>
      <c r="C3286" t="s">
        <v>6862</v>
      </c>
      <c r="D3286">
        <v>8</v>
      </c>
      <c r="E3286">
        <v>27</v>
      </c>
      <c r="F3286">
        <v>839</v>
      </c>
      <c r="G3286">
        <v>22653</v>
      </c>
      <c r="H3286">
        <v>64</v>
      </c>
      <c r="I3286">
        <v>13.1</v>
      </c>
      <c r="J3286">
        <v>2.69</v>
      </c>
      <c r="K3286">
        <v>60936.57</v>
      </c>
    </row>
    <row r="3287" spans="1:11" x14ac:dyDescent="0.2">
      <c r="A3287">
        <v>72098</v>
      </c>
      <c r="B3287">
        <v>123652</v>
      </c>
      <c r="C3287" t="s">
        <v>6863</v>
      </c>
      <c r="D3287">
        <v>7</v>
      </c>
      <c r="E3287">
        <v>27</v>
      </c>
      <c r="F3287">
        <v>-21</v>
      </c>
      <c r="G3287">
        <v>-568</v>
      </c>
      <c r="H3287">
        <v>64</v>
      </c>
      <c r="I3287">
        <v>-0.3</v>
      </c>
      <c r="J3287">
        <v>2.99</v>
      </c>
      <c r="K3287">
        <v>-1698.32</v>
      </c>
    </row>
    <row r="3288" spans="1:11" x14ac:dyDescent="0.2">
      <c r="B3288">
        <v>123655</v>
      </c>
      <c r="C3288" t="s">
        <v>6864</v>
      </c>
      <c r="D3288">
        <v>12</v>
      </c>
      <c r="E3288">
        <v>18</v>
      </c>
      <c r="F3288">
        <v>0</v>
      </c>
      <c r="G3288">
        <v>0</v>
      </c>
      <c r="H3288">
        <v>64</v>
      </c>
      <c r="I3288">
        <v>0</v>
      </c>
      <c r="J3288">
        <v>2.69</v>
      </c>
      <c r="K3288">
        <v>0</v>
      </c>
    </row>
    <row r="3289" spans="1:11" x14ac:dyDescent="0.2">
      <c r="A3289">
        <v>72065</v>
      </c>
      <c r="B3289">
        <v>123655</v>
      </c>
      <c r="C3289" t="s">
        <v>6864</v>
      </c>
      <c r="D3289">
        <v>8</v>
      </c>
      <c r="E3289">
        <v>27</v>
      </c>
      <c r="F3289">
        <v>208</v>
      </c>
      <c r="G3289">
        <v>5616</v>
      </c>
      <c r="H3289">
        <v>64</v>
      </c>
      <c r="I3289">
        <v>3.3</v>
      </c>
      <c r="J3289">
        <v>2.69</v>
      </c>
      <c r="K3289">
        <v>15107.04</v>
      </c>
    </row>
    <row r="3290" spans="1:11" x14ac:dyDescent="0.2">
      <c r="A3290">
        <v>57291</v>
      </c>
      <c r="B3290">
        <v>123661</v>
      </c>
      <c r="C3290" t="s">
        <v>6865</v>
      </c>
      <c r="D3290">
        <v>11</v>
      </c>
      <c r="E3290">
        <v>12</v>
      </c>
      <c r="F3290">
        <v>0</v>
      </c>
      <c r="G3290">
        <v>0</v>
      </c>
      <c r="H3290">
        <v>4</v>
      </c>
      <c r="I3290">
        <v>0</v>
      </c>
      <c r="J3290">
        <v>1.79</v>
      </c>
      <c r="K3290">
        <v>0</v>
      </c>
    </row>
    <row r="3291" spans="1:11" x14ac:dyDescent="0.2">
      <c r="A3291">
        <v>72171</v>
      </c>
      <c r="B3291">
        <v>123704</v>
      </c>
      <c r="C3291" t="s">
        <v>6866</v>
      </c>
      <c r="D3291">
        <v>8</v>
      </c>
      <c r="E3291">
        <v>12</v>
      </c>
      <c r="F3291">
        <v>291</v>
      </c>
      <c r="G3291">
        <v>3492</v>
      </c>
      <c r="H3291">
        <v>126</v>
      </c>
      <c r="I3291">
        <v>2.2999999999999998</v>
      </c>
      <c r="J3291">
        <v>1.59</v>
      </c>
      <c r="K3291">
        <v>5552.28</v>
      </c>
    </row>
    <row r="3292" spans="1:11" x14ac:dyDescent="0.2">
      <c r="B3292">
        <v>123729</v>
      </c>
      <c r="C3292" t="s">
        <v>6867</v>
      </c>
      <c r="D3292">
        <v>11</v>
      </c>
      <c r="E3292">
        <v>28</v>
      </c>
      <c r="F3292">
        <v>0</v>
      </c>
      <c r="G3292">
        <v>0</v>
      </c>
      <c r="H3292">
        <v>40</v>
      </c>
      <c r="I3292">
        <v>0</v>
      </c>
      <c r="J3292">
        <v>6.29</v>
      </c>
      <c r="K3292">
        <v>0</v>
      </c>
    </row>
    <row r="3293" spans="1:11" x14ac:dyDescent="0.2">
      <c r="A3293">
        <v>99726</v>
      </c>
      <c r="B3293">
        <v>123735</v>
      </c>
      <c r="C3293" t="s">
        <v>6868</v>
      </c>
      <c r="D3293">
        <v>6</v>
      </c>
      <c r="E3293">
        <v>9</v>
      </c>
      <c r="F3293">
        <v>0</v>
      </c>
      <c r="G3293">
        <v>0</v>
      </c>
      <c r="H3293">
        <v>60</v>
      </c>
      <c r="I3293">
        <v>0</v>
      </c>
      <c r="J3293">
        <v>1.3</v>
      </c>
      <c r="K3293">
        <v>0</v>
      </c>
    </row>
    <row r="3294" spans="1:11" x14ac:dyDescent="0.2">
      <c r="A3294">
        <v>99884</v>
      </c>
      <c r="B3294">
        <v>123736</v>
      </c>
      <c r="C3294" t="s">
        <v>6869</v>
      </c>
      <c r="D3294">
        <v>10</v>
      </c>
      <c r="E3294">
        <v>9</v>
      </c>
      <c r="F3294">
        <v>0</v>
      </c>
      <c r="G3294">
        <v>0</v>
      </c>
      <c r="H3294">
        <v>60</v>
      </c>
      <c r="I3294">
        <v>0</v>
      </c>
      <c r="J3294">
        <v>1.59</v>
      </c>
      <c r="K3294">
        <v>0</v>
      </c>
    </row>
    <row r="3295" spans="1:11" x14ac:dyDescent="0.2">
      <c r="A3295">
        <v>93244</v>
      </c>
      <c r="B3295">
        <v>123739</v>
      </c>
      <c r="C3295" t="s">
        <v>6870</v>
      </c>
      <c r="D3295">
        <v>10</v>
      </c>
      <c r="E3295">
        <v>12</v>
      </c>
      <c r="F3295">
        <v>0</v>
      </c>
      <c r="G3295">
        <v>0</v>
      </c>
      <c r="H3295">
        <v>28</v>
      </c>
      <c r="I3295">
        <v>0</v>
      </c>
      <c r="J3295">
        <v>2.4900000000000002</v>
      </c>
      <c r="K3295">
        <v>0</v>
      </c>
    </row>
    <row r="3296" spans="1:11" x14ac:dyDescent="0.2">
      <c r="A3296">
        <v>1611</v>
      </c>
      <c r="B3296">
        <v>123839</v>
      </c>
      <c r="C3296" t="s">
        <v>6871</v>
      </c>
      <c r="D3296">
        <v>6</v>
      </c>
      <c r="E3296">
        <v>1</v>
      </c>
      <c r="F3296">
        <v>4288</v>
      </c>
      <c r="G3296">
        <v>4288</v>
      </c>
      <c r="H3296">
        <v>64</v>
      </c>
      <c r="I3296">
        <v>67</v>
      </c>
      <c r="J3296">
        <v>4.99</v>
      </c>
      <c r="K3296">
        <v>21397.119999999999</v>
      </c>
    </row>
    <row r="3297" spans="1:11" x14ac:dyDescent="0.2">
      <c r="B3297">
        <v>123847</v>
      </c>
      <c r="C3297" t="s">
        <v>6872</v>
      </c>
      <c r="D3297">
        <v>11</v>
      </c>
      <c r="E3297">
        <v>15</v>
      </c>
      <c r="F3297">
        <v>0</v>
      </c>
      <c r="G3297">
        <v>0</v>
      </c>
      <c r="H3297">
        <v>114</v>
      </c>
      <c r="I3297">
        <v>0</v>
      </c>
      <c r="J3297">
        <v>1.1000000000000001</v>
      </c>
      <c r="K3297">
        <v>0</v>
      </c>
    </row>
    <row r="3298" spans="1:11" x14ac:dyDescent="0.2">
      <c r="A3298">
        <v>4624</v>
      </c>
      <c r="B3298">
        <v>123856</v>
      </c>
      <c r="C3298" t="s">
        <v>6873</v>
      </c>
      <c r="D3298">
        <v>6</v>
      </c>
      <c r="E3298">
        <v>12</v>
      </c>
      <c r="F3298">
        <v>0</v>
      </c>
      <c r="G3298">
        <v>0</v>
      </c>
      <c r="H3298">
        <v>135</v>
      </c>
      <c r="I3298">
        <v>0</v>
      </c>
      <c r="J3298">
        <v>1.99</v>
      </c>
      <c r="K3298">
        <v>0</v>
      </c>
    </row>
    <row r="3299" spans="1:11" x14ac:dyDescent="0.2">
      <c r="A3299">
        <v>69045</v>
      </c>
      <c r="B3299">
        <v>124025</v>
      </c>
      <c r="C3299" t="s">
        <v>6874</v>
      </c>
      <c r="D3299">
        <v>8</v>
      </c>
      <c r="E3299">
        <v>20</v>
      </c>
      <c r="F3299">
        <v>215</v>
      </c>
      <c r="G3299">
        <v>4300</v>
      </c>
      <c r="H3299">
        <v>84</v>
      </c>
      <c r="I3299">
        <v>2.6</v>
      </c>
      <c r="J3299">
        <v>1.99</v>
      </c>
      <c r="K3299">
        <v>8557</v>
      </c>
    </row>
    <row r="3300" spans="1:11" x14ac:dyDescent="0.2">
      <c r="A3300">
        <v>0</v>
      </c>
      <c r="B3300">
        <v>124025</v>
      </c>
      <c r="C3300" t="s">
        <v>6874</v>
      </c>
      <c r="D3300">
        <v>12</v>
      </c>
      <c r="E3300">
        <v>30</v>
      </c>
      <c r="F3300">
        <v>0</v>
      </c>
      <c r="G3300">
        <v>0</v>
      </c>
      <c r="H3300">
        <v>56</v>
      </c>
      <c r="I3300">
        <v>0</v>
      </c>
      <c r="J3300">
        <v>1.99</v>
      </c>
      <c r="K3300">
        <v>0</v>
      </c>
    </row>
    <row r="3301" spans="1:11" x14ac:dyDescent="0.2">
      <c r="A3301">
        <v>74119</v>
      </c>
      <c r="B3301">
        <v>124055</v>
      </c>
      <c r="C3301" t="s">
        <v>6875</v>
      </c>
      <c r="D3301">
        <v>8</v>
      </c>
      <c r="E3301">
        <v>39</v>
      </c>
      <c r="F3301">
        <v>202</v>
      </c>
      <c r="G3301">
        <v>7878</v>
      </c>
      <c r="H3301">
        <v>80</v>
      </c>
      <c r="I3301">
        <v>2.5</v>
      </c>
      <c r="J3301">
        <v>0.95</v>
      </c>
      <c r="K3301">
        <v>7484.1</v>
      </c>
    </row>
    <row r="3302" spans="1:11" x14ac:dyDescent="0.2">
      <c r="A3302">
        <v>69050</v>
      </c>
      <c r="B3302">
        <v>124101</v>
      </c>
      <c r="C3302" t="s">
        <v>6876</v>
      </c>
      <c r="D3302">
        <v>8</v>
      </c>
      <c r="E3302">
        <v>17</v>
      </c>
      <c r="F3302">
        <v>1258</v>
      </c>
      <c r="G3302">
        <v>21379</v>
      </c>
      <c r="H3302">
        <v>60</v>
      </c>
      <c r="I3302">
        <v>21</v>
      </c>
      <c r="J3302">
        <v>2.39</v>
      </c>
      <c r="K3302">
        <v>51095.81</v>
      </c>
    </row>
    <row r="3303" spans="1:11" x14ac:dyDescent="0.2">
      <c r="A3303">
        <v>74250</v>
      </c>
      <c r="B3303">
        <v>124167</v>
      </c>
      <c r="C3303" t="s">
        <v>6877</v>
      </c>
      <c r="D3303">
        <v>8</v>
      </c>
      <c r="E3303">
        <v>54</v>
      </c>
      <c r="F3303">
        <v>149</v>
      </c>
      <c r="G3303">
        <v>8044</v>
      </c>
      <c r="H3303">
        <v>72</v>
      </c>
      <c r="I3303">
        <v>2.1</v>
      </c>
      <c r="J3303">
        <v>1.19</v>
      </c>
      <c r="K3303">
        <v>9572.36</v>
      </c>
    </row>
    <row r="3304" spans="1:11" x14ac:dyDescent="0.2">
      <c r="A3304">
        <v>71179</v>
      </c>
      <c r="B3304">
        <v>124184</v>
      </c>
      <c r="C3304" t="s">
        <v>6878</v>
      </c>
      <c r="D3304">
        <v>8</v>
      </c>
      <c r="E3304">
        <v>6</v>
      </c>
      <c r="F3304">
        <v>841</v>
      </c>
      <c r="G3304">
        <v>5043</v>
      </c>
      <c r="H3304">
        <v>130</v>
      </c>
      <c r="I3304">
        <v>6.5</v>
      </c>
      <c r="J3304">
        <v>1.49</v>
      </c>
      <c r="K3304">
        <v>7514.07</v>
      </c>
    </row>
    <row r="3305" spans="1:11" x14ac:dyDescent="0.2">
      <c r="A3305">
        <v>93144</v>
      </c>
      <c r="B3305">
        <v>124202</v>
      </c>
      <c r="C3305" t="s">
        <v>5760</v>
      </c>
      <c r="D3305">
        <v>10</v>
      </c>
      <c r="E3305">
        <v>120</v>
      </c>
      <c r="F3305">
        <v>0</v>
      </c>
      <c r="G3305">
        <v>0</v>
      </c>
      <c r="H3305">
        <v>120</v>
      </c>
      <c r="I3305">
        <v>0</v>
      </c>
      <c r="J3305">
        <v>1.59</v>
      </c>
      <c r="K3305">
        <v>0</v>
      </c>
    </row>
    <row r="3306" spans="1:11" x14ac:dyDescent="0.2">
      <c r="A3306">
        <v>50503</v>
      </c>
      <c r="B3306">
        <v>124204</v>
      </c>
      <c r="C3306" t="s">
        <v>6879</v>
      </c>
      <c r="D3306">
        <v>10</v>
      </c>
      <c r="E3306">
        <v>7</v>
      </c>
      <c r="F3306">
        <v>-3</v>
      </c>
      <c r="G3306">
        <v>-21</v>
      </c>
      <c r="H3306">
        <v>108</v>
      </c>
      <c r="I3306">
        <v>0</v>
      </c>
      <c r="J3306">
        <v>1.99</v>
      </c>
      <c r="K3306">
        <v>-41.79</v>
      </c>
    </row>
    <row r="3307" spans="1:11" x14ac:dyDescent="0.2">
      <c r="A3307">
        <v>69116</v>
      </c>
      <c r="B3307">
        <v>124320</v>
      </c>
      <c r="C3307" t="s">
        <v>6880</v>
      </c>
      <c r="D3307">
        <v>8</v>
      </c>
      <c r="E3307">
        <v>6</v>
      </c>
      <c r="F3307">
        <v>366</v>
      </c>
      <c r="G3307">
        <v>2196</v>
      </c>
      <c r="H3307">
        <v>72</v>
      </c>
      <c r="I3307">
        <v>5.0999999999999996</v>
      </c>
      <c r="J3307">
        <v>1.99</v>
      </c>
      <c r="K3307">
        <v>4370.04</v>
      </c>
    </row>
    <row r="3308" spans="1:11" x14ac:dyDescent="0.2">
      <c r="A3308">
        <v>69113</v>
      </c>
      <c r="B3308">
        <v>124321</v>
      </c>
      <c r="C3308" t="s">
        <v>6881</v>
      </c>
      <c r="D3308">
        <v>8</v>
      </c>
      <c r="E3308">
        <v>6</v>
      </c>
      <c r="F3308">
        <v>266</v>
      </c>
      <c r="G3308">
        <v>1596</v>
      </c>
      <c r="H3308">
        <v>72</v>
      </c>
      <c r="I3308">
        <v>3.7</v>
      </c>
      <c r="J3308">
        <v>1.99</v>
      </c>
      <c r="K3308">
        <v>3176.04</v>
      </c>
    </row>
    <row r="3309" spans="1:11" x14ac:dyDescent="0.2">
      <c r="A3309">
        <v>71069</v>
      </c>
      <c r="B3309">
        <v>124332</v>
      </c>
      <c r="C3309" t="s">
        <v>6882</v>
      </c>
      <c r="D3309">
        <v>8</v>
      </c>
      <c r="E3309">
        <v>6</v>
      </c>
      <c r="F3309">
        <v>232</v>
      </c>
      <c r="G3309">
        <v>1392</v>
      </c>
      <c r="H3309">
        <v>88</v>
      </c>
      <c r="I3309">
        <v>2.6</v>
      </c>
      <c r="J3309">
        <v>1.25</v>
      </c>
      <c r="K3309">
        <v>1740</v>
      </c>
    </row>
    <row r="3310" spans="1:11" x14ac:dyDescent="0.2">
      <c r="A3310">
        <v>71230</v>
      </c>
      <c r="B3310">
        <v>124333</v>
      </c>
      <c r="C3310" t="s">
        <v>6883</v>
      </c>
      <c r="D3310">
        <v>8</v>
      </c>
      <c r="E3310">
        <v>6</v>
      </c>
      <c r="F3310">
        <v>275</v>
      </c>
      <c r="G3310">
        <v>1652</v>
      </c>
      <c r="H3310">
        <v>88</v>
      </c>
      <c r="I3310">
        <v>3.1</v>
      </c>
      <c r="J3310">
        <v>1.25</v>
      </c>
      <c r="K3310">
        <v>2065</v>
      </c>
    </row>
    <row r="3311" spans="1:11" x14ac:dyDescent="0.2">
      <c r="A3311">
        <v>71074</v>
      </c>
      <c r="B3311">
        <v>124336</v>
      </c>
      <c r="C3311" t="s">
        <v>6884</v>
      </c>
      <c r="D3311">
        <v>8</v>
      </c>
      <c r="E3311">
        <v>6</v>
      </c>
      <c r="F3311">
        <v>198</v>
      </c>
      <c r="G3311">
        <v>1188</v>
      </c>
      <c r="H3311">
        <v>88</v>
      </c>
      <c r="I3311">
        <v>2.2999999999999998</v>
      </c>
      <c r="J3311">
        <v>1.25</v>
      </c>
      <c r="K3311">
        <v>1485</v>
      </c>
    </row>
    <row r="3312" spans="1:11" x14ac:dyDescent="0.2">
      <c r="A3312">
        <v>74230</v>
      </c>
      <c r="B3312">
        <v>124382</v>
      </c>
      <c r="C3312" t="s">
        <v>6885</v>
      </c>
      <c r="D3312">
        <v>8</v>
      </c>
      <c r="E3312">
        <v>54</v>
      </c>
      <c r="F3312">
        <v>154</v>
      </c>
      <c r="G3312">
        <v>8316</v>
      </c>
      <c r="H3312">
        <v>72</v>
      </c>
      <c r="I3312">
        <v>2.1</v>
      </c>
      <c r="J3312">
        <v>1.19</v>
      </c>
      <c r="K3312">
        <v>9896.0400000000009</v>
      </c>
    </row>
    <row r="3313" spans="1:11" x14ac:dyDescent="0.2">
      <c r="A3313">
        <v>74146</v>
      </c>
      <c r="B3313">
        <v>124468</v>
      </c>
      <c r="C3313" t="s">
        <v>6886</v>
      </c>
      <c r="D3313">
        <v>8</v>
      </c>
      <c r="E3313">
        <v>32</v>
      </c>
      <c r="F3313">
        <v>123</v>
      </c>
      <c r="G3313">
        <v>3936</v>
      </c>
      <c r="H3313">
        <v>48</v>
      </c>
      <c r="I3313">
        <v>2.6</v>
      </c>
      <c r="J3313">
        <v>0.89</v>
      </c>
      <c r="K3313">
        <v>3503.04</v>
      </c>
    </row>
    <row r="3314" spans="1:11" x14ac:dyDescent="0.2">
      <c r="A3314">
        <v>83226</v>
      </c>
      <c r="B3314">
        <v>124506</v>
      </c>
      <c r="C3314" t="s">
        <v>6887</v>
      </c>
      <c r="D3314">
        <v>8</v>
      </c>
      <c r="E3314">
        <v>7</v>
      </c>
      <c r="F3314">
        <v>224</v>
      </c>
      <c r="G3314">
        <v>1568</v>
      </c>
      <c r="H3314">
        <v>126</v>
      </c>
      <c r="I3314">
        <v>1.8</v>
      </c>
      <c r="J3314">
        <v>1.99</v>
      </c>
      <c r="K3314">
        <v>3120.32</v>
      </c>
    </row>
    <row r="3315" spans="1:11" x14ac:dyDescent="0.2">
      <c r="B3315">
        <v>124510</v>
      </c>
      <c r="C3315" t="s">
        <v>6888</v>
      </c>
      <c r="D3315">
        <v>11</v>
      </c>
      <c r="E3315">
        <v>3</v>
      </c>
      <c r="F3315">
        <v>0</v>
      </c>
      <c r="G3315">
        <v>0</v>
      </c>
      <c r="H3315">
        <v>66</v>
      </c>
      <c r="I3315">
        <v>0</v>
      </c>
      <c r="J3315">
        <v>6.29</v>
      </c>
      <c r="K3315">
        <v>0</v>
      </c>
    </row>
    <row r="3316" spans="1:11" x14ac:dyDescent="0.2">
      <c r="A3316">
        <v>74155</v>
      </c>
      <c r="B3316">
        <v>124564</v>
      </c>
      <c r="C3316" t="s">
        <v>6889</v>
      </c>
      <c r="D3316">
        <v>8</v>
      </c>
      <c r="E3316">
        <v>16</v>
      </c>
      <c r="F3316">
        <v>762</v>
      </c>
      <c r="G3316">
        <v>12191</v>
      </c>
      <c r="H3316">
        <v>132</v>
      </c>
      <c r="I3316">
        <v>5.8</v>
      </c>
      <c r="J3316">
        <v>0.79</v>
      </c>
      <c r="K3316">
        <v>9630.89</v>
      </c>
    </row>
    <row r="3317" spans="1:11" x14ac:dyDescent="0.2">
      <c r="A3317">
        <v>93148</v>
      </c>
      <c r="B3317">
        <v>124621</v>
      </c>
      <c r="C3317" t="s">
        <v>6890</v>
      </c>
      <c r="D3317">
        <v>6</v>
      </c>
      <c r="E3317">
        <v>15</v>
      </c>
      <c r="F3317">
        <v>0</v>
      </c>
      <c r="G3317">
        <v>0</v>
      </c>
      <c r="H3317">
        <v>24</v>
      </c>
      <c r="I3317">
        <v>0</v>
      </c>
      <c r="J3317">
        <v>1.79</v>
      </c>
      <c r="K3317">
        <v>0</v>
      </c>
    </row>
    <row r="3318" spans="1:11" x14ac:dyDescent="0.2">
      <c r="A3318">
        <v>93294</v>
      </c>
      <c r="B3318">
        <v>124622</v>
      </c>
      <c r="C3318" t="s">
        <v>6891</v>
      </c>
      <c r="D3318">
        <v>10</v>
      </c>
      <c r="E3318">
        <v>8</v>
      </c>
      <c r="F3318">
        <v>2</v>
      </c>
      <c r="G3318">
        <v>16</v>
      </c>
      <c r="H3318">
        <v>12</v>
      </c>
      <c r="I3318">
        <v>0.2</v>
      </c>
      <c r="J3318">
        <v>9.99</v>
      </c>
      <c r="K3318">
        <v>159.84</v>
      </c>
    </row>
    <row r="3319" spans="1:11" x14ac:dyDescent="0.2">
      <c r="A3319">
        <v>93035</v>
      </c>
      <c r="B3319">
        <v>124663</v>
      </c>
      <c r="C3319" t="s">
        <v>6892</v>
      </c>
      <c r="D3319">
        <v>10</v>
      </c>
      <c r="E3319">
        <v>12</v>
      </c>
      <c r="F3319">
        <v>0</v>
      </c>
      <c r="G3319">
        <v>0</v>
      </c>
      <c r="H3319">
        <v>12</v>
      </c>
      <c r="I3319">
        <v>0</v>
      </c>
      <c r="J3319">
        <v>8.99</v>
      </c>
      <c r="K3319">
        <v>0</v>
      </c>
    </row>
    <row r="3320" spans="1:11" x14ac:dyDescent="0.2">
      <c r="A3320">
        <v>66050</v>
      </c>
      <c r="B3320">
        <v>124840</v>
      </c>
      <c r="C3320" t="s">
        <v>6893</v>
      </c>
      <c r="D3320">
        <v>8</v>
      </c>
      <c r="E3320">
        <v>18</v>
      </c>
      <c r="F3320">
        <v>584</v>
      </c>
      <c r="G3320">
        <v>10512</v>
      </c>
      <c r="H3320">
        <v>144</v>
      </c>
      <c r="I3320">
        <v>4.0999999999999996</v>
      </c>
      <c r="J3320">
        <v>0.51</v>
      </c>
      <c r="K3320">
        <v>5361.12</v>
      </c>
    </row>
    <row r="3321" spans="1:11" x14ac:dyDescent="0.2">
      <c r="A3321">
        <v>72120</v>
      </c>
      <c r="B3321">
        <v>125529</v>
      </c>
      <c r="C3321" t="s">
        <v>6894</v>
      </c>
      <c r="D3321">
        <v>8</v>
      </c>
      <c r="E3321">
        <v>10</v>
      </c>
      <c r="F3321">
        <v>398</v>
      </c>
      <c r="G3321">
        <v>3980</v>
      </c>
      <c r="H3321">
        <v>168</v>
      </c>
      <c r="I3321">
        <v>2.4</v>
      </c>
      <c r="J3321">
        <v>1.49</v>
      </c>
      <c r="K3321">
        <v>5930.2</v>
      </c>
    </row>
    <row r="3322" spans="1:11" x14ac:dyDescent="0.2">
      <c r="A3322">
        <v>57385</v>
      </c>
      <c r="B3322">
        <v>125538</v>
      </c>
      <c r="C3322" t="s">
        <v>6895</v>
      </c>
      <c r="D3322">
        <v>10</v>
      </c>
      <c r="E3322">
        <v>20</v>
      </c>
      <c r="F3322">
        <v>0</v>
      </c>
      <c r="G3322">
        <v>0</v>
      </c>
      <c r="H3322">
        <v>28</v>
      </c>
      <c r="I3322">
        <v>0</v>
      </c>
      <c r="J3322">
        <v>0.5</v>
      </c>
      <c r="K3322">
        <v>0</v>
      </c>
    </row>
    <row r="3323" spans="1:11" x14ac:dyDescent="0.2">
      <c r="A3323">
        <v>62171</v>
      </c>
      <c r="B3323">
        <v>125620</v>
      </c>
      <c r="C3323" t="s">
        <v>6896</v>
      </c>
      <c r="D3323">
        <v>8</v>
      </c>
      <c r="E3323">
        <v>2</v>
      </c>
      <c r="F3323">
        <v>615</v>
      </c>
      <c r="G3323">
        <v>1230</v>
      </c>
      <c r="H3323">
        <v>96</v>
      </c>
      <c r="I3323">
        <v>6.4</v>
      </c>
      <c r="J3323">
        <v>2.95</v>
      </c>
      <c r="K3323">
        <v>3628.5</v>
      </c>
    </row>
    <row r="3324" spans="1:11" x14ac:dyDescent="0.2">
      <c r="A3324">
        <v>27505</v>
      </c>
      <c r="B3324">
        <v>125693</v>
      </c>
      <c r="C3324" t="s">
        <v>6897</v>
      </c>
      <c r="D3324">
        <v>10</v>
      </c>
      <c r="E3324">
        <v>12</v>
      </c>
      <c r="F3324">
        <v>0</v>
      </c>
      <c r="G3324">
        <v>0</v>
      </c>
      <c r="H3324">
        <v>144</v>
      </c>
      <c r="I3324">
        <v>0</v>
      </c>
      <c r="J3324">
        <v>0.99</v>
      </c>
      <c r="K3324">
        <v>0</v>
      </c>
    </row>
    <row r="3325" spans="1:11" x14ac:dyDescent="0.2">
      <c r="A3325">
        <v>92901</v>
      </c>
      <c r="B3325">
        <v>125706</v>
      </c>
      <c r="C3325" t="s">
        <v>6898</v>
      </c>
      <c r="D3325">
        <v>10</v>
      </c>
      <c r="E3325">
        <v>12</v>
      </c>
      <c r="F3325">
        <v>0</v>
      </c>
      <c r="G3325">
        <v>0</v>
      </c>
      <c r="H3325">
        <v>32</v>
      </c>
      <c r="I3325">
        <v>0</v>
      </c>
      <c r="J3325">
        <v>2.4900000000000002</v>
      </c>
      <c r="K3325">
        <v>0</v>
      </c>
    </row>
    <row r="3326" spans="1:11" x14ac:dyDescent="0.2">
      <c r="A3326">
        <v>93063</v>
      </c>
      <c r="B3326">
        <v>125707</v>
      </c>
      <c r="C3326" t="s">
        <v>6899</v>
      </c>
      <c r="D3326">
        <v>10</v>
      </c>
      <c r="E3326">
        <v>12</v>
      </c>
      <c r="F3326">
        <v>7</v>
      </c>
      <c r="G3326">
        <v>84</v>
      </c>
      <c r="H3326">
        <v>20</v>
      </c>
      <c r="I3326">
        <v>0.4</v>
      </c>
      <c r="J3326">
        <v>3.99</v>
      </c>
      <c r="K3326">
        <v>335.16</v>
      </c>
    </row>
    <row r="3327" spans="1:11" x14ac:dyDescent="0.2">
      <c r="A3327">
        <v>93076</v>
      </c>
      <c r="B3327">
        <v>125709</v>
      </c>
      <c r="C3327" t="s">
        <v>6870</v>
      </c>
      <c r="D3327">
        <v>10</v>
      </c>
      <c r="E3327">
        <v>12</v>
      </c>
      <c r="F3327">
        <v>0</v>
      </c>
      <c r="G3327">
        <v>0</v>
      </c>
      <c r="H3327">
        <v>28</v>
      </c>
      <c r="I3327">
        <v>0</v>
      </c>
      <c r="J3327">
        <v>2.29</v>
      </c>
      <c r="K3327">
        <v>0</v>
      </c>
    </row>
    <row r="3328" spans="1:11" x14ac:dyDescent="0.2">
      <c r="A3328">
        <v>92963</v>
      </c>
      <c r="B3328">
        <v>125712</v>
      </c>
      <c r="C3328" t="s">
        <v>6900</v>
      </c>
      <c r="D3328">
        <v>10</v>
      </c>
      <c r="E3328">
        <v>12</v>
      </c>
      <c r="F3328">
        <v>0</v>
      </c>
      <c r="G3328">
        <v>0</v>
      </c>
      <c r="H3328">
        <v>20</v>
      </c>
      <c r="I3328">
        <v>0</v>
      </c>
      <c r="J3328">
        <v>9.99</v>
      </c>
      <c r="K3328">
        <v>0</v>
      </c>
    </row>
    <row r="3329" spans="1:11" x14ac:dyDescent="0.2">
      <c r="A3329">
        <v>93803</v>
      </c>
      <c r="B3329">
        <v>125727</v>
      </c>
      <c r="C3329" t="s">
        <v>6901</v>
      </c>
      <c r="D3329">
        <v>10</v>
      </c>
      <c r="E3329">
        <v>5</v>
      </c>
      <c r="F3329">
        <v>0</v>
      </c>
      <c r="G3329">
        <v>0</v>
      </c>
      <c r="H3329">
        <v>20</v>
      </c>
      <c r="I3329">
        <v>0</v>
      </c>
      <c r="J3329">
        <v>6.99</v>
      </c>
      <c r="K3329">
        <v>0</v>
      </c>
    </row>
    <row r="3330" spans="1:11" x14ac:dyDescent="0.2">
      <c r="B3330">
        <v>125728</v>
      </c>
      <c r="C3330" t="s">
        <v>6902</v>
      </c>
      <c r="D3330">
        <v>11</v>
      </c>
      <c r="E3330">
        <v>40</v>
      </c>
      <c r="F3330">
        <v>0</v>
      </c>
      <c r="G3330">
        <v>0</v>
      </c>
      <c r="H3330">
        <v>100</v>
      </c>
      <c r="I3330">
        <v>0</v>
      </c>
      <c r="J3330">
        <v>1</v>
      </c>
      <c r="K3330">
        <v>0</v>
      </c>
    </row>
    <row r="3331" spans="1:11" x14ac:dyDescent="0.2">
      <c r="A3331">
        <v>72166</v>
      </c>
      <c r="B3331">
        <v>126009</v>
      </c>
      <c r="C3331" t="s">
        <v>6903</v>
      </c>
      <c r="D3331">
        <v>8</v>
      </c>
      <c r="E3331">
        <v>20</v>
      </c>
      <c r="F3331">
        <v>1260</v>
      </c>
      <c r="G3331">
        <v>25196</v>
      </c>
      <c r="H3331">
        <v>84</v>
      </c>
      <c r="I3331">
        <v>15</v>
      </c>
      <c r="J3331">
        <v>0.75</v>
      </c>
      <c r="K3331">
        <v>18897</v>
      </c>
    </row>
    <row r="3332" spans="1:11" x14ac:dyDescent="0.2">
      <c r="A3332">
        <v>99005</v>
      </c>
      <c r="B3332">
        <v>126035</v>
      </c>
      <c r="C3332" t="s">
        <v>6266</v>
      </c>
      <c r="D3332">
        <v>10</v>
      </c>
      <c r="E3332">
        <v>20</v>
      </c>
      <c r="F3332">
        <v>0</v>
      </c>
      <c r="G3332">
        <v>0</v>
      </c>
      <c r="H3332">
        <v>56</v>
      </c>
      <c r="I3332">
        <v>0</v>
      </c>
      <c r="J3332">
        <v>1.59</v>
      </c>
      <c r="K3332">
        <v>0</v>
      </c>
    </row>
    <row r="3333" spans="1:11" x14ac:dyDescent="0.2">
      <c r="A3333">
        <v>57292</v>
      </c>
      <c r="B3333">
        <v>126046</v>
      </c>
      <c r="C3333" t="s">
        <v>6904</v>
      </c>
      <c r="D3333">
        <v>11</v>
      </c>
      <c r="E3333">
        <v>8</v>
      </c>
      <c r="F3333">
        <v>0</v>
      </c>
      <c r="G3333">
        <v>0</v>
      </c>
      <c r="H3333">
        <v>36</v>
      </c>
      <c r="I3333">
        <v>0</v>
      </c>
      <c r="J3333">
        <v>2.99</v>
      </c>
      <c r="K3333">
        <v>0</v>
      </c>
    </row>
    <row r="3334" spans="1:11" x14ac:dyDescent="0.2">
      <c r="A3334">
        <v>80072</v>
      </c>
      <c r="B3334">
        <v>126047</v>
      </c>
      <c r="C3334" t="s">
        <v>6905</v>
      </c>
      <c r="D3334">
        <v>8</v>
      </c>
      <c r="E3334">
        <v>6</v>
      </c>
      <c r="F3334">
        <v>429</v>
      </c>
      <c r="G3334">
        <v>2571</v>
      </c>
      <c r="H3334">
        <v>90</v>
      </c>
      <c r="I3334">
        <v>4.8</v>
      </c>
      <c r="J3334">
        <v>1.49</v>
      </c>
      <c r="K3334">
        <v>3830.79</v>
      </c>
    </row>
    <row r="3335" spans="1:11" x14ac:dyDescent="0.2">
      <c r="A3335">
        <v>57610</v>
      </c>
      <c r="B3335">
        <v>126098</v>
      </c>
      <c r="C3335" t="s">
        <v>6906</v>
      </c>
      <c r="D3335">
        <v>10</v>
      </c>
      <c r="E3335">
        <v>24</v>
      </c>
      <c r="F3335">
        <v>2</v>
      </c>
      <c r="G3335">
        <v>39</v>
      </c>
      <c r="H3335">
        <v>48</v>
      </c>
      <c r="I3335">
        <v>0</v>
      </c>
      <c r="J3335">
        <v>0.89</v>
      </c>
      <c r="K3335">
        <v>34.71</v>
      </c>
    </row>
    <row r="3336" spans="1:11" x14ac:dyDescent="0.2">
      <c r="A3336">
        <v>57611</v>
      </c>
      <c r="B3336">
        <v>126110</v>
      </c>
      <c r="C3336" t="s">
        <v>6907</v>
      </c>
      <c r="D3336">
        <v>11</v>
      </c>
      <c r="E3336">
        <v>1</v>
      </c>
      <c r="F3336">
        <v>206</v>
      </c>
      <c r="G3336">
        <v>206</v>
      </c>
      <c r="H3336">
        <v>544</v>
      </c>
      <c r="I3336">
        <v>0.4</v>
      </c>
      <c r="J3336">
        <v>1</v>
      </c>
      <c r="K3336">
        <v>206</v>
      </c>
    </row>
    <row r="3337" spans="1:11" x14ac:dyDescent="0.2">
      <c r="A3337">
        <v>57258</v>
      </c>
      <c r="B3337">
        <v>126132</v>
      </c>
      <c r="C3337" t="s">
        <v>6908</v>
      </c>
      <c r="D3337">
        <v>11</v>
      </c>
      <c r="E3337">
        <v>1</v>
      </c>
      <c r="F3337">
        <v>0</v>
      </c>
      <c r="G3337">
        <v>0</v>
      </c>
      <c r="H3337">
        <v>648</v>
      </c>
      <c r="I3337">
        <v>0</v>
      </c>
      <c r="J3337">
        <v>0.5</v>
      </c>
      <c r="K3337">
        <v>0</v>
      </c>
    </row>
    <row r="3338" spans="1:11" x14ac:dyDescent="0.2">
      <c r="B3338">
        <v>126174</v>
      </c>
      <c r="C3338" t="s">
        <v>6909</v>
      </c>
      <c r="D3338">
        <v>11</v>
      </c>
      <c r="E3338">
        <v>1</v>
      </c>
      <c r="F3338">
        <v>0</v>
      </c>
      <c r="G3338">
        <v>0</v>
      </c>
      <c r="H3338">
        <v>256</v>
      </c>
      <c r="I3338">
        <v>0</v>
      </c>
      <c r="J3338">
        <v>2</v>
      </c>
      <c r="K3338">
        <v>0</v>
      </c>
    </row>
    <row r="3339" spans="1:11" x14ac:dyDescent="0.2">
      <c r="B3339">
        <v>126176</v>
      </c>
      <c r="C3339" t="s">
        <v>6910</v>
      </c>
      <c r="D3339">
        <v>11</v>
      </c>
      <c r="E3339">
        <v>1</v>
      </c>
      <c r="F3339">
        <v>0</v>
      </c>
      <c r="G3339">
        <v>0</v>
      </c>
      <c r="H3339">
        <v>240</v>
      </c>
      <c r="I3339">
        <v>0</v>
      </c>
      <c r="J3339">
        <v>2</v>
      </c>
      <c r="K3339">
        <v>0</v>
      </c>
    </row>
    <row r="3340" spans="1:11" x14ac:dyDescent="0.2">
      <c r="A3340">
        <v>57259</v>
      </c>
      <c r="B3340">
        <v>126178</v>
      </c>
      <c r="C3340" t="s">
        <v>6911</v>
      </c>
      <c r="D3340">
        <v>11</v>
      </c>
      <c r="E3340">
        <v>21</v>
      </c>
      <c r="F3340">
        <v>0</v>
      </c>
      <c r="G3340">
        <v>0</v>
      </c>
      <c r="H3340">
        <v>128</v>
      </c>
      <c r="I3340">
        <v>0</v>
      </c>
      <c r="J3340">
        <v>1</v>
      </c>
      <c r="K3340">
        <v>0</v>
      </c>
    </row>
    <row r="3341" spans="1:11" x14ac:dyDescent="0.2">
      <c r="A3341">
        <v>33614</v>
      </c>
      <c r="B3341">
        <v>126195</v>
      </c>
      <c r="C3341" t="s">
        <v>6912</v>
      </c>
      <c r="D3341">
        <v>10</v>
      </c>
      <c r="E3341">
        <v>32</v>
      </c>
      <c r="F3341">
        <v>0</v>
      </c>
      <c r="G3341">
        <v>0</v>
      </c>
      <c r="H3341">
        <v>24</v>
      </c>
      <c r="I3341">
        <v>0</v>
      </c>
      <c r="J3341">
        <v>1.59</v>
      </c>
      <c r="K3341">
        <v>0</v>
      </c>
    </row>
    <row r="3342" spans="1:11" x14ac:dyDescent="0.2">
      <c r="B3342">
        <v>126252</v>
      </c>
      <c r="C3342" t="s">
        <v>6913</v>
      </c>
      <c r="D3342">
        <v>11</v>
      </c>
      <c r="E3342">
        <v>8</v>
      </c>
      <c r="F3342">
        <v>0</v>
      </c>
      <c r="G3342">
        <v>0</v>
      </c>
      <c r="H3342">
        <v>192</v>
      </c>
      <c r="I3342">
        <v>0</v>
      </c>
      <c r="J3342">
        <v>1.19</v>
      </c>
      <c r="K3342">
        <v>0</v>
      </c>
    </row>
    <row r="3343" spans="1:11" x14ac:dyDescent="0.2">
      <c r="A3343">
        <v>59502</v>
      </c>
      <c r="B3343">
        <v>126253</v>
      </c>
      <c r="C3343" t="s">
        <v>6914</v>
      </c>
      <c r="D3343">
        <v>10</v>
      </c>
      <c r="E3343">
        <v>8</v>
      </c>
      <c r="F3343">
        <v>3</v>
      </c>
      <c r="G3343">
        <v>24</v>
      </c>
      <c r="H3343">
        <v>192</v>
      </c>
      <c r="I3343">
        <v>0</v>
      </c>
      <c r="J3343">
        <v>1.49</v>
      </c>
      <c r="K3343">
        <v>35.76</v>
      </c>
    </row>
    <row r="3344" spans="1:11" x14ac:dyDescent="0.2">
      <c r="A3344">
        <v>85201</v>
      </c>
      <c r="B3344">
        <v>126255</v>
      </c>
      <c r="C3344" t="s">
        <v>6915</v>
      </c>
      <c r="D3344">
        <v>9</v>
      </c>
      <c r="E3344">
        <v>8</v>
      </c>
      <c r="F3344">
        <v>12</v>
      </c>
      <c r="G3344">
        <v>96</v>
      </c>
      <c r="H3344">
        <v>192</v>
      </c>
      <c r="I3344">
        <v>0.1</v>
      </c>
      <c r="J3344">
        <v>1.49</v>
      </c>
      <c r="K3344">
        <v>143.04</v>
      </c>
    </row>
    <row r="3345" spans="1:11" x14ac:dyDescent="0.2">
      <c r="A3345">
        <v>47505</v>
      </c>
      <c r="B3345">
        <v>126256</v>
      </c>
      <c r="C3345" t="s">
        <v>6916</v>
      </c>
      <c r="D3345">
        <v>10</v>
      </c>
      <c r="E3345">
        <v>8</v>
      </c>
      <c r="F3345">
        <v>-7</v>
      </c>
      <c r="G3345">
        <v>-56</v>
      </c>
      <c r="H3345">
        <v>192</v>
      </c>
      <c r="I3345">
        <v>0</v>
      </c>
      <c r="J3345">
        <v>1.49</v>
      </c>
      <c r="K3345">
        <v>-83.44</v>
      </c>
    </row>
    <row r="3346" spans="1:11" x14ac:dyDescent="0.2">
      <c r="A3346">
        <v>57580</v>
      </c>
      <c r="B3346">
        <v>126261</v>
      </c>
      <c r="C3346" t="s">
        <v>6917</v>
      </c>
      <c r="D3346">
        <v>10</v>
      </c>
      <c r="E3346">
        <v>18</v>
      </c>
      <c r="F3346">
        <v>1</v>
      </c>
      <c r="G3346">
        <v>23</v>
      </c>
      <c r="H3346">
        <v>4</v>
      </c>
      <c r="I3346">
        <v>0.3</v>
      </c>
      <c r="J3346">
        <v>1</v>
      </c>
      <c r="K3346">
        <v>23</v>
      </c>
    </row>
    <row r="3347" spans="1:11" x14ac:dyDescent="0.2">
      <c r="A3347">
        <v>93384</v>
      </c>
      <c r="B3347">
        <v>126268</v>
      </c>
      <c r="C3347" t="s">
        <v>6918</v>
      </c>
      <c r="D3347">
        <v>10</v>
      </c>
      <c r="E3347">
        <v>6</v>
      </c>
      <c r="F3347">
        <v>-1</v>
      </c>
      <c r="G3347">
        <v>-6</v>
      </c>
      <c r="H3347">
        <v>16</v>
      </c>
      <c r="I3347">
        <v>-0.1</v>
      </c>
      <c r="J3347">
        <v>12.99</v>
      </c>
      <c r="K3347">
        <v>-77.94</v>
      </c>
    </row>
    <row r="3348" spans="1:11" x14ac:dyDescent="0.2">
      <c r="A3348">
        <v>93390</v>
      </c>
      <c r="B3348">
        <v>126269</v>
      </c>
      <c r="C3348" t="s">
        <v>6919</v>
      </c>
      <c r="D3348">
        <v>10</v>
      </c>
      <c r="E3348">
        <v>8</v>
      </c>
      <c r="F3348">
        <v>0</v>
      </c>
      <c r="G3348">
        <v>0</v>
      </c>
      <c r="H3348">
        <v>24</v>
      </c>
      <c r="I3348">
        <v>0</v>
      </c>
      <c r="K3348">
        <v>0</v>
      </c>
    </row>
    <row r="3349" spans="1:11" x14ac:dyDescent="0.2">
      <c r="A3349">
        <v>72182</v>
      </c>
      <c r="B3349">
        <v>126296</v>
      </c>
      <c r="C3349" t="s">
        <v>6920</v>
      </c>
      <c r="D3349">
        <v>8</v>
      </c>
      <c r="E3349">
        <v>12</v>
      </c>
      <c r="F3349">
        <v>990</v>
      </c>
      <c r="G3349">
        <v>11878</v>
      </c>
      <c r="H3349">
        <v>81</v>
      </c>
      <c r="I3349">
        <v>12.2</v>
      </c>
      <c r="J3349">
        <v>0.85</v>
      </c>
      <c r="K3349">
        <v>10096.299999999999</v>
      </c>
    </row>
    <row r="3350" spans="1:11" x14ac:dyDescent="0.2">
      <c r="A3350">
        <v>35520</v>
      </c>
      <c r="B3350">
        <v>126334</v>
      </c>
      <c r="C3350" t="s">
        <v>6921</v>
      </c>
      <c r="D3350">
        <v>10</v>
      </c>
      <c r="E3350">
        <v>12</v>
      </c>
      <c r="F3350">
        <v>0</v>
      </c>
      <c r="G3350">
        <v>0</v>
      </c>
      <c r="H3350">
        <v>189</v>
      </c>
      <c r="I3350">
        <v>0</v>
      </c>
      <c r="J3350">
        <v>0.89</v>
      </c>
      <c r="K3350">
        <v>0</v>
      </c>
    </row>
    <row r="3351" spans="1:11" x14ac:dyDescent="0.2">
      <c r="A3351">
        <v>80094</v>
      </c>
      <c r="B3351">
        <v>126348</v>
      </c>
      <c r="C3351" t="s">
        <v>6922</v>
      </c>
      <c r="D3351">
        <v>8</v>
      </c>
      <c r="E3351">
        <v>6</v>
      </c>
      <c r="F3351">
        <v>767</v>
      </c>
      <c r="G3351">
        <v>4602</v>
      </c>
      <c r="H3351">
        <v>135</v>
      </c>
      <c r="I3351">
        <v>5.7</v>
      </c>
      <c r="J3351">
        <v>0.73</v>
      </c>
      <c r="K3351">
        <v>3359.46</v>
      </c>
    </row>
    <row r="3352" spans="1:11" x14ac:dyDescent="0.2">
      <c r="A3352">
        <v>87073</v>
      </c>
      <c r="B3352">
        <v>126581</v>
      </c>
      <c r="C3352" t="s">
        <v>5861</v>
      </c>
      <c r="D3352">
        <v>8</v>
      </c>
      <c r="E3352">
        <v>12</v>
      </c>
      <c r="F3352">
        <v>60</v>
      </c>
      <c r="G3352">
        <v>720</v>
      </c>
      <c r="H3352">
        <v>60</v>
      </c>
      <c r="I3352">
        <v>1</v>
      </c>
      <c r="J3352">
        <v>2.99</v>
      </c>
      <c r="K3352">
        <v>2152.8000000000002</v>
      </c>
    </row>
    <row r="3353" spans="1:11" x14ac:dyDescent="0.2">
      <c r="A3353">
        <v>93240</v>
      </c>
      <c r="B3353">
        <v>126680</v>
      </c>
      <c r="C3353" t="s">
        <v>6923</v>
      </c>
      <c r="D3353">
        <v>10</v>
      </c>
      <c r="E3353">
        <v>44</v>
      </c>
      <c r="F3353">
        <v>0</v>
      </c>
      <c r="G3353">
        <v>0</v>
      </c>
      <c r="H3353">
        <v>24</v>
      </c>
      <c r="I3353">
        <v>0</v>
      </c>
      <c r="J3353">
        <v>5.99</v>
      </c>
      <c r="K3353">
        <v>0</v>
      </c>
    </row>
    <row r="3354" spans="1:11" x14ac:dyDescent="0.2">
      <c r="A3354">
        <v>72188</v>
      </c>
      <c r="B3354">
        <v>126717</v>
      </c>
      <c r="C3354" t="s">
        <v>6924</v>
      </c>
      <c r="D3354">
        <v>8</v>
      </c>
      <c r="E3354">
        <v>12</v>
      </c>
      <c r="F3354">
        <v>393</v>
      </c>
      <c r="G3354">
        <v>4715</v>
      </c>
      <c r="H3354">
        <v>81</v>
      </c>
      <c r="I3354">
        <v>4.9000000000000004</v>
      </c>
      <c r="J3354">
        <v>1.99</v>
      </c>
      <c r="K3354">
        <v>9382.85</v>
      </c>
    </row>
    <row r="3355" spans="1:11" x14ac:dyDescent="0.2">
      <c r="A3355">
        <v>88025</v>
      </c>
      <c r="B3355">
        <v>126735</v>
      </c>
      <c r="C3355" t="s">
        <v>6925</v>
      </c>
      <c r="D3355">
        <v>8</v>
      </c>
      <c r="E3355">
        <v>12</v>
      </c>
      <c r="F3355">
        <v>132</v>
      </c>
      <c r="G3355">
        <v>1584</v>
      </c>
      <c r="H3355">
        <v>132</v>
      </c>
      <c r="I3355">
        <v>1</v>
      </c>
      <c r="J3355">
        <v>2.4900000000000002</v>
      </c>
      <c r="K3355">
        <v>3944.16</v>
      </c>
    </row>
    <row r="3356" spans="1:11" x14ac:dyDescent="0.2">
      <c r="A3356">
        <v>41612</v>
      </c>
      <c r="B3356">
        <v>126770</v>
      </c>
      <c r="C3356" t="s">
        <v>6926</v>
      </c>
      <c r="D3356">
        <v>10</v>
      </c>
      <c r="E3356">
        <v>704</v>
      </c>
      <c r="F3356">
        <v>0</v>
      </c>
      <c r="G3356">
        <v>0</v>
      </c>
      <c r="H3356">
        <v>4</v>
      </c>
      <c r="I3356">
        <v>0</v>
      </c>
      <c r="J3356">
        <v>0.54</v>
      </c>
      <c r="K3356">
        <v>0</v>
      </c>
    </row>
    <row r="3357" spans="1:11" x14ac:dyDescent="0.2">
      <c r="A3357">
        <v>70241</v>
      </c>
      <c r="B3357">
        <v>126829</v>
      </c>
      <c r="C3357" t="s">
        <v>6927</v>
      </c>
      <c r="D3357">
        <v>8</v>
      </c>
      <c r="E3357">
        <v>12</v>
      </c>
      <c r="F3357">
        <v>384</v>
      </c>
      <c r="G3357">
        <v>4608</v>
      </c>
      <c r="H3357">
        <v>231</v>
      </c>
      <c r="I3357">
        <v>1.7</v>
      </c>
      <c r="J3357">
        <v>2.4900000000000002</v>
      </c>
      <c r="K3357">
        <v>11473.92</v>
      </c>
    </row>
    <row r="3358" spans="1:11" x14ac:dyDescent="0.2">
      <c r="B3358">
        <v>126942</v>
      </c>
      <c r="C3358" t="s">
        <v>6928</v>
      </c>
      <c r="D3358">
        <v>11</v>
      </c>
      <c r="E3358">
        <v>30</v>
      </c>
      <c r="F3358">
        <v>0</v>
      </c>
      <c r="G3358">
        <v>0</v>
      </c>
      <c r="H3358">
        <v>100</v>
      </c>
      <c r="I3358">
        <v>0</v>
      </c>
      <c r="J3358">
        <v>0.45</v>
      </c>
      <c r="K3358">
        <v>0</v>
      </c>
    </row>
    <row r="3359" spans="1:11" x14ac:dyDescent="0.2">
      <c r="A3359">
        <v>91100</v>
      </c>
      <c r="B3359">
        <v>126946</v>
      </c>
      <c r="C3359" t="s">
        <v>6929</v>
      </c>
      <c r="D3359">
        <v>8</v>
      </c>
      <c r="E3359">
        <v>1</v>
      </c>
      <c r="F3359">
        <v>351</v>
      </c>
      <c r="G3359">
        <v>351</v>
      </c>
      <c r="H3359">
        <v>450</v>
      </c>
      <c r="I3359">
        <v>0.8</v>
      </c>
      <c r="J3359">
        <v>6.79</v>
      </c>
      <c r="K3359">
        <v>2383.29</v>
      </c>
    </row>
    <row r="3360" spans="1:11" x14ac:dyDescent="0.2">
      <c r="A3360">
        <v>93319</v>
      </c>
      <c r="B3360">
        <v>126948</v>
      </c>
      <c r="C3360" t="s">
        <v>6930</v>
      </c>
      <c r="D3360">
        <v>10</v>
      </c>
      <c r="E3360">
        <v>3</v>
      </c>
      <c r="F3360">
        <v>-17</v>
      </c>
      <c r="G3360">
        <v>-51</v>
      </c>
      <c r="H3360">
        <v>24</v>
      </c>
      <c r="I3360">
        <v>-0.7</v>
      </c>
      <c r="J3360">
        <v>4.99</v>
      </c>
      <c r="K3360">
        <v>-254.49</v>
      </c>
    </row>
    <row r="3361" spans="1:11" x14ac:dyDescent="0.2">
      <c r="B3361">
        <v>127170</v>
      </c>
      <c r="C3361" t="s">
        <v>6931</v>
      </c>
      <c r="D3361">
        <v>11</v>
      </c>
      <c r="E3361">
        <v>8</v>
      </c>
      <c r="F3361">
        <v>0</v>
      </c>
      <c r="G3361">
        <v>0</v>
      </c>
      <c r="H3361">
        <v>80</v>
      </c>
      <c r="I3361">
        <v>0</v>
      </c>
      <c r="J3361">
        <v>1.39</v>
      </c>
      <c r="K3361">
        <v>0</v>
      </c>
    </row>
    <row r="3362" spans="1:11" x14ac:dyDescent="0.2">
      <c r="A3362">
        <v>81014</v>
      </c>
      <c r="B3362">
        <v>127180</v>
      </c>
      <c r="C3362" t="s">
        <v>6932</v>
      </c>
      <c r="D3362">
        <v>8</v>
      </c>
      <c r="E3362">
        <v>4</v>
      </c>
      <c r="F3362">
        <v>519</v>
      </c>
      <c r="G3362">
        <v>2076</v>
      </c>
      <c r="H3362">
        <v>160</v>
      </c>
      <c r="I3362">
        <v>3.2</v>
      </c>
      <c r="J3362">
        <v>1.19</v>
      </c>
      <c r="K3362">
        <v>2470.44</v>
      </c>
    </row>
    <row r="3363" spans="1:11" x14ac:dyDescent="0.2">
      <c r="A3363">
        <v>93077</v>
      </c>
      <c r="B3363">
        <v>127181</v>
      </c>
      <c r="C3363" t="s">
        <v>6933</v>
      </c>
      <c r="D3363">
        <v>10</v>
      </c>
      <c r="E3363">
        <v>12</v>
      </c>
      <c r="F3363">
        <v>0</v>
      </c>
      <c r="G3363">
        <v>0</v>
      </c>
      <c r="H3363">
        <v>48</v>
      </c>
      <c r="I3363">
        <v>0</v>
      </c>
      <c r="J3363">
        <v>2.99</v>
      </c>
      <c r="K3363">
        <v>0</v>
      </c>
    </row>
    <row r="3364" spans="1:11" x14ac:dyDescent="0.2">
      <c r="A3364">
        <v>73239</v>
      </c>
      <c r="B3364">
        <v>127242</v>
      </c>
      <c r="C3364" t="s">
        <v>6934</v>
      </c>
      <c r="D3364">
        <v>8</v>
      </c>
      <c r="E3364">
        <v>12</v>
      </c>
      <c r="F3364">
        <v>294</v>
      </c>
      <c r="G3364">
        <v>3528</v>
      </c>
      <c r="H3364">
        <v>91</v>
      </c>
      <c r="I3364">
        <v>3.2</v>
      </c>
      <c r="J3364">
        <v>0.79</v>
      </c>
      <c r="K3364">
        <v>2787.12</v>
      </c>
    </row>
    <row r="3365" spans="1:11" x14ac:dyDescent="0.2">
      <c r="B3365">
        <v>127310</v>
      </c>
      <c r="C3365" t="s">
        <v>6935</v>
      </c>
      <c r="D3365">
        <v>11</v>
      </c>
      <c r="E3365">
        <v>1</v>
      </c>
      <c r="F3365">
        <v>0</v>
      </c>
      <c r="G3365">
        <v>0</v>
      </c>
      <c r="H3365">
        <v>448</v>
      </c>
      <c r="I3365">
        <v>0</v>
      </c>
      <c r="J3365">
        <v>3.99</v>
      </c>
      <c r="K3365">
        <v>0</v>
      </c>
    </row>
    <row r="3366" spans="1:11" x14ac:dyDescent="0.2">
      <c r="A3366">
        <v>80245</v>
      </c>
      <c r="B3366">
        <v>127323</v>
      </c>
      <c r="C3366" t="s">
        <v>6936</v>
      </c>
      <c r="D3366">
        <v>8</v>
      </c>
      <c r="E3366">
        <v>6</v>
      </c>
      <c r="F3366">
        <v>195</v>
      </c>
      <c r="G3366">
        <v>1170</v>
      </c>
      <c r="H3366">
        <v>180</v>
      </c>
      <c r="I3366">
        <v>1.1000000000000001</v>
      </c>
      <c r="J3366">
        <v>1.9</v>
      </c>
      <c r="K3366">
        <v>2223</v>
      </c>
    </row>
    <row r="3367" spans="1:11" x14ac:dyDescent="0.2">
      <c r="B3367">
        <v>127337</v>
      </c>
      <c r="C3367" t="s">
        <v>6937</v>
      </c>
      <c r="D3367">
        <v>10</v>
      </c>
      <c r="E3367">
        <v>6</v>
      </c>
      <c r="F3367">
        <v>-14</v>
      </c>
      <c r="G3367">
        <v>-84</v>
      </c>
      <c r="H3367">
        <v>180</v>
      </c>
      <c r="I3367">
        <v>-0.1</v>
      </c>
      <c r="J3367">
        <v>1.9</v>
      </c>
      <c r="K3367">
        <v>-159.6</v>
      </c>
    </row>
    <row r="3368" spans="1:11" x14ac:dyDescent="0.2">
      <c r="A3368">
        <v>57485</v>
      </c>
      <c r="B3368">
        <v>127356</v>
      </c>
      <c r="C3368" t="s">
        <v>6938</v>
      </c>
      <c r="D3368">
        <v>10</v>
      </c>
      <c r="E3368">
        <v>12</v>
      </c>
      <c r="F3368">
        <v>2</v>
      </c>
      <c r="G3368">
        <v>21</v>
      </c>
      <c r="H3368">
        <v>120</v>
      </c>
      <c r="I3368">
        <v>0</v>
      </c>
      <c r="J3368">
        <v>1.5</v>
      </c>
      <c r="K3368">
        <v>31.5</v>
      </c>
    </row>
    <row r="3369" spans="1:11" x14ac:dyDescent="0.2">
      <c r="A3369">
        <v>72201</v>
      </c>
      <c r="B3369">
        <v>127358</v>
      </c>
      <c r="C3369" t="s">
        <v>6939</v>
      </c>
      <c r="D3369">
        <v>8</v>
      </c>
      <c r="E3369">
        <v>12</v>
      </c>
      <c r="F3369">
        <v>474</v>
      </c>
      <c r="G3369">
        <v>5689</v>
      </c>
      <c r="H3369">
        <v>65</v>
      </c>
      <c r="I3369">
        <v>7.3</v>
      </c>
      <c r="J3369">
        <v>1.0900000000000001</v>
      </c>
      <c r="K3369">
        <v>6201.01</v>
      </c>
    </row>
    <row r="3370" spans="1:11" x14ac:dyDescent="0.2">
      <c r="A3370">
        <v>95105</v>
      </c>
      <c r="B3370">
        <v>127360</v>
      </c>
      <c r="C3370" t="s">
        <v>6940</v>
      </c>
      <c r="D3370">
        <v>8</v>
      </c>
      <c r="E3370">
        <v>1</v>
      </c>
      <c r="F3370">
        <v>3077</v>
      </c>
      <c r="G3370">
        <v>3077</v>
      </c>
      <c r="H3370">
        <v>162</v>
      </c>
      <c r="I3370">
        <v>19</v>
      </c>
      <c r="J3370">
        <v>2.0499999999999998</v>
      </c>
      <c r="K3370">
        <v>6307.85</v>
      </c>
    </row>
    <row r="3371" spans="1:11" x14ac:dyDescent="0.2">
      <c r="A3371">
        <v>72170</v>
      </c>
      <c r="B3371">
        <v>127393</v>
      </c>
      <c r="C3371" t="s">
        <v>6941</v>
      </c>
      <c r="D3371">
        <v>8</v>
      </c>
      <c r="E3371">
        <v>24</v>
      </c>
      <c r="F3371">
        <v>206</v>
      </c>
      <c r="G3371">
        <v>4944</v>
      </c>
      <c r="H3371">
        <v>95</v>
      </c>
      <c r="I3371">
        <v>2.2000000000000002</v>
      </c>
      <c r="J3371">
        <v>0.69</v>
      </c>
      <c r="K3371">
        <v>3411.36</v>
      </c>
    </row>
    <row r="3372" spans="1:11" x14ac:dyDescent="0.2">
      <c r="A3372">
        <v>99147</v>
      </c>
      <c r="B3372">
        <v>127460</v>
      </c>
      <c r="C3372" t="s">
        <v>6942</v>
      </c>
      <c r="D3372">
        <v>10</v>
      </c>
      <c r="E3372">
        <v>16</v>
      </c>
      <c r="F3372">
        <v>0</v>
      </c>
      <c r="G3372">
        <v>0</v>
      </c>
      <c r="H3372">
        <v>84</v>
      </c>
      <c r="I3372">
        <v>0</v>
      </c>
      <c r="J3372">
        <v>1.99</v>
      </c>
      <c r="K3372">
        <v>0</v>
      </c>
    </row>
    <row r="3373" spans="1:11" x14ac:dyDescent="0.2">
      <c r="A3373">
        <v>99148</v>
      </c>
      <c r="B3373">
        <v>127461</v>
      </c>
      <c r="C3373" t="s">
        <v>6943</v>
      </c>
      <c r="D3373">
        <v>10</v>
      </c>
      <c r="E3373">
        <v>12</v>
      </c>
      <c r="F3373">
        <v>0</v>
      </c>
      <c r="G3373">
        <v>0</v>
      </c>
      <c r="H3373">
        <v>72</v>
      </c>
      <c r="I3373">
        <v>0</v>
      </c>
      <c r="J3373">
        <v>1.69</v>
      </c>
      <c r="K3373">
        <v>0</v>
      </c>
    </row>
    <row r="3374" spans="1:11" x14ac:dyDescent="0.2">
      <c r="A3374">
        <v>31640</v>
      </c>
      <c r="B3374">
        <v>127465</v>
      </c>
      <c r="C3374" t="s">
        <v>6944</v>
      </c>
      <c r="D3374">
        <v>10</v>
      </c>
      <c r="E3374">
        <v>12</v>
      </c>
      <c r="F3374">
        <v>0</v>
      </c>
      <c r="G3374">
        <v>0</v>
      </c>
      <c r="H3374">
        <v>72</v>
      </c>
      <c r="I3374">
        <v>0</v>
      </c>
      <c r="J3374">
        <v>1.2</v>
      </c>
      <c r="K3374">
        <v>0</v>
      </c>
    </row>
    <row r="3375" spans="1:11" x14ac:dyDescent="0.2">
      <c r="A3375">
        <v>76026</v>
      </c>
      <c r="B3375">
        <v>127608</v>
      </c>
      <c r="C3375" t="s">
        <v>6945</v>
      </c>
      <c r="D3375">
        <v>8</v>
      </c>
      <c r="E3375">
        <v>30</v>
      </c>
      <c r="F3375">
        <v>231</v>
      </c>
      <c r="G3375">
        <v>6930</v>
      </c>
      <c r="H3375">
        <v>208</v>
      </c>
      <c r="I3375">
        <v>1.1000000000000001</v>
      </c>
      <c r="J3375">
        <v>0.99</v>
      </c>
      <c r="K3375">
        <v>6860.7</v>
      </c>
    </row>
    <row r="3376" spans="1:11" x14ac:dyDescent="0.2">
      <c r="A3376">
        <v>0</v>
      </c>
      <c r="B3376">
        <v>127613</v>
      </c>
      <c r="C3376" t="s">
        <v>6946</v>
      </c>
      <c r="D3376">
        <v>11</v>
      </c>
      <c r="E3376">
        <v>15</v>
      </c>
      <c r="F3376">
        <v>0</v>
      </c>
      <c r="G3376">
        <v>0</v>
      </c>
      <c r="H3376">
        <v>90</v>
      </c>
      <c r="I3376">
        <v>0</v>
      </c>
      <c r="J3376">
        <v>2.4300000000000002</v>
      </c>
      <c r="K3376">
        <v>0</v>
      </c>
    </row>
    <row r="3377" spans="1:11" x14ac:dyDescent="0.2">
      <c r="A3377">
        <v>69030</v>
      </c>
      <c r="B3377">
        <v>127619</v>
      </c>
      <c r="C3377" t="s">
        <v>6947</v>
      </c>
      <c r="D3377">
        <v>8</v>
      </c>
      <c r="E3377">
        <v>18</v>
      </c>
      <c r="F3377">
        <v>595</v>
      </c>
      <c r="G3377">
        <v>10710</v>
      </c>
      <c r="H3377">
        <v>90</v>
      </c>
      <c r="I3377">
        <v>6.6</v>
      </c>
      <c r="J3377">
        <v>1.0900000000000001</v>
      </c>
      <c r="K3377">
        <v>11673.9</v>
      </c>
    </row>
    <row r="3378" spans="1:11" x14ac:dyDescent="0.2">
      <c r="A3378">
        <v>86005</v>
      </c>
      <c r="B3378">
        <v>127644</v>
      </c>
      <c r="C3378" t="s">
        <v>6948</v>
      </c>
      <c r="D3378">
        <v>8</v>
      </c>
      <c r="E3378">
        <v>25</v>
      </c>
      <c r="F3378">
        <v>0</v>
      </c>
      <c r="G3378">
        <v>0</v>
      </c>
      <c r="H3378">
        <v>24</v>
      </c>
      <c r="I3378">
        <v>0</v>
      </c>
      <c r="J3378">
        <v>0.69</v>
      </c>
      <c r="K3378">
        <v>0</v>
      </c>
    </row>
    <row r="3379" spans="1:11" x14ac:dyDescent="0.2">
      <c r="A3379">
        <v>93177</v>
      </c>
      <c r="B3379">
        <v>127658</v>
      </c>
      <c r="C3379" t="s">
        <v>5755</v>
      </c>
      <c r="D3379">
        <v>10</v>
      </c>
      <c r="E3379">
        <v>48</v>
      </c>
      <c r="F3379">
        <v>0</v>
      </c>
      <c r="G3379">
        <v>0</v>
      </c>
      <c r="H3379">
        <v>1</v>
      </c>
      <c r="I3379">
        <v>0</v>
      </c>
      <c r="J3379">
        <v>3.79</v>
      </c>
      <c r="K3379">
        <v>0</v>
      </c>
    </row>
    <row r="3380" spans="1:11" x14ac:dyDescent="0.2">
      <c r="A3380">
        <v>67027</v>
      </c>
      <c r="B3380">
        <v>127670</v>
      </c>
      <c r="C3380" t="s">
        <v>6949</v>
      </c>
      <c r="D3380">
        <v>8</v>
      </c>
      <c r="E3380">
        <v>12</v>
      </c>
      <c r="F3380">
        <v>704</v>
      </c>
      <c r="G3380">
        <v>8448</v>
      </c>
      <c r="H3380">
        <v>96</v>
      </c>
      <c r="I3380">
        <v>7.3</v>
      </c>
      <c r="J3380">
        <v>1.35</v>
      </c>
      <c r="K3380">
        <v>11404.8</v>
      </c>
    </row>
    <row r="3381" spans="1:11" x14ac:dyDescent="0.2">
      <c r="A3381">
        <v>93143</v>
      </c>
      <c r="B3381">
        <v>127672</v>
      </c>
      <c r="C3381" t="s">
        <v>6950</v>
      </c>
      <c r="D3381">
        <v>10</v>
      </c>
      <c r="E3381">
        <v>3</v>
      </c>
      <c r="F3381">
        <v>0</v>
      </c>
      <c r="G3381">
        <v>0</v>
      </c>
      <c r="H3381">
        <v>24</v>
      </c>
      <c r="I3381">
        <v>0</v>
      </c>
      <c r="J3381">
        <v>11.99</v>
      </c>
      <c r="K3381">
        <v>0</v>
      </c>
    </row>
    <row r="3382" spans="1:11" x14ac:dyDescent="0.2">
      <c r="A3382">
        <v>88011</v>
      </c>
      <c r="B3382">
        <v>127674</v>
      </c>
      <c r="C3382" t="s">
        <v>6951</v>
      </c>
      <c r="D3382">
        <v>8</v>
      </c>
      <c r="E3382">
        <v>24</v>
      </c>
      <c r="F3382">
        <v>168</v>
      </c>
      <c r="G3382">
        <v>4032</v>
      </c>
      <c r="H3382">
        <v>56</v>
      </c>
      <c r="I3382">
        <v>3</v>
      </c>
      <c r="J3382">
        <v>3.99</v>
      </c>
      <c r="K3382">
        <v>16087.68</v>
      </c>
    </row>
    <row r="3383" spans="1:11" x14ac:dyDescent="0.2">
      <c r="A3383">
        <v>2501</v>
      </c>
      <c r="B3383">
        <v>127746</v>
      </c>
      <c r="C3383" t="s">
        <v>6952</v>
      </c>
      <c r="D3383">
        <v>6</v>
      </c>
      <c r="E3383">
        <v>6</v>
      </c>
      <c r="F3383">
        <v>0</v>
      </c>
      <c r="G3383">
        <v>0</v>
      </c>
      <c r="H3383">
        <v>144</v>
      </c>
      <c r="I3383">
        <v>0</v>
      </c>
      <c r="J3383">
        <v>1.39</v>
      </c>
      <c r="K3383">
        <v>0</v>
      </c>
    </row>
    <row r="3384" spans="1:11" x14ac:dyDescent="0.2">
      <c r="A3384">
        <v>84155</v>
      </c>
      <c r="B3384">
        <v>127747</v>
      </c>
      <c r="C3384" t="s">
        <v>6953</v>
      </c>
      <c r="D3384">
        <v>8</v>
      </c>
      <c r="E3384">
        <v>8</v>
      </c>
      <c r="F3384">
        <v>230</v>
      </c>
      <c r="G3384">
        <v>1840</v>
      </c>
      <c r="H3384">
        <v>96</v>
      </c>
      <c r="I3384">
        <v>2.4</v>
      </c>
      <c r="J3384">
        <v>2.15</v>
      </c>
      <c r="K3384">
        <v>3956</v>
      </c>
    </row>
    <row r="3385" spans="1:11" x14ac:dyDescent="0.2">
      <c r="A3385">
        <v>84120</v>
      </c>
      <c r="B3385">
        <v>127748</v>
      </c>
      <c r="C3385" t="s">
        <v>6954</v>
      </c>
      <c r="D3385">
        <v>8</v>
      </c>
      <c r="E3385">
        <v>12</v>
      </c>
      <c r="F3385">
        <v>225</v>
      </c>
      <c r="G3385">
        <v>2700</v>
      </c>
      <c r="H3385">
        <v>84</v>
      </c>
      <c r="I3385">
        <v>2.7</v>
      </c>
      <c r="J3385">
        <v>1.35</v>
      </c>
      <c r="K3385">
        <v>3645</v>
      </c>
    </row>
    <row r="3386" spans="1:11" x14ac:dyDescent="0.2">
      <c r="A3386">
        <v>84115</v>
      </c>
      <c r="B3386">
        <v>127749</v>
      </c>
      <c r="C3386" t="s">
        <v>6955</v>
      </c>
      <c r="D3386">
        <v>9</v>
      </c>
      <c r="E3386">
        <v>12</v>
      </c>
      <c r="F3386">
        <v>211</v>
      </c>
      <c r="G3386">
        <v>2532</v>
      </c>
      <c r="H3386">
        <v>99</v>
      </c>
      <c r="I3386">
        <v>2.1</v>
      </c>
      <c r="J3386">
        <v>1.29</v>
      </c>
      <c r="K3386">
        <v>3266.28</v>
      </c>
    </row>
    <row r="3387" spans="1:11" x14ac:dyDescent="0.2">
      <c r="A3387">
        <v>57547</v>
      </c>
      <c r="B3387">
        <v>127758</v>
      </c>
      <c r="C3387" t="s">
        <v>6956</v>
      </c>
      <c r="D3387">
        <v>10</v>
      </c>
      <c r="E3387">
        <v>76</v>
      </c>
      <c r="F3387">
        <v>0</v>
      </c>
      <c r="G3387">
        <v>0</v>
      </c>
      <c r="H3387">
        <v>28</v>
      </c>
      <c r="I3387">
        <v>0</v>
      </c>
      <c r="J3387">
        <v>0.89</v>
      </c>
      <c r="K3387">
        <v>0</v>
      </c>
    </row>
    <row r="3388" spans="1:11" x14ac:dyDescent="0.2">
      <c r="A3388">
        <v>57293</v>
      </c>
      <c r="B3388">
        <v>127769</v>
      </c>
      <c r="C3388" t="s">
        <v>6957</v>
      </c>
      <c r="D3388">
        <v>11</v>
      </c>
      <c r="E3388">
        <v>1</v>
      </c>
      <c r="F3388">
        <v>0</v>
      </c>
      <c r="G3388">
        <v>0</v>
      </c>
      <c r="H3388">
        <v>432</v>
      </c>
      <c r="I3388">
        <v>0</v>
      </c>
      <c r="J3388">
        <v>1</v>
      </c>
      <c r="K3388">
        <v>0</v>
      </c>
    </row>
    <row r="3389" spans="1:11" x14ac:dyDescent="0.2">
      <c r="A3389">
        <v>67036</v>
      </c>
      <c r="B3389">
        <v>127861</v>
      </c>
      <c r="C3389" t="s">
        <v>6958</v>
      </c>
      <c r="D3389">
        <v>8</v>
      </c>
      <c r="E3389">
        <v>8</v>
      </c>
      <c r="F3389">
        <v>756</v>
      </c>
      <c r="G3389">
        <v>6048</v>
      </c>
      <c r="H3389">
        <v>80</v>
      </c>
      <c r="I3389">
        <v>9.5</v>
      </c>
      <c r="J3389">
        <v>1.1599999999999999</v>
      </c>
      <c r="K3389">
        <v>7015.68</v>
      </c>
    </row>
    <row r="3390" spans="1:11" x14ac:dyDescent="0.2">
      <c r="A3390">
        <v>67119</v>
      </c>
      <c r="B3390">
        <v>127901</v>
      </c>
      <c r="C3390" t="s">
        <v>6959</v>
      </c>
      <c r="D3390">
        <v>8</v>
      </c>
      <c r="E3390">
        <v>12</v>
      </c>
      <c r="F3390">
        <v>227</v>
      </c>
      <c r="G3390">
        <v>2724</v>
      </c>
      <c r="H3390">
        <v>72</v>
      </c>
      <c r="I3390">
        <v>3.2</v>
      </c>
      <c r="J3390">
        <v>1.49</v>
      </c>
      <c r="K3390">
        <v>4058.76</v>
      </c>
    </row>
    <row r="3391" spans="1:11" x14ac:dyDescent="0.2">
      <c r="B3391">
        <v>127927</v>
      </c>
      <c r="C3391" t="s">
        <v>6960</v>
      </c>
      <c r="D3391">
        <v>11</v>
      </c>
      <c r="E3391">
        <v>1</v>
      </c>
      <c r="F3391">
        <v>8</v>
      </c>
      <c r="G3391">
        <v>8</v>
      </c>
      <c r="H3391">
        <v>360</v>
      </c>
      <c r="I3391">
        <v>0</v>
      </c>
      <c r="J3391">
        <v>13.89</v>
      </c>
      <c r="K3391">
        <v>116.68</v>
      </c>
    </row>
    <row r="3392" spans="1:11" x14ac:dyDescent="0.2">
      <c r="A3392">
        <v>33616</v>
      </c>
      <c r="B3392">
        <v>127940</v>
      </c>
      <c r="C3392" t="s">
        <v>6961</v>
      </c>
      <c r="D3392">
        <v>10</v>
      </c>
      <c r="E3392">
        <v>24</v>
      </c>
      <c r="F3392">
        <v>0</v>
      </c>
      <c r="G3392">
        <v>0</v>
      </c>
      <c r="H3392">
        <v>24</v>
      </c>
      <c r="I3392">
        <v>0</v>
      </c>
      <c r="J3392">
        <v>1.59</v>
      </c>
      <c r="K3392">
        <v>0</v>
      </c>
    </row>
    <row r="3393" spans="1:11" x14ac:dyDescent="0.2">
      <c r="A3393">
        <v>93036</v>
      </c>
      <c r="B3393">
        <v>127994</v>
      </c>
      <c r="C3393" t="s">
        <v>6962</v>
      </c>
      <c r="D3393">
        <v>10</v>
      </c>
      <c r="E3393">
        <v>20</v>
      </c>
      <c r="F3393">
        <v>0</v>
      </c>
      <c r="G3393">
        <v>0</v>
      </c>
      <c r="H3393">
        <v>32</v>
      </c>
      <c r="I3393">
        <v>0</v>
      </c>
      <c r="J3393">
        <v>2.59</v>
      </c>
      <c r="K3393">
        <v>0</v>
      </c>
    </row>
    <row r="3394" spans="1:11" x14ac:dyDescent="0.2">
      <c r="A3394">
        <v>92969</v>
      </c>
      <c r="B3394">
        <v>128019</v>
      </c>
      <c r="C3394" t="s">
        <v>6963</v>
      </c>
      <c r="D3394">
        <v>6</v>
      </c>
      <c r="E3394">
        <v>16</v>
      </c>
      <c r="F3394">
        <v>0</v>
      </c>
      <c r="G3394">
        <v>0</v>
      </c>
      <c r="H3394">
        <v>12</v>
      </c>
      <c r="I3394">
        <v>0</v>
      </c>
      <c r="J3394">
        <v>5.99</v>
      </c>
      <c r="K3394">
        <v>0</v>
      </c>
    </row>
    <row r="3395" spans="1:11" x14ac:dyDescent="0.2">
      <c r="A3395">
        <v>37514</v>
      </c>
      <c r="B3395">
        <v>128025</v>
      </c>
      <c r="C3395" t="s">
        <v>6964</v>
      </c>
      <c r="D3395">
        <v>10</v>
      </c>
      <c r="E3395">
        <v>15</v>
      </c>
      <c r="F3395">
        <v>0</v>
      </c>
      <c r="G3395">
        <v>0</v>
      </c>
      <c r="H3395">
        <v>80</v>
      </c>
      <c r="I3395">
        <v>0</v>
      </c>
      <c r="J3395">
        <v>2.29</v>
      </c>
      <c r="K3395">
        <v>0</v>
      </c>
    </row>
    <row r="3396" spans="1:11" x14ac:dyDescent="0.2">
      <c r="A3396">
        <v>85116</v>
      </c>
      <c r="B3396">
        <v>128048</v>
      </c>
      <c r="C3396" t="s">
        <v>6965</v>
      </c>
      <c r="D3396">
        <v>10</v>
      </c>
      <c r="E3396">
        <v>4</v>
      </c>
      <c r="F3396">
        <v>3</v>
      </c>
      <c r="G3396">
        <v>12</v>
      </c>
      <c r="H3396">
        <v>60</v>
      </c>
      <c r="I3396">
        <v>0.1</v>
      </c>
      <c r="J3396">
        <v>25.99</v>
      </c>
      <c r="K3396">
        <v>311.88</v>
      </c>
    </row>
    <row r="3397" spans="1:11" x14ac:dyDescent="0.2">
      <c r="A3397">
        <v>93233</v>
      </c>
      <c r="B3397">
        <v>128067</v>
      </c>
      <c r="C3397" t="s">
        <v>6966</v>
      </c>
      <c r="D3397">
        <v>10</v>
      </c>
      <c r="E3397">
        <v>8</v>
      </c>
      <c r="F3397">
        <v>0</v>
      </c>
      <c r="G3397">
        <v>0</v>
      </c>
      <c r="H3397">
        <v>12</v>
      </c>
      <c r="I3397">
        <v>0</v>
      </c>
      <c r="J3397">
        <v>9.99</v>
      </c>
      <c r="K3397">
        <v>0</v>
      </c>
    </row>
    <row r="3398" spans="1:11" x14ac:dyDescent="0.2">
      <c r="B3398">
        <v>128069</v>
      </c>
      <c r="C3398" t="s">
        <v>6967</v>
      </c>
      <c r="D3398">
        <v>11</v>
      </c>
      <c r="E3398">
        <v>40</v>
      </c>
      <c r="F3398">
        <v>-3</v>
      </c>
      <c r="G3398">
        <v>-120</v>
      </c>
      <c r="H3398">
        <v>99</v>
      </c>
      <c r="I3398">
        <v>0</v>
      </c>
      <c r="J3398">
        <v>2.39</v>
      </c>
      <c r="K3398">
        <v>-286.8</v>
      </c>
    </row>
    <row r="3399" spans="1:11" x14ac:dyDescent="0.2">
      <c r="A3399">
        <v>99883</v>
      </c>
      <c r="B3399">
        <v>128078</v>
      </c>
      <c r="C3399" t="s">
        <v>6968</v>
      </c>
      <c r="D3399">
        <v>10</v>
      </c>
      <c r="E3399">
        <v>9</v>
      </c>
      <c r="F3399">
        <v>0</v>
      </c>
      <c r="G3399">
        <v>0</v>
      </c>
      <c r="H3399">
        <v>70</v>
      </c>
      <c r="I3399">
        <v>0</v>
      </c>
      <c r="J3399">
        <v>1.79</v>
      </c>
      <c r="K3399">
        <v>0</v>
      </c>
    </row>
    <row r="3400" spans="1:11" x14ac:dyDescent="0.2">
      <c r="A3400">
        <v>99882</v>
      </c>
      <c r="B3400">
        <v>128115</v>
      </c>
      <c r="C3400" t="s">
        <v>6969</v>
      </c>
      <c r="D3400">
        <v>10</v>
      </c>
      <c r="E3400">
        <v>8</v>
      </c>
      <c r="F3400">
        <v>0</v>
      </c>
      <c r="G3400">
        <v>0</v>
      </c>
      <c r="H3400">
        <v>64</v>
      </c>
      <c r="I3400">
        <v>0</v>
      </c>
      <c r="J3400">
        <v>2.19</v>
      </c>
      <c r="K3400">
        <v>0</v>
      </c>
    </row>
    <row r="3401" spans="1:11" x14ac:dyDescent="0.2">
      <c r="A3401">
        <v>72193</v>
      </c>
      <c r="B3401">
        <v>128127</v>
      </c>
      <c r="C3401" t="s">
        <v>6970</v>
      </c>
      <c r="D3401">
        <v>8</v>
      </c>
      <c r="E3401">
        <v>12</v>
      </c>
      <c r="F3401">
        <v>140</v>
      </c>
      <c r="G3401">
        <v>1680</v>
      </c>
      <c r="H3401">
        <v>200</v>
      </c>
      <c r="I3401">
        <v>0.7</v>
      </c>
      <c r="J3401">
        <v>2.5499999999999998</v>
      </c>
      <c r="K3401">
        <v>4284</v>
      </c>
    </row>
    <row r="3402" spans="1:11" x14ac:dyDescent="0.2">
      <c r="A3402">
        <v>93131</v>
      </c>
      <c r="B3402">
        <v>128215</v>
      </c>
      <c r="C3402" t="s">
        <v>6971</v>
      </c>
      <c r="D3402">
        <v>10</v>
      </c>
      <c r="E3402">
        <v>7</v>
      </c>
      <c r="F3402">
        <v>0</v>
      </c>
      <c r="G3402">
        <v>0</v>
      </c>
      <c r="H3402">
        <v>32</v>
      </c>
      <c r="I3402">
        <v>0</v>
      </c>
      <c r="J3402">
        <v>5.99</v>
      </c>
      <c r="K3402">
        <v>0</v>
      </c>
    </row>
    <row r="3403" spans="1:11" x14ac:dyDescent="0.2">
      <c r="B3403">
        <v>128253</v>
      </c>
      <c r="C3403" t="s">
        <v>6972</v>
      </c>
      <c r="D3403">
        <v>11</v>
      </c>
      <c r="E3403">
        <v>1</v>
      </c>
      <c r="F3403">
        <v>0</v>
      </c>
      <c r="G3403">
        <v>0</v>
      </c>
      <c r="H3403">
        <v>160</v>
      </c>
      <c r="I3403">
        <v>0</v>
      </c>
      <c r="J3403">
        <v>0.5</v>
      </c>
      <c r="K3403">
        <v>0</v>
      </c>
    </row>
    <row r="3404" spans="1:11" x14ac:dyDescent="0.2">
      <c r="B3404">
        <v>128254</v>
      </c>
      <c r="C3404" t="s">
        <v>6973</v>
      </c>
      <c r="D3404">
        <v>11</v>
      </c>
      <c r="E3404">
        <v>1</v>
      </c>
      <c r="F3404">
        <v>0</v>
      </c>
      <c r="G3404">
        <v>0</v>
      </c>
      <c r="H3404">
        <v>160</v>
      </c>
      <c r="I3404">
        <v>0</v>
      </c>
      <c r="J3404">
        <v>0.63</v>
      </c>
      <c r="K3404">
        <v>0</v>
      </c>
    </row>
    <row r="3405" spans="1:11" x14ac:dyDescent="0.2">
      <c r="A3405">
        <v>70128</v>
      </c>
      <c r="B3405">
        <v>128255</v>
      </c>
      <c r="C3405" t="s">
        <v>6974</v>
      </c>
      <c r="D3405">
        <v>8</v>
      </c>
      <c r="E3405">
        <v>20</v>
      </c>
      <c r="F3405">
        <v>155</v>
      </c>
      <c r="G3405">
        <v>3099</v>
      </c>
      <c r="H3405">
        <v>105</v>
      </c>
      <c r="I3405">
        <v>1.5</v>
      </c>
      <c r="J3405">
        <v>1.59</v>
      </c>
      <c r="K3405">
        <v>4927.41</v>
      </c>
    </row>
    <row r="3406" spans="1:11" x14ac:dyDescent="0.2">
      <c r="B3406">
        <v>128256</v>
      </c>
      <c r="C3406" t="s">
        <v>6975</v>
      </c>
      <c r="D3406">
        <v>11</v>
      </c>
      <c r="E3406">
        <v>1</v>
      </c>
      <c r="F3406">
        <v>0</v>
      </c>
      <c r="G3406">
        <v>0</v>
      </c>
      <c r="H3406">
        <v>160</v>
      </c>
      <c r="I3406">
        <v>0</v>
      </c>
      <c r="J3406">
        <v>1</v>
      </c>
      <c r="K3406">
        <v>0</v>
      </c>
    </row>
    <row r="3407" spans="1:11" x14ac:dyDescent="0.2">
      <c r="B3407">
        <v>128257</v>
      </c>
      <c r="C3407" t="s">
        <v>6976</v>
      </c>
      <c r="D3407">
        <v>11</v>
      </c>
      <c r="E3407">
        <v>1</v>
      </c>
      <c r="F3407">
        <v>0</v>
      </c>
      <c r="G3407">
        <v>0</v>
      </c>
      <c r="H3407">
        <v>160</v>
      </c>
      <c r="I3407">
        <v>0</v>
      </c>
      <c r="J3407">
        <v>2.5</v>
      </c>
      <c r="K3407">
        <v>0</v>
      </c>
    </row>
    <row r="3408" spans="1:11" x14ac:dyDescent="0.2">
      <c r="A3408">
        <v>70192</v>
      </c>
      <c r="B3408">
        <v>128286</v>
      </c>
      <c r="C3408" t="s">
        <v>6977</v>
      </c>
      <c r="D3408">
        <v>8</v>
      </c>
      <c r="E3408">
        <v>24</v>
      </c>
      <c r="F3408">
        <v>448</v>
      </c>
      <c r="G3408">
        <v>10752</v>
      </c>
      <c r="H3408">
        <v>175</v>
      </c>
      <c r="I3408">
        <v>2.6</v>
      </c>
      <c r="J3408">
        <v>1.19</v>
      </c>
      <c r="K3408">
        <v>12794.88</v>
      </c>
    </row>
    <row r="3409" spans="1:11" x14ac:dyDescent="0.2">
      <c r="A3409">
        <v>70236</v>
      </c>
      <c r="B3409">
        <v>128288</v>
      </c>
      <c r="C3409" t="s">
        <v>6978</v>
      </c>
      <c r="D3409">
        <v>6</v>
      </c>
      <c r="E3409">
        <v>12</v>
      </c>
      <c r="F3409">
        <v>480</v>
      </c>
      <c r="G3409">
        <v>5760</v>
      </c>
      <c r="H3409">
        <v>160</v>
      </c>
      <c r="I3409">
        <v>3</v>
      </c>
      <c r="J3409">
        <v>1.49</v>
      </c>
      <c r="K3409">
        <v>8582.4</v>
      </c>
    </row>
    <row r="3410" spans="1:11" x14ac:dyDescent="0.2">
      <c r="A3410">
        <v>70144</v>
      </c>
      <c r="B3410">
        <v>128289</v>
      </c>
      <c r="C3410" t="s">
        <v>6979</v>
      </c>
      <c r="D3410">
        <v>8</v>
      </c>
      <c r="E3410">
        <v>12</v>
      </c>
      <c r="F3410">
        <v>198</v>
      </c>
      <c r="G3410">
        <v>2376</v>
      </c>
      <c r="H3410">
        <v>168</v>
      </c>
      <c r="I3410">
        <v>1.2</v>
      </c>
      <c r="J3410">
        <v>1.99</v>
      </c>
      <c r="K3410">
        <v>4728.24</v>
      </c>
    </row>
    <row r="3411" spans="1:11" x14ac:dyDescent="0.2">
      <c r="A3411">
        <v>70162</v>
      </c>
      <c r="B3411">
        <v>128291</v>
      </c>
      <c r="C3411" t="s">
        <v>6980</v>
      </c>
      <c r="D3411">
        <v>8</v>
      </c>
      <c r="E3411">
        <v>12</v>
      </c>
      <c r="F3411">
        <v>393</v>
      </c>
      <c r="G3411">
        <v>4719</v>
      </c>
      <c r="H3411">
        <v>168</v>
      </c>
      <c r="I3411">
        <v>2.2999999999999998</v>
      </c>
      <c r="J3411">
        <v>1.79</v>
      </c>
      <c r="K3411">
        <v>8447.01</v>
      </c>
    </row>
    <row r="3412" spans="1:11" x14ac:dyDescent="0.2">
      <c r="A3412">
        <v>70197</v>
      </c>
      <c r="B3412">
        <v>128293</v>
      </c>
      <c r="C3412" t="s">
        <v>6981</v>
      </c>
      <c r="D3412">
        <v>8</v>
      </c>
      <c r="E3412">
        <v>12</v>
      </c>
      <c r="F3412">
        <v>492</v>
      </c>
      <c r="G3412">
        <v>5904</v>
      </c>
      <c r="H3412">
        <v>168</v>
      </c>
      <c r="I3412">
        <v>2.9</v>
      </c>
      <c r="J3412">
        <v>1.49</v>
      </c>
      <c r="K3412">
        <v>8796.9599999999991</v>
      </c>
    </row>
    <row r="3413" spans="1:11" x14ac:dyDescent="0.2">
      <c r="B3413">
        <v>128315</v>
      </c>
      <c r="C3413" t="s">
        <v>6982</v>
      </c>
      <c r="D3413">
        <v>11</v>
      </c>
      <c r="E3413">
        <v>24</v>
      </c>
      <c r="F3413">
        <v>5</v>
      </c>
      <c r="G3413">
        <v>120</v>
      </c>
      <c r="H3413">
        <v>42</v>
      </c>
      <c r="I3413">
        <v>0.1</v>
      </c>
      <c r="J3413">
        <v>0.99</v>
      </c>
      <c r="K3413">
        <v>118.8</v>
      </c>
    </row>
    <row r="3414" spans="1:11" x14ac:dyDescent="0.2">
      <c r="A3414">
        <v>99729</v>
      </c>
      <c r="B3414">
        <v>128604</v>
      </c>
      <c r="C3414" t="s">
        <v>6983</v>
      </c>
      <c r="D3414">
        <v>6</v>
      </c>
      <c r="E3414">
        <v>12</v>
      </c>
      <c r="F3414">
        <v>0</v>
      </c>
      <c r="G3414">
        <v>0</v>
      </c>
      <c r="H3414">
        <v>72</v>
      </c>
      <c r="I3414">
        <v>0</v>
      </c>
      <c r="J3414">
        <v>2.19</v>
      </c>
      <c r="K3414">
        <v>0</v>
      </c>
    </row>
    <row r="3415" spans="1:11" x14ac:dyDescent="0.2">
      <c r="A3415">
        <v>87022</v>
      </c>
      <c r="B3415">
        <v>128612</v>
      </c>
      <c r="C3415" t="s">
        <v>6984</v>
      </c>
      <c r="D3415">
        <v>8</v>
      </c>
      <c r="E3415">
        <v>6</v>
      </c>
      <c r="F3415">
        <v>240</v>
      </c>
      <c r="G3415">
        <v>1440</v>
      </c>
      <c r="H3415">
        <v>80</v>
      </c>
      <c r="I3415">
        <v>3</v>
      </c>
      <c r="J3415">
        <v>2.2799999999999998</v>
      </c>
      <c r="K3415">
        <v>3283.2</v>
      </c>
    </row>
    <row r="3416" spans="1:11" x14ac:dyDescent="0.2">
      <c r="A3416">
        <v>73245</v>
      </c>
      <c r="B3416">
        <v>128614</v>
      </c>
      <c r="C3416" t="s">
        <v>6985</v>
      </c>
      <c r="D3416">
        <v>8</v>
      </c>
      <c r="E3416">
        <v>12</v>
      </c>
      <c r="F3416">
        <v>466</v>
      </c>
      <c r="G3416">
        <v>5592</v>
      </c>
      <c r="H3416">
        <v>81</v>
      </c>
      <c r="I3416">
        <v>5.8</v>
      </c>
      <c r="J3416">
        <v>2.35</v>
      </c>
      <c r="K3416">
        <v>13141.2</v>
      </c>
    </row>
    <row r="3417" spans="1:11" x14ac:dyDescent="0.2">
      <c r="A3417">
        <v>70203</v>
      </c>
      <c r="B3417">
        <v>128626</v>
      </c>
      <c r="C3417" t="s">
        <v>6986</v>
      </c>
      <c r="D3417">
        <v>8</v>
      </c>
      <c r="E3417">
        <v>24</v>
      </c>
      <c r="F3417">
        <v>214</v>
      </c>
      <c r="G3417">
        <v>5136</v>
      </c>
      <c r="H3417">
        <v>170</v>
      </c>
      <c r="I3417">
        <v>1.3</v>
      </c>
      <c r="J3417">
        <v>0.79</v>
      </c>
      <c r="K3417">
        <v>4057.44</v>
      </c>
    </row>
    <row r="3418" spans="1:11" x14ac:dyDescent="0.2">
      <c r="A3418">
        <v>2518</v>
      </c>
      <c r="B3418">
        <v>128667</v>
      </c>
      <c r="C3418" t="s">
        <v>6987</v>
      </c>
      <c r="D3418">
        <v>6</v>
      </c>
      <c r="E3418">
        <v>12</v>
      </c>
      <c r="F3418">
        <v>270</v>
      </c>
      <c r="G3418">
        <v>3240</v>
      </c>
      <c r="H3418">
        <v>90</v>
      </c>
      <c r="I3418">
        <v>3</v>
      </c>
      <c r="J3418">
        <v>1.89</v>
      </c>
      <c r="K3418">
        <v>6123.6</v>
      </c>
    </row>
    <row r="3419" spans="1:11" x14ac:dyDescent="0.2">
      <c r="B3419">
        <v>128789</v>
      </c>
      <c r="C3419" t="s">
        <v>6988</v>
      </c>
      <c r="D3419">
        <v>12</v>
      </c>
      <c r="E3419">
        <v>18</v>
      </c>
      <c r="F3419">
        <v>0</v>
      </c>
      <c r="G3419">
        <v>0</v>
      </c>
      <c r="H3419">
        <v>1</v>
      </c>
      <c r="I3419">
        <v>0</v>
      </c>
      <c r="J3419">
        <v>7.99</v>
      </c>
      <c r="K3419">
        <v>0</v>
      </c>
    </row>
    <row r="3420" spans="1:11" x14ac:dyDescent="0.2">
      <c r="A3420">
        <v>93804</v>
      </c>
      <c r="B3420">
        <v>128789</v>
      </c>
      <c r="C3420" t="s">
        <v>6988</v>
      </c>
      <c r="D3420">
        <v>10</v>
      </c>
      <c r="E3420">
        <v>36</v>
      </c>
      <c r="F3420">
        <v>0</v>
      </c>
      <c r="G3420">
        <v>0</v>
      </c>
      <c r="H3420">
        <v>1</v>
      </c>
      <c r="I3420">
        <v>0</v>
      </c>
      <c r="J3420">
        <v>7.99</v>
      </c>
      <c r="K3420">
        <v>0</v>
      </c>
    </row>
    <row r="3421" spans="1:11" x14ac:dyDescent="0.2">
      <c r="A3421">
        <v>93116</v>
      </c>
      <c r="B3421">
        <v>128790</v>
      </c>
      <c r="C3421" t="s">
        <v>6989</v>
      </c>
      <c r="D3421">
        <v>10</v>
      </c>
      <c r="E3421">
        <v>10</v>
      </c>
      <c r="F3421">
        <v>0</v>
      </c>
      <c r="G3421">
        <v>0</v>
      </c>
      <c r="H3421">
        <v>8</v>
      </c>
      <c r="I3421">
        <v>0</v>
      </c>
      <c r="J3421">
        <v>9.99</v>
      </c>
      <c r="K3421">
        <v>0</v>
      </c>
    </row>
    <row r="3422" spans="1:11" x14ac:dyDescent="0.2">
      <c r="A3422">
        <v>93218</v>
      </c>
      <c r="B3422">
        <v>128792</v>
      </c>
      <c r="C3422" t="s">
        <v>6990</v>
      </c>
      <c r="D3422">
        <v>10</v>
      </c>
      <c r="E3422">
        <v>12</v>
      </c>
      <c r="F3422">
        <v>0</v>
      </c>
      <c r="G3422">
        <v>0</v>
      </c>
      <c r="H3422">
        <v>32</v>
      </c>
      <c r="I3422">
        <v>0</v>
      </c>
      <c r="J3422">
        <v>2.4900000000000002</v>
      </c>
      <c r="K3422">
        <v>0</v>
      </c>
    </row>
    <row r="3423" spans="1:11" x14ac:dyDescent="0.2">
      <c r="A3423">
        <v>93283</v>
      </c>
      <c r="B3423">
        <v>128795</v>
      </c>
      <c r="C3423" t="s">
        <v>6991</v>
      </c>
      <c r="D3423">
        <v>10</v>
      </c>
      <c r="E3423">
        <v>12</v>
      </c>
      <c r="F3423">
        <v>0</v>
      </c>
      <c r="G3423">
        <v>0</v>
      </c>
      <c r="H3423">
        <v>12</v>
      </c>
      <c r="I3423">
        <v>0</v>
      </c>
      <c r="J3423">
        <v>6.99</v>
      </c>
      <c r="K3423">
        <v>0</v>
      </c>
    </row>
    <row r="3424" spans="1:11" x14ac:dyDescent="0.2">
      <c r="A3424">
        <v>73188</v>
      </c>
      <c r="B3424">
        <v>128804</v>
      </c>
      <c r="C3424" t="s">
        <v>6992</v>
      </c>
      <c r="D3424">
        <v>8</v>
      </c>
      <c r="E3424">
        <v>6</v>
      </c>
      <c r="F3424">
        <v>1467</v>
      </c>
      <c r="G3424">
        <v>8804</v>
      </c>
      <c r="H3424">
        <v>120</v>
      </c>
      <c r="I3424">
        <v>12.2</v>
      </c>
      <c r="J3424">
        <v>2.0499999999999998</v>
      </c>
      <c r="K3424">
        <v>18048.2</v>
      </c>
    </row>
    <row r="3425" spans="1:11" x14ac:dyDescent="0.2">
      <c r="A3425">
        <v>93329</v>
      </c>
      <c r="B3425">
        <v>128811</v>
      </c>
      <c r="C3425" t="s">
        <v>6993</v>
      </c>
      <c r="D3425">
        <v>10</v>
      </c>
      <c r="E3425">
        <v>20</v>
      </c>
      <c r="F3425">
        <v>0</v>
      </c>
      <c r="G3425">
        <v>0</v>
      </c>
      <c r="H3425">
        <v>1</v>
      </c>
      <c r="I3425">
        <v>0</v>
      </c>
      <c r="J3425">
        <v>12.99</v>
      </c>
      <c r="K3425">
        <v>0</v>
      </c>
    </row>
    <row r="3426" spans="1:11" x14ac:dyDescent="0.2">
      <c r="A3426">
        <v>73212</v>
      </c>
      <c r="B3426">
        <v>128818</v>
      </c>
      <c r="C3426" t="s">
        <v>6994</v>
      </c>
      <c r="D3426">
        <v>8</v>
      </c>
      <c r="E3426">
        <v>6</v>
      </c>
      <c r="F3426">
        <v>900</v>
      </c>
      <c r="G3426">
        <v>5400</v>
      </c>
      <c r="H3426">
        <v>132</v>
      </c>
      <c r="I3426">
        <v>6.8</v>
      </c>
      <c r="J3426">
        <v>3.19</v>
      </c>
      <c r="K3426">
        <v>17226</v>
      </c>
    </row>
    <row r="3427" spans="1:11" x14ac:dyDescent="0.2">
      <c r="A3427">
        <v>93121</v>
      </c>
      <c r="B3427">
        <v>128820</v>
      </c>
      <c r="C3427" t="s">
        <v>6995</v>
      </c>
      <c r="D3427">
        <v>10</v>
      </c>
      <c r="E3427">
        <v>24</v>
      </c>
      <c r="F3427">
        <v>0</v>
      </c>
      <c r="G3427">
        <v>0</v>
      </c>
      <c r="H3427">
        <v>24</v>
      </c>
      <c r="I3427">
        <v>0</v>
      </c>
      <c r="J3427">
        <v>2.39</v>
      </c>
      <c r="K3427">
        <v>0</v>
      </c>
    </row>
    <row r="3428" spans="1:11" x14ac:dyDescent="0.2">
      <c r="A3428">
        <v>73115</v>
      </c>
      <c r="B3428">
        <v>128822</v>
      </c>
      <c r="C3428" t="s">
        <v>6996</v>
      </c>
      <c r="D3428">
        <v>8</v>
      </c>
      <c r="E3428">
        <v>6</v>
      </c>
      <c r="F3428">
        <v>1060</v>
      </c>
      <c r="G3428">
        <v>6357</v>
      </c>
      <c r="H3428">
        <v>180</v>
      </c>
      <c r="I3428">
        <v>5.9</v>
      </c>
      <c r="J3428">
        <v>3.89</v>
      </c>
      <c r="K3428">
        <v>24728.73</v>
      </c>
    </row>
    <row r="3429" spans="1:11" x14ac:dyDescent="0.2">
      <c r="B3429">
        <v>128842</v>
      </c>
      <c r="C3429" t="s">
        <v>6997</v>
      </c>
      <c r="D3429">
        <v>11</v>
      </c>
      <c r="E3429">
        <v>1</v>
      </c>
      <c r="F3429">
        <v>0</v>
      </c>
      <c r="G3429">
        <v>0</v>
      </c>
      <c r="H3429">
        <v>99</v>
      </c>
      <c r="I3429">
        <v>0</v>
      </c>
      <c r="J3429">
        <v>8.99</v>
      </c>
      <c r="K3429">
        <v>0</v>
      </c>
    </row>
    <row r="3430" spans="1:11" x14ac:dyDescent="0.2">
      <c r="B3430">
        <v>128887</v>
      </c>
      <c r="C3430" t="s">
        <v>6998</v>
      </c>
      <c r="D3430">
        <v>11</v>
      </c>
      <c r="E3430">
        <v>1</v>
      </c>
      <c r="F3430">
        <v>-112</v>
      </c>
      <c r="G3430">
        <v>-112</v>
      </c>
      <c r="H3430">
        <v>720</v>
      </c>
      <c r="I3430">
        <v>-0.2</v>
      </c>
      <c r="J3430">
        <v>6.49</v>
      </c>
      <c r="K3430">
        <v>-726.88</v>
      </c>
    </row>
    <row r="3431" spans="1:11" x14ac:dyDescent="0.2">
      <c r="A3431">
        <v>72069</v>
      </c>
      <c r="B3431">
        <v>128910</v>
      </c>
      <c r="C3431" t="s">
        <v>6999</v>
      </c>
      <c r="D3431">
        <v>7</v>
      </c>
      <c r="E3431">
        <v>30</v>
      </c>
      <c r="F3431">
        <v>287</v>
      </c>
      <c r="G3431">
        <v>8610</v>
      </c>
      <c r="H3431">
        <v>90</v>
      </c>
      <c r="I3431">
        <v>3.2</v>
      </c>
      <c r="J3431">
        <v>0.55000000000000004</v>
      </c>
      <c r="K3431">
        <v>4735.5</v>
      </c>
    </row>
    <row r="3432" spans="1:11" x14ac:dyDescent="0.2">
      <c r="A3432">
        <v>27620</v>
      </c>
      <c r="B3432">
        <v>128913</v>
      </c>
      <c r="C3432" t="s">
        <v>7000</v>
      </c>
      <c r="D3432">
        <v>10</v>
      </c>
      <c r="E3432">
        <v>10</v>
      </c>
      <c r="F3432">
        <v>0</v>
      </c>
      <c r="G3432">
        <v>0</v>
      </c>
      <c r="H3432">
        <v>48</v>
      </c>
      <c r="I3432">
        <v>0</v>
      </c>
      <c r="J3432">
        <v>0.5</v>
      </c>
      <c r="K3432">
        <v>0</v>
      </c>
    </row>
    <row r="3433" spans="1:11" x14ac:dyDescent="0.2">
      <c r="A3433">
        <v>57612</v>
      </c>
      <c r="B3433">
        <v>128914</v>
      </c>
      <c r="C3433" t="s">
        <v>7001</v>
      </c>
      <c r="D3433">
        <v>10</v>
      </c>
      <c r="E3433">
        <v>20</v>
      </c>
      <c r="F3433">
        <v>-2</v>
      </c>
      <c r="G3433">
        <v>-35</v>
      </c>
      <c r="H3433">
        <v>24</v>
      </c>
      <c r="I3433">
        <v>-0.1</v>
      </c>
      <c r="J3433">
        <v>1.49</v>
      </c>
      <c r="K3433">
        <v>-52.15</v>
      </c>
    </row>
    <row r="3434" spans="1:11" x14ac:dyDescent="0.2">
      <c r="A3434">
        <v>42520</v>
      </c>
      <c r="B3434">
        <v>128941</v>
      </c>
      <c r="C3434" t="s">
        <v>7002</v>
      </c>
      <c r="D3434">
        <v>10</v>
      </c>
      <c r="E3434">
        <v>14</v>
      </c>
      <c r="F3434">
        <v>3</v>
      </c>
      <c r="G3434">
        <v>42</v>
      </c>
      <c r="H3434">
        <v>72</v>
      </c>
      <c r="I3434">
        <v>0</v>
      </c>
      <c r="J3434">
        <v>1.59</v>
      </c>
      <c r="K3434">
        <v>66.78</v>
      </c>
    </row>
    <row r="3435" spans="1:11" x14ac:dyDescent="0.2">
      <c r="A3435">
        <v>72212</v>
      </c>
      <c r="B3435">
        <v>128944</v>
      </c>
      <c r="C3435" t="s">
        <v>7003</v>
      </c>
      <c r="D3435">
        <v>8</v>
      </c>
      <c r="E3435">
        <v>12</v>
      </c>
      <c r="F3435">
        <v>1569</v>
      </c>
      <c r="G3435">
        <v>18828</v>
      </c>
      <c r="H3435">
        <v>96</v>
      </c>
      <c r="I3435">
        <v>16.3</v>
      </c>
      <c r="J3435">
        <v>1.19</v>
      </c>
      <c r="K3435">
        <v>22405.32</v>
      </c>
    </row>
    <row r="3436" spans="1:11" x14ac:dyDescent="0.2">
      <c r="A3436">
        <v>86051</v>
      </c>
      <c r="B3436">
        <v>128974</v>
      </c>
      <c r="C3436" t="s">
        <v>7004</v>
      </c>
      <c r="D3436">
        <v>8</v>
      </c>
      <c r="E3436">
        <v>72</v>
      </c>
      <c r="F3436">
        <v>312</v>
      </c>
      <c r="G3436">
        <v>22464</v>
      </c>
      <c r="H3436">
        <v>78</v>
      </c>
      <c r="I3436">
        <v>4</v>
      </c>
      <c r="J3436">
        <v>0.45</v>
      </c>
      <c r="K3436">
        <v>10108.799999999999</v>
      </c>
    </row>
    <row r="3437" spans="1:11" x14ac:dyDescent="0.2">
      <c r="A3437">
        <v>86044</v>
      </c>
      <c r="B3437">
        <v>128975</v>
      </c>
      <c r="C3437" t="s">
        <v>7005</v>
      </c>
      <c r="D3437">
        <v>8</v>
      </c>
      <c r="E3437">
        <v>35</v>
      </c>
      <c r="F3437">
        <v>140</v>
      </c>
      <c r="G3437">
        <v>4900</v>
      </c>
      <c r="H3437">
        <v>28</v>
      </c>
      <c r="I3437">
        <v>5</v>
      </c>
      <c r="J3437">
        <v>0.28999999999999998</v>
      </c>
      <c r="K3437">
        <v>1421</v>
      </c>
    </row>
    <row r="3438" spans="1:11" x14ac:dyDescent="0.2">
      <c r="A3438">
        <v>93132</v>
      </c>
      <c r="B3438">
        <v>128982</v>
      </c>
      <c r="C3438" t="s">
        <v>7006</v>
      </c>
      <c r="D3438">
        <v>10</v>
      </c>
      <c r="E3438">
        <v>12</v>
      </c>
      <c r="F3438">
        <v>0</v>
      </c>
      <c r="G3438">
        <v>0</v>
      </c>
      <c r="H3438">
        <v>20</v>
      </c>
      <c r="I3438">
        <v>0</v>
      </c>
      <c r="J3438">
        <v>5.99</v>
      </c>
      <c r="K3438">
        <v>0</v>
      </c>
    </row>
    <row r="3439" spans="1:11" x14ac:dyDescent="0.2">
      <c r="A3439">
        <v>86009</v>
      </c>
      <c r="B3439">
        <v>128986</v>
      </c>
      <c r="C3439" t="s">
        <v>7007</v>
      </c>
      <c r="D3439">
        <v>8</v>
      </c>
      <c r="E3439">
        <v>23</v>
      </c>
      <c r="F3439">
        <v>0</v>
      </c>
      <c r="G3439">
        <v>0</v>
      </c>
      <c r="H3439">
        <v>28</v>
      </c>
      <c r="I3439">
        <v>0</v>
      </c>
      <c r="J3439">
        <v>0.55000000000000004</v>
      </c>
      <c r="K3439">
        <v>0</v>
      </c>
    </row>
    <row r="3440" spans="1:11" x14ac:dyDescent="0.2">
      <c r="A3440">
        <v>72003</v>
      </c>
      <c r="B3440">
        <v>128990</v>
      </c>
      <c r="C3440" t="s">
        <v>7008</v>
      </c>
      <c r="D3440">
        <v>8</v>
      </c>
      <c r="E3440">
        <v>20</v>
      </c>
      <c r="F3440">
        <v>24</v>
      </c>
      <c r="G3440">
        <v>480</v>
      </c>
      <c r="H3440">
        <v>88</v>
      </c>
      <c r="I3440">
        <v>0.3</v>
      </c>
      <c r="J3440">
        <v>1.29</v>
      </c>
      <c r="K3440">
        <v>619.20000000000005</v>
      </c>
    </row>
    <row r="3441" spans="1:11" x14ac:dyDescent="0.2">
      <c r="B3441">
        <v>129003</v>
      </c>
      <c r="C3441" t="s">
        <v>7009</v>
      </c>
      <c r="D3441">
        <v>11</v>
      </c>
      <c r="E3441">
        <v>15</v>
      </c>
      <c r="F3441">
        <v>2</v>
      </c>
      <c r="G3441">
        <v>30</v>
      </c>
      <c r="H3441">
        <v>90</v>
      </c>
      <c r="I3441">
        <v>0</v>
      </c>
      <c r="J3441">
        <v>1.59</v>
      </c>
      <c r="K3441">
        <v>47.7</v>
      </c>
    </row>
    <row r="3442" spans="1:11" x14ac:dyDescent="0.2">
      <c r="A3442">
        <v>73014</v>
      </c>
      <c r="B3442">
        <v>129042</v>
      </c>
      <c r="C3442" t="s">
        <v>7010</v>
      </c>
      <c r="D3442">
        <v>8</v>
      </c>
      <c r="E3442">
        <v>24</v>
      </c>
      <c r="F3442">
        <v>158</v>
      </c>
      <c r="G3442">
        <v>3792</v>
      </c>
      <c r="H3442">
        <v>84</v>
      </c>
      <c r="I3442">
        <v>1.9</v>
      </c>
      <c r="J3442">
        <v>1.99</v>
      </c>
      <c r="K3442">
        <v>7546.08</v>
      </c>
    </row>
    <row r="3443" spans="1:11" x14ac:dyDescent="0.2">
      <c r="A3443">
        <v>93288</v>
      </c>
      <c r="B3443">
        <v>129048</v>
      </c>
      <c r="C3443" t="s">
        <v>7011</v>
      </c>
      <c r="D3443">
        <v>10</v>
      </c>
      <c r="E3443">
        <v>48</v>
      </c>
      <c r="F3443">
        <v>0</v>
      </c>
      <c r="G3443">
        <v>0</v>
      </c>
      <c r="H3443">
        <v>1</v>
      </c>
      <c r="I3443">
        <v>0</v>
      </c>
      <c r="J3443">
        <v>2.4900000000000002</v>
      </c>
      <c r="K3443">
        <v>0</v>
      </c>
    </row>
    <row r="3444" spans="1:11" x14ac:dyDescent="0.2">
      <c r="B3444">
        <v>129054</v>
      </c>
      <c r="C3444" t="s">
        <v>7012</v>
      </c>
      <c r="D3444">
        <v>11</v>
      </c>
      <c r="E3444">
        <v>1</v>
      </c>
      <c r="F3444">
        <v>0</v>
      </c>
      <c r="G3444">
        <v>0</v>
      </c>
      <c r="H3444">
        <v>672</v>
      </c>
      <c r="I3444">
        <v>0</v>
      </c>
      <c r="J3444">
        <v>2.99</v>
      </c>
      <c r="K3444">
        <v>0</v>
      </c>
    </row>
    <row r="3445" spans="1:11" x14ac:dyDescent="0.2">
      <c r="A3445">
        <v>38511</v>
      </c>
      <c r="B3445">
        <v>129107</v>
      </c>
      <c r="C3445" t="s">
        <v>7013</v>
      </c>
      <c r="D3445">
        <v>10</v>
      </c>
      <c r="E3445">
        <v>12</v>
      </c>
      <c r="F3445">
        <v>0</v>
      </c>
      <c r="G3445">
        <v>0</v>
      </c>
      <c r="H3445">
        <v>64</v>
      </c>
      <c r="I3445">
        <v>0</v>
      </c>
      <c r="J3445">
        <v>1.79</v>
      </c>
      <c r="K3445">
        <v>0</v>
      </c>
    </row>
    <row r="3446" spans="1:11" x14ac:dyDescent="0.2">
      <c r="A3446">
        <v>74159</v>
      </c>
      <c r="B3446">
        <v>129116</v>
      </c>
      <c r="C3446" t="s">
        <v>7014</v>
      </c>
      <c r="D3446">
        <v>8</v>
      </c>
      <c r="E3446">
        <v>18</v>
      </c>
      <c r="F3446">
        <v>230</v>
      </c>
      <c r="G3446">
        <v>4140</v>
      </c>
      <c r="H3446">
        <v>48</v>
      </c>
      <c r="I3446">
        <v>4.8</v>
      </c>
      <c r="J3446">
        <v>1.49</v>
      </c>
      <c r="K3446">
        <v>6168.6</v>
      </c>
    </row>
    <row r="3447" spans="1:11" x14ac:dyDescent="0.2">
      <c r="A3447">
        <v>69168</v>
      </c>
      <c r="B3447">
        <v>129180</v>
      </c>
      <c r="C3447" t="s">
        <v>7015</v>
      </c>
      <c r="D3447">
        <v>8</v>
      </c>
      <c r="E3447">
        <v>26</v>
      </c>
      <c r="F3447">
        <v>175</v>
      </c>
      <c r="G3447">
        <v>4550</v>
      </c>
      <c r="H3447">
        <v>120</v>
      </c>
      <c r="I3447">
        <v>1.5</v>
      </c>
      <c r="J3447">
        <v>0.87</v>
      </c>
      <c r="K3447">
        <v>3958.5</v>
      </c>
    </row>
    <row r="3448" spans="1:11" x14ac:dyDescent="0.2">
      <c r="A3448">
        <v>2652</v>
      </c>
      <c r="B3448">
        <v>129259</v>
      </c>
      <c r="C3448" t="s">
        <v>7016</v>
      </c>
      <c r="D3448">
        <v>6</v>
      </c>
      <c r="E3448">
        <v>12</v>
      </c>
      <c r="F3448">
        <v>0</v>
      </c>
      <c r="G3448">
        <v>0</v>
      </c>
      <c r="H3448">
        <v>64</v>
      </c>
      <c r="I3448">
        <v>0</v>
      </c>
      <c r="J3448">
        <v>2.09</v>
      </c>
      <c r="K3448">
        <v>0</v>
      </c>
    </row>
    <row r="3449" spans="1:11" x14ac:dyDescent="0.2">
      <c r="A3449">
        <v>57528</v>
      </c>
      <c r="B3449">
        <v>129260</v>
      </c>
      <c r="C3449" t="s">
        <v>7017</v>
      </c>
      <c r="D3449">
        <v>6</v>
      </c>
      <c r="E3449">
        <v>12</v>
      </c>
      <c r="F3449">
        <v>0</v>
      </c>
      <c r="G3449">
        <v>0</v>
      </c>
      <c r="H3449">
        <v>64</v>
      </c>
      <c r="I3449">
        <v>0</v>
      </c>
      <c r="J3449">
        <v>1.99</v>
      </c>
      <c r="K3449">
        <v>0</v>
      </c>
    </row>
    <row r="3450" spans="1:11" x14ac:dyDescent="0.2">
      <c r="A3450">
        <v>74223</v>
      </c>
      <c r="B3450">
        <v>129273</v>
      </c>
      <c r="C3450" t="s">
        <v>7018</v>
      </c>
      <c r="D3450">
        <v>8</v>
      </c>
      <c r="E3450">
        <v>36</v>
      </c>
      <c r="F3450">
        <v>106</v>
      </c>
      <c r="G3450">
        <v>3816</v>
      </c>
      <c r="H3450">
        <v>90</v>
      </c>
      <c r="I3450">
        <v>1.2</v>
      </c>
      <c r="J3450">
        <v>1.19</v>
      </c>
      <c r="K3450">
        <v>4541.04</v>
      </c>
    </row>
    <row r="3451" spans="1:11" x14ac:dyDescent="0.2">
      <c r="A3451">
        <v>57445</v>
      </c>
      <c r="B3451">
        <v>129282</v>
      </c>
      <c r="C3451" t="s">
        <v>7019</v>
      </c>
      <c r="D3451">
        <v>11</v>
      </c>
      <c r="E3451">
        <v>180</v>
      </c>
      <c r="F3451">
        <v>0</v>
      </c>
      <c r="G3451">
        <v>0</v>
      </c>
      <c r="H3451">
        <v>4</v>
      </c>
      <c r="I3451">
        <v>0</v>
      </c>
      <c r="J3451">
        <v>0.5</v>
      </c>
      <c r="K3451">
        <v>0</v>
      </c>
    </row>
    <row r="3452" spans="1:11" x14ac:dyDescent="0.2">
      <c r="A3452">
        <v>84159</v>
      </c>
      <c r="B3452">
        <v>129297</v>
      </c>
      <c r="C3452" t="s">
        <v>7020</v>
      </c>
      <c r="D3452">
        <v>8</v>
      </c>
      <c r="E3452">
        <v>10</v>
      </c>
      <c r="F3452">
        <v>287</v>
      </c>
      <c r="G3452">
        <v>2870</v>
      </c>
      <c r="H3452">
        <v>192</v>
      </c>
      <c r="I3452">
        <v>1.5</v>
      </c>
      <c r="J3452">
        <v>2.09</v>
      </c>
      <c r="K3452">
        <v>5998.3</v>
      </c>
    </row>
    <row r="3453" spans="1:11" x14ac:dyDescent="0.2">
      <c r="A3453">
        <v>95409</v>
      </c>
      <c r="B3453">
        <v>129381</v>
      </c>
      <c r="C3453" t="s">
        <v>3944</v>
      </c>
      <c r="D3453">
        <v>8</v>
      </c>
      <c r="E3453">
        <v>1</v>
      </c>
      <c r="F3453">
        <v>7080</v>
      </c>
      <c r="G3453">
        <v>7080</v>
      </c>
      <c r="H3453">
        <v>240</v>
      </c>
      <c r="I3453">
        <v>29.5</v>
      </c>
      <c r="J3453">
        <v>0.99</v>
      </c>
      <c r="K3453">
        <v>7009.2</v>
      </c>
    </row>
    <row r="3454" spans="1:11" x14ac:dyDescent="0.2">
      <c r="B3454">
        <v>129417</v>
      </c>
      <c r="C3454" t="s">
        <v>7021</v>
      </c>
      <c r="D3454">
        <v>11</v>
      </c>
      <c r="E3454">
        <v>8</v>
      </c>
      <c r="F3454">
        <v>0</v>
      </c>
      <c r="G3454">
        <v>0</v>
      </c>
      <c r="H3454">
        <v>72</v>
      </c>
      <c r="I3454">
        <v>0</v>
      </c>
      <c r="J3454">
        <v>1.91</v>
      </c>
      <c r="K3454">
        <v>0</v>
      </c>
    </row>
    <row r="3455" spans="1:11" x14ac:dyDescent="0.2">
      <c r="A3455">
        <v>99987</v>
      </c>
      <c r="B3455">
        <v>129422</v>
      </c>
      <c r="C3455" t="s">
        <v>7022</v>
      </c>
      <c r="D3455">
        <v>10</v>
      </c>
      <c r="E3455">
        <v>16</v>
      </c>
      <c r="F3455">
        <v>0</v>
      </c>
      <c r="G3455">
        <v>0</v>
      </c>
      <c r="H3455">
        <v>77</v>
      </c>
      <c r="I3455">
        <v>0</v>
      </c>
      <c r="J3455">
        <v>1.99</v>
      </c>
      <c r="K3455">
        <v>0</v>
      </c>
    </row>
    <row r="3456" spans="1:11" x14ac:dyDescent="0.2">
      <c r="A3456">
        <v>73201</v>
      </c>
      <c r="B3456">
        <v>129459</v>
      </c>
      <c r="C3456" t="s">
        <v>7023</v>
      </c>
      <c r="D3456">
        <v>8</v>
      </c>
      <c r="E3456">
        <v>12</v>
      </c>
      <c r="F3456">
        <v>425</v>
      </c>
      <c r="G3456">
        <v>5100</v>
      </c>
      <c r="H3456">
        <v>99</v>
      </c>
      <c r="I3456">
        <v>4.3</v>
      </c>
      <c r="J3456">
        <v>1.45</v>
      </c>
      <c r="K3456">
        <v>7395</v>
      </c>
    </row>
    <row r="3457" spans="1:11" x14ac:dyDescent="0.2">
      <c r="B3457">
        <v>129520</v>
      </c>
      <c r="C3457" t="s">
        <v>7024</v>
      </c>
      <c r="D3457">
        <v>12</v>
      </c>
      <c r="E3457">
        <v>10</v>
      </c>
      <c r="F3457">
        <v>0</v>
      </c>
      <c r="G3457">
        <v>0</v>
      </c>
      <c r="H3457">
        <v>100</v>
      </c>
      <c r="I3457">
        <v>0</v>
      </c>
      <c r="J3457">
        <v>3.59</v>
      </c>
      <c r="K3457">
        <v>0</v>
      </c>
    </row>
    <row r="3458" spans="1:11" x14ac:dyDescent="0.2">
      <c r="A3458">
        <v>73223</v>
      </c>
      <c r="B3458">
        <v>129531</v>
      </c>
      <c r="C3458" t="s">
        <v>7025</v>
      </c>
      <c r="D3458">
        <v>8</v>
      </c>
      <c r="E3458">
        <v>24</v>
      </c>
      <c r="F3458">
        <v>292</v>
      </c>
      <c r="G3458">
        <v>7008</v>
      </c>
      <c r="H3458">
        <v>63</v>
      </c>
      <c r="I3458">
        <v>4.5999999999999996</v>
      </c>
      <c r="J3458">
        <v>1.1499999999999999</v>
      </c>
      <c r="K3458">
        <v>8059.2</v>
      </c>
    </row>
    <row r="3459" spans="1:11" x14ac:dyDescent="0.2">
      <c r="A3459">
        <v>48629</v>
      </c>
      <c r="B3459">
        <v>129534</v>
      </c>
      <c r="C3459" t="s">
        <v>7026</v>
      </c>
      <c r="D3459">
        <v>10</v>
      </c>
      <c r="E3459">
        <v>6</v>
      </c>
      <c r="F3459">
        <v>2</v>
      </c>
      <c r="G3459">
        <v>12</v>
      </c>
      <c r="H3459">
        <v>76</v>
      </c>
      <c r="I3459">
        <v>0</v>
      </c>
      <c r="J3459">
        <v>14.99</v>
      </c>
      <c r="K3459">
        <v>179.88</v>
      </c>
    </row>
    <row r="3460" spans="1:11" x14ac:dyDescent="0.2">
      <c r="A3460">
        <v>62014</v>
      </c>
      <c r="B3460">
        <v>129540</v>
      </c>
      <c r="C3460" t="s">
        <v>7027</v>
      </c>
      <c r="D3460">
        <v>8</v>
      </c>
      <c r="E3460">
        <v>6</v>
      </c>
      <c r="F3460">
        <v>401</v>
      </c>
      <c r="G3460">
        <v>2406</v>
      </c>
      <c r="H3460">
        <v>76</v>
      </c>
      <c r="I3460">
        <v>5.3</v>
      </c>
      <c r="J3460">
        <v>17.989999999999998</v>
      </c>
      <c r="K3460">
        <v>43283.94</v>
      </c>
    </row>
    <row r="3461" spans="1:11" x14ac:dyDescent="0.2">
      <c r="B3461">
        <v>129708</v>
      </c>
      <c r="C3461" t="s">
        <v>7028</v>
      </c>
      <c r="D3461">
        <v>11</v>
      </c>
      <c r="E3461">
        <v>12</v>
      </c>
      <c r="F3461">
        <v>0</v>
      </c>
      <c r="G3461">
        <v>0</v>
      </c>
      <c r="H3461">
        <v>72</v>
      </c>
      <c r="I3461">
        <v>0</v>
      </c>
      <c r="J3461">
        <v>1.99</v>
      </c>
      <c r="K3461">
        <v>0</v>
      </c>
    </row>
    <row r="3462" spans="1:11" x14ac:dyDescent="0.2">
      <c r="A3462">
        <v>99856</v>
      </c>
      <c r="B3462">
        <v>129709</v>
      </c>
      <c r="C3462" t="s">
        <v>7029</v>
      </c>
      <c r="D3462">
        <v>10</v>
      </c>
      <c r="E3462">
        <v>20</v>
      </c>
      <c r="F3462">
        <v>0</v>
      </c>
      <c r="G3462">
        <v>0</v>
      </c>
      <c r="H3462">
        <v>56</v>
      </c>
      <c r="I3462">
        <v>0</v>
      </c>
      <c r="J3462">
        <v>8.19</v>
      </c>
      <c r="K3462">
        <v>0</v>
      </c>
    </row>
    <row r="3463" spans="1:11" x14ac:dyDescent="0.2">
      <c r="A3463">
        <v>47608</v>
      </c>
      <c r="B3463">
        <v>129723</v>
      </c>
      <c r="C3463" t="s">
        <v>7030</v>
      </c>
      <c r="D3463">
        <v>10</v>
      </c>
      <c r="E3463">
        <v>6</v>
      </c>
      <c r="F3463">
        <v>5</v>
      </c>
      <c r="G3463">
        <v>30</v>
      </c>
      <c r="H3463">
        <v>185</v>
      </c>
      <c r="I3463">
        <v>0</v>
      </c>
      <c r="J3463">
        <v>3.89</v>
      </c>
      <c r="K3463">
        <v>116.7</v>
      </c>
    </row>
    <row r="3464" spans="1:11" x14ac:dyDescent="0.2">
      <c r="A3464">
        <v>76028</v>
      </c>
      <c r="B3464">
        <v>129741</v>
      </c>
      <c r="C3464" t="s">
        <v>7031</v>
      </c>
      <c r="D3464">
        <v>8</v>
      </c>
      <c r="E3464">
        <v>30</v>
      </c>
      <c r="F3464">
        <v>135</v>
      </c>
      <c r="G3464">
        <v>4043</v>
      </c>
      <c r="H3464">
        <v>72</v>
      </c>
      <c r="I3464">
        <v>1.9</v>
      </c>
      <c r="J3464">
        <v>1.39</v>
      </c>
      <c r="K3464">
        <v>5619.77</v>
      </c>
    </row>
    <row r="3465" spans="1:11" x14ac:dyDescent="0.2">
      <c r="A3465">
        <v>57581</v>
      </c>
      <c r="B3465">
        <v>129778</v>
      </c>
      <c r="C3465" t="s">
        <v>7032</v>
      </c>
      <c r="D3465">
        <v>10</v>
      </c>
      <c r="E3465">
        <v>22</v>
      </c>
      <c r="F3465">
        <v>2</v>
      </c>
      <c r="G3465">
        <v>46</v>
      </c>
      <c r="H3465">
        <v>80</v>
      </c>
      <c r="I3465">
        <v>0</v>
      </c>
      <c r="J3465">
        <v>0.5</v>
      </c>
      <c r="K3465">
        <v>23</v>
      </c>
    </row>
    <row r="3466" spans="1:11" x14ac:dyDescent="0.2">
      <c r="A3466">
        <v>57582</v>
      </c>
      <c r="B3466">
        <v>129887</v>
      </c>
      <c r="C3466" t="s">
        <v>7033</v>
      </c>
      <c r="D3466">
        <v>10</v>
      </c>
      <c r="E3466">
        <v>6</v>
      </c>
      <c r="F3466">
        <v>-1</v>
      </c>
      <c r="G3466">
        <v>-3</v>
      </c>
      <c r="H3466">
        <v>96</v>
      </c>
      <c r="I3466">
        <v>0</v>
      </c>
      <c r="J3466">
        <v>1</v>
      </c>
      <c r="K3466">
        <v>-3</v>
      </c>
    </row>
    <row r="3467" spans="1:11" x14ac:dyDescent="0.2">
      <c r="A3467">
        <v>3517</v>
      </c>
      <c r="B3467">
        <v>129945</v>
      </c>
      <c r="C3467" t="s">
        <v>7034</v>
      </c>
      <c r="D3467">
        <v>6</v>
      </c>
      <c r="E3467">
        <v>16</v>
      </c>
      <c r="F3467">
        <v>0</v>
      </c>
      <c r="G3467">
        <v>0</v>
      </c>
      <c r="H3467">
        <v>100</v>
      </c>
      <c r="I3467">
        <v>0</v>
      </c>
      <c r="J3467">
        <v>1.19</v>
      </c>
      <c r="K3467">
        <v>0</v>
      </c>
    </row>
    <row r="3468" spans="1:11" x14ac:dyDescent="0.2">
      <c r="A3468">
        <v>26633</v>
      </c>
      <c r="B3468">
        <v>129976</v>
      </c>
      <c r="C3468" t="s">
        <v>7035</v>
      </c>
      <c r="D3468">
        <v>10</v>
      </c>
      <c r="E3468">
        <v>16</v>
      </c>
      <c r="F3468">
        <v>0</v>
      </c>
      <c r="G3468">
        <v>0</v>
      </c>
      <c r="H3468">
        <v>48</v>
      </c>
      <c r="I3468">
        <v>0</v>
      </c>
      <c r="J3468">
        <v>0.99</v>
      </c>
      <c r="K3468">
        <v>0</v>
      </c>
    </row>
    <row r="3469" spans="1:11" x14ac:dyDescent="0.2">
      <c r="A3469">
        <v>72067</v>
      </c>
      <c r="B3469">
        <v>129978</v>
      </c>
      <c r="C3469" t="s">
        <v>7036</v>
      </c>
      <c r="D3469">
        <v>8</v>
      </c>
      <c r="E3469">
        <v>30</v>
      </c>
      <c r="F3469">
        <v>638</v>
      </c>
      <c r="G3469">
        <v>19140</v>
      </c>
      <c r="H3469">
        <v>99</v>
      </c>
      <c r="I3469">
        <v>6.4</v>
      </c>
      <c r="J3469">
        <v>2.15</v>
      </c>
      <c r="K3469">
        <v>41151</v>
      </c>
    </row>
    <row r="3470" spans="1:11" x14ac:dyDescent="0.2">
      <c r="A3470">
        <v>47622</v>
      </c>
      <c r="B3470">
        <v>130001</v>
      </c>
      <c r="C3470" t="s">
        <v>7037</v>
      </c>
      <c r="D3470">
        <v>10</v>
      </c>
      <c r="E3470">
        <v>20</v>
      </c>
      <c r="F3470">
        <v>4</v>
      </c>
      <c r="G3470">
        <v>80</v>
      </c>
      <c r="H3470">
        <v>88</v>
      </c>
      <c r="I3470">
        <v>0</v>
      </c>
      <c r="J3470">
        <v>0.99</v>
      </c>
      <c r="K3470">
        <v>79.2</v>
      </c>
    </row>
    <row r="3471" spans="1:11" x14ac:dyDescent="0.2">
      <c r="A3471">
        <v>44624</v>
      </c>
      <c r="B3471">
        <v>130034</v>
      </c>
      <c r="C3471" t="s">
        <v>7038</v>
      </c>
      <c r="D3471">
        <v>10</v>
      </c>
      <c r="E3471">
        <v>6</v>
      </c>
      <c r="F3471">
        <v>0</v>
      </c>
      <c r="G3471">
        <v>0</v>
      </c>
      <c r="H3471">
        <v>56</v>
      </c>
      <c r="I3471">
        <v>0</v>
      </c>
      <c r="J3471">
        <v>9.99</v>
      </c>
      <c r="K3471">
        <v>0</v>
      </c>
    </row>
    <row r="3472" spans="1:11" x14ac:dyDescent="0.2">
      <c r="A3472">
        <v>34618</v>
      </c>
      <c r="B3472">
        <v>130055</v>
      </c>
      <c r="C3472" t="s">
        <v>7039</v>
      </c>
      <c r="D3472">
        <v>10</v>
      </c>
      <c r="E3472">
        <v>162</v>
      </c>
      <c r="F3472">
        <v>0</v>
      </c>
      <c r="G3472">
        <v>0</v>
      </c>
      <c r="H3472">
        <v>4</v>
      </c>
      <c r="I3472">
        <v>0</v>
      </c>
      <c r="J3472">
        <v>0.69</v>
      </c>
      <c r="K3472">
        <v>0</v>
      </c>
    </row>
    <row r="3473" spans="1:12" x14ac:dyDescent="0.2">
      <c r="A3473">
        <v>86013</v>
      </c>
      <c r="B3473">
        <v>130092</v>
      </c>
      <c r="C3473" t="s">
        <v>7040</v>
      </c>
      <c r="D3473">
        <v>8</v>
      </c>
      <c r="E3473">
        <v>25</v>
      </c>
      <c r="F3473">
        <v>0</v>
      </c>
      <c r="G3473">
        <v>0</v>
      </c>
      <c r="H3473">
        <v>28</v>
      </c>
      <c r="I3473">
        <v>0</v>
      </c>
      <c r="J3473">
        <v>0.59</v>
      </c>
      <c r="K3473">
        <v>0</v>
      </c>
    </row>
    <row r="3474" spans="1:12" x14ac:dyDescent="0.2">
      <c r="A3474">
        <v>62131</v>
      </c>
      <c r="B3474">
        <v>130149</v>
      </c>
      <c r="C3474" t="s">
        <v>7041</v>
      </c>
      <c r="D3474">
        <v>8</v>
      </c>
      <c r="E3474">
        <v>8</v>
      </c>
      <c r="F3474">
        <v>568</v>
      </c>
      <c r="G3474">
        <v>4542</v>
      </c>
      <c r="H3474">
        <v>144</v>
      </c>
      <c r="I3474">
        <v>3.9</v>
      </c>
      <c r="J3474">
        <v>1.79</v>
      </c>
      <c r="K3474">
        <v>8130.18</v>
      </c>
    </row>
    <row r="3475" spans="1:12" x14ac:dyDescent="0.2">
      <c r="A3475">
        <v>93162</v>
      </c>
      <c r="B3475">
        <v>130173</v>
      </c>
      <c r="C3475" t="s">
        <v>7042</v>
      </c>
      <c r="D3475">
        <v>6</v>
      </c>
      <c r="E3475">
        <v>24</v>
      </c>
      <c r="F3475">
        <v>0</v>
      </c>
      <c r="G3475">
        <v>0</v>
      </c>
      <c r="H3475">
        <v>36</v>
      </c>
      <c r="I3475">
        <v>0</v>
      </c>
      <c r="J3475">
        <v>1.99</v>
      </c>
      <c r="K3475">
        <v>0</v>
      </c>
    </row>
    <row r="3476" spans="1:12" x14ac:dyDescent="0.2">
      <c r="A3476">
        <v>95156</v>
      </c>
      <c r="B3476">
        <v>130200</v>
      </c>
      <c r="C3476" t="s">
        <v>7043</v>
      </c>
      <c r="D3476">
        <v>8</v>
      </c>
      <c r="E3476">
        <v>6</v>
      </c>
      <c r="F3476">
        <v>5047</v>
      </c>
      <c r="G3476">
        <v>30282</v>
      </c>
      <c r="H3476">
        <v>104</v>
      </c>
      <c r="I3476">
        <v>48.5</v>
      </c>
      <c r="J3476">
        <v>0.39</v>
      </c>
      <c r="K3476">
        <v>11809.98</v>
      </c>
    </row>
    <row r="3477" spans="1:12" x14ac:dyDescent="0.2">
      <c r="B3477">
        <v>130226</v>
      </c>
      <c r="C3477" t="s">
        <v>7044</v>
      </c>
      <c r="D3477">
        <v>12</v>
      </c>
      <c r="E3477">
        <v>6</v>
      </c>
      <c r="F3477">
        <v>0</v>
      </c>
      <c r="G3477">
        <v>0</v>
      </c>
      <c r="H3477">
        <v>105</v>
      </c>
      <c r="I3477">
        <v>0</v>
      </c>
      <c r="J3477">
        <v>6</v>
      </c>
      <c r="K3477">
        <v>0</v>
      </c>
      <c r="L3477" t="s">
        <v>3699</v>
      </c>
    </row>
    <row r="3478" spans="1:12" x14ac:dyDescent="0.2">
      <c r="A3478">
        <v>99258</v>
      </c>
      <c r="B3478">
        <v>130232</v>
      </c>
      <c r="C3478" t="s">
        <v>7045</v>
      </c>
      <c r="D3478">
        <v>10</v>
      </c>
      <c r="E3478">
        <v>12</v>
      </c>
      <c r="F3478">
        <v>0</v>
      </c>
      <c r="G3478">
        <v>0</v>
      </c>
      <c r="H3478">
        <v>77</v>
      </c>
      <c r="I3478">
        <v>0</v>
      </c>
      <c r="J3478">
        <v>2</v>
      </c>
      <c r="K3478">
        <v>0</v>
      </c>
    </row>
    <row r="3479" spans="1:12" x14ac:dyDescent="0.2">
      <c r="B3479">
        <v>130267</v>
      </c>
      <c r="C3479" t="s">
        <v>7046</v>
      </c>
      <c r="D3479">
        <v>10</v>
      </c>
      <c r="E3479">
        <v>8</v>
      </c>
      <c r="F3479">
        <v>3</v>
      </c>
      <c r="G3479">
        <v>22</v>
      </c>
      <c r="H3479">
        <v>100</v>
      </c>
      <c r="I3479">
        <v>0</v>
      </c>
      <c r="J3479">
        <v>0.99</v>
      </c>
      <c r="K3479">
        <v>21.78</v>
      </c>
    </row>
    <row r="3480" spans="1:12" x14ac:dyDescent="0.2">
      <c r="B3480">
        <v>130290</v>
      </c>
      <c r="C3480" t="s">
        <v>7047</v>
      </c>
      <c r="D3480">
        <v>10</v>
      </c>
      <c r="E3480">
        <v>12</v>
      </c>
      <c r="F3480">
        <v>0</v>
      </c>
      <c r="G3480">
        <v>0</v>
      </c>
      <c r="H3480">
        <v>312</v>
      </c>
      <c r="I3480">
        <v>0</v>
      </c>
      <c r="J3480">
        <v>1.69</v>
      </c>
      <c r="K3480">
        <v>0</v>
      </c>
    </row>
    <row r="3481" spans="1:12" x14ac:dyDescent="0.2">
      <c r="A3481">
        <v>0</v>
      </c>
      <c r="B3481">
        <v>130291</v>
      </c>
      <c r="C3481" t="s">
        <v>7048</v>
      </c>
      <c r="D3481">
        <v>11</v>
      </c>
      <c r="E3481">
        <v>12</v>
      </c>
      <c r="F3481">
        <v>0</v>
      </c>
      <c r="G3481">
        <v>0</v>
      </c>
      <c r="H3481">
        <v>312</v>
      </c>
      <c r="I3481">
        <v>0</v>
      </c>
      <c r="J3481">
        <v>1.69</v>
      </c>
      <c r="K3481">
        <v>0</v>
      </c>
    </row>
    <row r="3482" spans="1:12" x14ac:dyDescent="0.2">
      <c r="A3482">
        <v>0</v>
      </c>
      <c r="B3482">
        <v>130293</v>
      </c>
      <c r="C3482" t="s">
        <v>7049</v>
      </c>
      <c r="D3482">
        <v>10</v>
      </c>
      <c r="E3482">
        <v>12</v>
      </c>
      <c r="F3482">
        <v>0</v>
      </c>
      <c r="G3482">
        <v>0</v>
      </c>
      <c r="H3482">
        <v>312</v>
      </c>
      <c r="I3482">
        <v>0</v>
      </c>
      <c r="J3482">
        <v>1.69</v>
      </c>
      <c r="K3482">
        <v>0</v>
      </c>
    </row>
    <row r="3483" spans="1:12" x14ac:dyDescent="0.2">
      <c r="A3483">
        <v>0</v>
      </c>
      <c r="B3483">
        <v>130294</v>
      </c>
      <c r="C3483" t="s">
        <v>7050</v>
      </c>
      <c r="D3483">
        <v>11</v>
      </c>
      <c r="E3483">
        <v>12</v>
      </c>
      <c r="F3483">
        <v>0</v>
      </c>
      <c r="G3483">
        <v>0</v>
      </c>
      <c r="H3483">
        <v>312</v>
      </c>
      <c r="I3483">
        <v>0</v>
      </c>
      <c r="J3483">
        <v>1.69</v>
      </c>
      <c r="K3483">
        <v>0</v>
      </c>
    </row>
    <row r="3484" spans="1:12" x14ac:dyDescent="0.2">
      <c r="A3484">
        <v>0</v>
      </c>
      <c r="B3484">
        <v>130296</v>
      </c>
      <c r="C3484" t="s">
        <v>7051</v>
      </c>
      <c r="D3484">
        <v>11</v>
      </c>
      <c r="E3484">
        <v>12</v>
      </c>
      <c r="F3484">
        <v>0</v>
      </c>
      <c r="G3484">
        <v>0</v>
      </c>
      <c r="H3484">
        <v>312</v>
      </c>
      <c r="I3484">
        <v>0</v>
      </c>
      <c r="J3484">
        <v>1.69</v>
      </c>
      <c r="K3484">
        <v>0</v>
      </c>
    </row>
    <row r="3485" spans="1:12" x14ac:dyDescent="0.2">
      <c r="B3485">
        <v>130297</v>
      </c>
      <c r="C3485" t="s">
        <v>7052</v>
      </c>
      <c r="D3485">
        <v>12</v>
      </c>
      <c r="E3485">
        <v>1</v>
      </c>
      <c r="F3485">
        <v>0</v>
      </c>
      <c r="G3485">
        <v>0</v>
      </c>
      <c r="H3485">
        <v>240</v>
      </c>
      <c r="I3485">
        <v>0</v>
      </c>
      <c r="J3485">
        <v>1.69</v>
      </c>
      <c r="K3485">
        <v>0</v>
      </c>
    </row>
    <row r="3486" spans="1:12" x14ac:dyDescent="0.2">
      <c r="B3486">
        <v>130297</v>
      </c>
      <c r="C3486" t="s">
        <v>7052</v>
      </c>
      <c r="D3486">
        <v>11</v>
      </c>
      <c r="E3486">
        <v>12</v>
      </c>
      <c r="F3486">
        <v>0</v>
      </c>
      <c r="G3486">
        <v>0</v>
      </c>
      <c r="H3486">
        <v>312</v>
      </c>
      <c r="I3486">
        <v>0</v>
      </c>
      <c r="J3486">
        <v>1.69</v>
      </c>
      <c r="K3486">
        <v>0</v>
      </c>
    </row>
    <row r="3487" spans="1:12" x14ac:dyDescent="0.2">
      <c r="A3487">
        <v>87065</v>
      </c>
      <c r="B3487">
        <v>130339</v>
      </c>
      <c r="C3487" t="s">
        <v>7053</v>
      </c>
      <c r="D3487">
        <v>8</v>
      </c>
      <c r="E3487">
        <v>16</v>
      </c>
      <c r="F3487">
        <v>154</v>
      </c>
      <c r="G3487">
        <v>2464</v>
      </c>
      <c r="H3487">
        <v>77</v>
      </c>
      <c r="I3487">
        <v>2</v>
      </c>
      <c r="J3487">
        <v>1.99</v>
      </c>
      <c r="K3487">
        <v>4903.3599999999997</v>
      </c>
    </row>
    <row r="3488" spans="1:12" x14ac:dyDescent="0.2">
      <c r="A3488">
        <v>93136</v>
      </c>
      <c r="B3488">
        <v>130397</v>
      </c>
      <c r="C3488" t="s">
        <v>7054</v>
      </c>
      <c r="D3488">
        <v>11</v>
      </c>
      <c r="E3488">
        <v>80</v>
      </c>
      <c r="F3488">
        <v>0</v>
      </c>
      <c r="G3488">
        <v>0</v>
      </c>
      <c r="H3488">
        <v>34</v>
      </c>
      <c r="I3488">
        <v>0</v>
      </c>
      <c r="J3488">
        <v>0.01</v>
      </c>
      <c r="K3488">
        <v>0</v>
      </c>
      <c r="L3488" t="s">
        <v>3699</v>
      </c>
    </row>
    <row r="3489" spans="1:12" x14ac:dyDescent="0.2">
      <c r="A3489">
        <v>93137</v>
      </c>
      <c r="B3489">
        <v>130398</v>
      </c>
      <c r="C3489" t="s">
        <v>7055</v>
      </c>
      <c r="D3489">
        <v>11</v>
      </c>
      <c r="E3489">
        <v>80</v>
      </c>
      <c r="F3489">
        <v>0</v>
      </c>
      <c r="G3489">
        <v>0</v>
      </c>
      <c r="H3489">
        <v>34</v>
      </c>
      <c r="I3489">
        <v>0</v>
      </c>
      <c r="J3489">
        <v>0.01</v>
      </c>
      <c r="K3489">
        <v>0</v>
      </c>
      <c r="L3489" t="s">
        <v>3699</v>
      </c>
    </row>
    <row r="3490" spans="1:12" x14ac:dyDescent="0.2">
      <c r="A3490">
        <v>93138</v>
      </c>
      <c r="B3490">
        <v>130399</v>
      </c>
      <c r="C3490" t="s">
        <v>7056</v>
      </c>
      <c r="D3490">
        <v>11</v>
      </c>
      <c r="E3490">
        <v>80</v>
      </c>
      <c r="F3490">
        <v>0</v>
      </c>
      <c r="G3490">
        <v>0</v>
      </c>
      <c r="H3490">
        <v>34</v>
      </c>
      <c r="I3490">
        <v>0</v>
      </c>
      <c r="J3490">
        <v>0.01</v>
      </c>
      <c r="K3490">
        <v>0</v>
      </c>
      <c r="L3490" t="s">
        <v>3699</v>
      </c>
    </row>
    <row r="3491" spans="1:12" x14ac:dyDescent="0.2">
      <c r="A3491">
        <v>69223</v>
      </c>
      <c r="B3491">
        <v>130422</v>
      </c>
      <c r="C3491" t="s">
        <v>7057</v>
      </c>
      <c r="D3491">
        <v>8</v>
      </c>
      <c r="E3491">
        <v>9</v>
      </c>
      <c r="F3491">
        <v>2376</v>
      </c>
      <c r="G3491">
        <v>21381</v>
      </c>
      <c r="H3491">
        <v>120</v>
      </c>
      <c r="I3491">
        <v>19.8</v>
      </c>
      <c r="J3491">
        <v>1.89</v>
      </c>
      <c r="K3491">
        <v>40410.089999999997</v>
      </c>
    </row>
    <row r="3492" spans="1:12" x14ac:dyDescent="0.2">
      <c r="A3492">
        <v>73006</v>
      </c>
      <c r="B3492">
        <v>130471</v>
      </c>
      <c r="C3492" t="s">
        <v>7058</v>
      </c>
      <c r="D3492">
        <v>8</v>
      </c>
      <c r="E3492">
        <v>8</v>
      </c>
      <c r="F3492">
        <v>4</v>
      </c>
      <c r="G3492">
        <v>32</v>
      </c>
      <c r="H3492">
        <v>48</v>
      </c>
      <c r="I3492">
        <v>0.1</v>
      </c>
      <c r="J3492">
        <v>6.59</v>
      </c>
      <c r="K3492">
        <v>210.88</v>
      </c>
    </row>
    <row r="3493" spans="1:12" x14ac:dyDescent="0.2">
      <c r="A3493">
        <v>74239</v>
      </c>
      <c r="B3493">
        <v>130486</v>
      </c>
      <c r="C3493" t="s">
        <v>7059</v>
      </c>
      <c r="D3493">
        <v>9</v>
      </c>
      <c r="E3493">
        <v>36</v>
      </c>
      <c r="F3493">
        <v>157</v>
      </c>
      <c r="G3493">
        <v>5652</v>
      </c>
      <c r="H3493">
        <v>64</v>
      </c>
      <c r="I3493">
        <v>2.5</v>
      </c>
      <c r="J3493">
        <v>0.72</v>
      </c>
      <c r="K3493">
        <v>4069.44</v>
      </c>
    </row>
    <row r="3494" spans="1:12" x14ac:dyDescent="0.2">
      <c r="A3494">
        <v>93357</v>
      </c>
      <c r="B3494">
        <v>130565</v>
      </c>
      <c r="C3494" t="s">
        <v>7060</v>
      </c>
      <c r="D3494">
        <v>10</v>
      </c>
      <c r="E3494">
        <v>6</v>
      </c>
      <c r="F3494">
        <v>0</v>
      </c>
      <c r="G3494">
        <v>0</v>
      </c>
      <c r="H3494">
        <v>1</v>
      </c>
      <c r="I3494">
        <v>0</v>
      </c>
      <c r="J3494">
        <v>3.99</v>
      </c>
      <c r="K3494">
        <v>0</v>
      </c>
    </row>
    <row r="3495" spans="1:12" x14ac:dyDescent="0.2">
      <c r="A3495">
        <v>69175</v>
      </c>
      <c r="B3495">
        <v>130585</v>
      </c>
      <c r="C3495" t="s">
        <v>7061</v>
      </c>
      <c r="D3495">
        <v>8</v>
      </c>
      <c r="E3495">
        <v>6</v>
      </c>
      <c r="F3495">
        <v>269</v>
      </c>
      <c r="G3495">
        <v>1614</v>
      </c>
      <c r="H3495">
        <v>110</v>
      </c>
      <c r="I3495">
        <v>2.4</v>
      </c>
      <c r="J3495">
        <v>1.99</v>
      </c>
      <c r="K3495">
        <v>3211.86</v>
      </c>
    </row>
    <row r="3496" spans="1:12" x14ac:dyDescent="0.2">
      <c r="A3496">
        <v>93338</v>
      </c>
      <c r="B3496">
        <v>130642</v>
      </c>
      <c r="C3496" t="s">
        <v>7062</v>
      </c>
      <c r="D3496">
        <v>10</v>
      </c>
      <c r="E3496">
        <v>144</v>
      </c>
      <c r="F3496">
        <v>0</v>
      </c>
      <c r="G3496">
        <v>0</v>
      </c>
      <c r="H3496">
        <v>32</v>
      </c>
      <c r="I3496">
        <v>0</v>
      </c>
      <c r="J3496">
        <v>1.69</v>
      </c>
      <c r="K3496">
        <v>0</v>
      </c>
    </row>
    <row r="3497" spans="1:12" x14ac:dyDescent="0.2">
      <c r="A3497">
        <v>93340</v>
      </c>
      <c r="B3497">
        <v>130643</v>
      </c>
      <c r="C3497" t="s">
        <v>7063</v>
      </c>
      <c r="D3497">
        <v>10</v>
      </c>
      <c r="E3497">
        <v>36</v>
      </c>
      <c r="F3497">
        <v>0</v>
      </c>
      <c r="G3497">
        <v>0</v>
      </c>
      <c r="H3497">
        <v>32</v>
      </c>
      <c r="I3497">
        <v>0</v>
      </c>
      <c r="J3497">
        <v>4.99</v>
      </c>
      <c r="K3497">
        <v>0</v>
      </c>
    </row>
    <row r="3498" spans="1:12" x14ac:dyDescent="0.2">
      <c r="A3498">
        <v>70023</v>
      </c>
      <c r="B3498">
        <v>130774</v>
      </c>
      <c r="C3498" t="s">
        <v>7064</v>
      </c>
      <c r="D3498">
        <v>8</v>
      </c>
      <c r="E3498">
        <v>28</v>
      </c>
      <c r="F3498">
        <v>1410</v>
      </c>
      <c r="G3498">
        <v>39480</v>
      </c>
      <c r="H3498">
        <v>108</v>
      </c>
      <c r="I3498">
        <v>13.1</v>
      </c>
      <c r="J3498">
        <v>0.81</v>
      </c>
      <c r="K3498">
        <v>31978.799999999999</v>
      </c>
    </row>
    <row r="3499" spans="1:12" x14ac:dyDescent="0.2">
      <c r="A3499">
        <v>69155</v>
      </c>
      <c r="B3499">
        <v>130809</v>
      </c>
      <c r="C3499" t="s">
        <v>7065</v>
      </c>
      <c r="D3499">
        <v>8</v>
      </c>
      <c r="E3499">
        <v>24</v>
      </c>
      <c r="F3499">
        <v>276</v>
      </c>
      <c r="G3499">
        <v>6623</v>
      </c>
      <c r="H3499">
        <v>96</v>
      </c>
      <c r="I3499">
        <v>2.9</v>
      </c>
      <c r="J3499">
        <v>1.29</v>
      </c>
      <c r="K3499">
        <v>8543.67</v>
      </c>
    </row>
    <row r="3500" spans="1:12" x14ac:dyDescent="0.2">
      <c r="A3500">
        <v>3534</v>
      </c>
      <c r="B3500">
        <v>130913</v>
      </c>
      <c r="C3500" t="s">
        <v>7066</v>
      </c>
      <c r="D3500">
        <v>6</v>
      </c>
      <c r="E3500">
        <v>8</v>
      </c>
      <c r="F3500">
        <v>0</v>
      </c>
      <c r="G3500">
        <v>0</v>
      </c>
      <c r="H3500">
        <v>104</v>
      </c>
      <c r="I3500">
        <v>0</v>
      </c>
      <c r="J3500">
        <v>2.19</v>
      </c>
      <c r="K3500">
        <v>0</v>
      </c>
    </row>
    <row r="3501" spans="1:12" x14ac:dyDescent="0.2">
      <c r="A3501">
        <v>1613</v>
      </c>
      <c r="B3501">
        <v>130926</v>
      </c>
      <c r="C3501" t="s">
        <v>7067</v>
      </c>
      <c r="D3501">
        <v>6</v>
      </c>
      <c r="E3501">
        <v>6</v>
      </c>
      <c r="F3501">
        <v>0</v>
      </c>
      <c r="G3501">
        <v>0</v>
      </c>
      <c r="H3501">
        <v>216</v>
      </c>
      <c r="I3501">
        <v>0</v>
      </c>
      <c r="J3501">
        <v>1.55</v>
      </c>
      <c r="K3501">
        <v>0</v>
      </c>
    </row>
    <row r="3502" spans="1:12" x14ac:dyDescent="0.2">
      <c r="A3502">
        <v>1614</v>
      </c>
      <c r="B3502">
        <v>130927</v>
      </c>
      <c r="C3502" t="s">
        <v>7068</v>
      </c>
      <c r="D3502">
        <v>6</v>
      </c>
      <c r="E3502">
        <v>6</v>
      </c>
      <c r="F3502">
        <v>0</v>
      </c>
      <c r="G3502">
        <v>0</v>
      </c>
      <c r="H3502">
        <v>216</v>
      </c>
      <c r="I3502">
        <v>0</v>
      </c>
      <c r="J3502">
        <v>1.55</v>
      </c>
      <c r="K3502">
        <v>0</v>
      </c>
    </row>
    <row r="3503" spans="1:12" x14ac:dyDescent="0.2">
      <c r="A3503">
        <v>70087</v>
      </c>
      <c r="B3503">
        <v>130962</v>
      </c>
      <c r="C3503" t="s">
        <v>7069</v>
      </c>
      <c r="D3503">
        <v>8</v>
      </c>
      <c r="E3503">
        <v>16</v>
      </c>
      <c r="F3503">
        <v>319</v>
      </c>
      <c r="G3503">
        <v>5104</v>
      </c>
      <c r="H3503">
        <v>192</v>
      </c>
      <c r="I3503">
        <v>1.7</v>
      </c>
      <c r="J3503">
        <v>1.1499999999999999</v>
      </c>
      <c r="K3503">
        <v>5869.6</v>
      </c>
    </row>
    <row r="3504" spans="1:12" x14ac:dyDescent="0.2">
      <c r="A3504">
        <v>99260</v>
      </c>
      <c r="B3504">
        <v>130991</v>
      </c>
      <c r="C3504" t="s">
        <v>7070</v>
      </c>
      <c r="D3504">
        <v>11</v>
      </c>
      <c r="E3504">
        <v>10</v>
      </c>
      <c r="F3504">
        <v>0</v>
      </c>
      <c r="G3504">
        <v>0</v>
      </c>
      <c r="H3504">
        <v>45</v>
      </c>
      <c r="I3504">
        <v>0</v>
      </c>
      <c r="J3504">
        <v>1.04</v>
      </c>
      <c r="K3504">
        <v>0</v>
      </c>
    </row>
    <row r="3505" spans="1:11" x14ac:dyDescent="0.2">
      <c r="A3505">
        <v>69243</v>
      </c>
      <c r="B3505">
        <v>130994</v>
      </c>
      <c r="C3505" t="s">
        <v>7071</v>
      </c>
      <c r="D3505">
        <v>8</v>
      </c>
      <c r="E3505">
        <v>12</v>
      </c>
      <c r="F3505">
        <v>541</v>
      </c>
      <c r="G3505">
        <v>6492</v>
      </c>
      <c r="H3505">
        <v>60</v>
      </c>
      <c r="I3505">
        <v>9</v>
      </c>
      <c r="J3505">
        <v>1.29</v>
      </c>
      <c r="K3505">
        <v>8374.68</v>
      </c>
    </row>
    <row r="3506" spans="1:11" x14ac:dyDescent="0.2">
      <c r="A3506">
        <v>93344</v>
      </c>
      <c r="B3506">
        <v>131087</v>
      </c>
      <c r="C3506" t="s">
        <v>7072</v>
      </c>
      <c r="D3506">
        <v>10</v>
      </c>
      <c r="E3506">
        <v>6</v>
      </c>
      <c r="F3506">
        <v>5</v>
      </c>
      <c r="G3506">
        <v>30</v>
      </c>
      <c r="H3506">
        <v>12</v>
      </c>
      <c r="I3506">
        <v>0.4</v>
      </c>
      <c r="J3506">
        <v>6.99</v>
      </c>
      <c r="K3506">
        <v>209.7</v>
      </c>
    </row>
    <row r="3507" spans="1:11" x14ac:dyDescent="0.2">
      <c r="A3507">
        <v>93037</v>
      </c>
      <c r="B3507">
        <v>131090</v>
      </c>
      <c r="C3507" t="s">
        <v>7073</v>
      </c>
      <c r="D3507">
        <v>10</v>
      </c>
      <c r="E3507">
        <v>5</v>
      </c>
      <c r="F3507">
        <v>0</v>
      </c>
      <c r="G3507">
        <v>0</v>
      </c>
      <c r="H3507">
        <v>24</v>
      </c>
      <c r="I3507">
        <v>0</v>
      </c>
      <c r="J3507">
        <v>1.99</v>
      </c>
      <c r="K3507">
        <v>0</v>
      </c>
    </row>
    <row r="3508" spans="1:11" x14ac:dyDescent="0.2">
      <c r="A3508">
        <v>93065</v>
      </c>
      <c r="B3508">
        <v>131091</v>
      </c>
      <c r="C3508" t="s">
        <v>7074</v>
      </c>
      <c r="D3508">
        <v>10</v>
      </c>
      <c r="E3508">
        <v>25</v>
      </c>
      <c r="F3508">
        <v>0</v>
      </c>
      <c r="G3508">
        <v>0</v>
      </c>
      <c r="H3508">
        <v>32</v>
      </c>
      <c r="I3508">
        <v>0</v>
      </c>
      <c r="J3508">
        <v>2.79</v>
      </c>
      <c r="K3508">
        <v>0</v>
      </c>
    </row>
    <row r="3509" spans="1:11" x14ac:dyDescent="0.2">
      <c r="A3509">
        <v>95725</v>
      </c>
      <c r="B3509">
        <v>131100</v>
      </c>
      <c r="C3509" t="s">
        <v>7075</v>
      </c>
      <c r="D3509">
        <v>8</v>
      </c>
      <c r="E3509">
        <v>4</v>
      </c>
      <c r="F3509">
        <v>1104</v>
      </c>
      <c r="G3509">
        <v>4416</v>
      </c>
      <c r="H3509">
        <v>55</v>
      </c>
      <c r="I3509">
        <v>20.100000000000001</v>
      </c>
      <c r="J3509">
        <v>4.75</v>
      </c>
      <c r="K3509">
        <v>20976</v>
      </c>
    </row>
    <row r="3510" spans="1:11" x14ac:dyDescent="0.2">
      <c r="A3510">
        <v>95720</v>
      </c>
      <c r="B3510">
        <v>131101</v>
      </c>
      <c r="C3510" t="s">
        <v>7076</v>
      </c>
      <c r="D3510">
        <v>9</v>
      </c>
      <c r="E3510">
        <v>4</v>
      </c>
      <c r="F3510">
        <v>770</v>
      </c>
      <c r="G3510">
        <v>3080</v>
      </c>
      <c r="H3510">
        <v>55</v>
      </c>
      <c r="I3510">
        <v>14</v>
      </c>
      <c r="J3510">
        <v>4.75</v>
      </c>
      <c r="K3510">
        <v>14630</v>
      </c>
    </row>
    <row r="3511" spans="1:11" x14ac:dyDescent="0.2">
      <c r="A3511">
        <v>70025</v>
      </c>
      <c r="B3511">
        <v>131111</v>
      </c>
      <c r="C3511" t="s">
        <v>7077</v>
      </c>
      <c r="D3511">
        <v>8</v>
      </c>
      <c r="E3511">
        <v>4</v>
      </c>
      <c r="F3511">
        <v>183</v>
      </c>
      <c r="G3511">
        <v>732</v>
      </c>
      <c r="H3511">
        <v>72</v>
      </c>
      <c r="I3511">
        <v>2.5</v>
      </c>
      <c r="J3511">
        <v>6.45</v>
      </c>
      <c r="K3511">
        <v>4721.3999999999996</v>
      </c>
    </row>
    <row r="3512" spans="1:11" x14ac:dyDescent="0.2">
      <c r="A3512">
        <v>70032</v>
      </c>
      <c r="B3512">
        <v>131112</v>
      </c>
      <c r="C3512" t="s">
        <v>7078</v>
      </c>
      <c r="D3512">
        <v>8</v>
      </c>
      <c r="E3512">
        <v>6</v>
      </c>
      <c r="F3512">
        <v>1289</v>
      </c>
      <c r="G3512">
        <v>7734</v>
      </c>
      <c r="H3512">
        <v>66</v>
      </c>
      <c r="I3512">
        <v>19.5</v>
      </c>
      <c r="J3512">
        <v>2.5499999999999998</v>
      </c>
      <c r="K3512">
        <v>19721.7</v>
      </c>
    </row>
    <row r="3513" spans="1:11" x14ac:dyDescent="0.2">
      <c r="A3513">
        <v>95723</v>
      </c>
      <c r="B3513">
        <v>131113</v>
      </c>
      <c r="C3513" t="s">
        <v>7079</v>
      </c>
      <c r="D3513">
        <v>8</v>
      </c>
      <c r="E3513">
        <v>4</v>
      </c>
      <c r="F3513">
        <v>716</v>
      </c>
      <c r="G3513">
        <v>2864</v>
      </c>
      <c r="H3513">
        <v>50</v>
      </c>
      <c r="I3513">
        <v>14.3</v>
      </c>
      <c r="J3513">
        <v>7.29</v>
      </c>
      <c r="K3513">
        <v>20878.560000000001</v>
      </c>
    </row>
    <row r="3514" spans="1:11" x14ac:dyDescent="0.2">
      <c r="A3514">
        <v>95729</v>
      </c>
      <c r="B3514">
        <v>131114</v>
      </c>
      <c r="C3514" t="s">
        <v>7080</v>
      </c>
      <c r="D3514">
        <v>8</v>
      </c>
      <c r="E3514">
        <v>4</v>
      </c>
      <c r="F3514">
        <v>2169</v>
      </c>
      <c r="G3514">
        <v>8676</v>
      </c>
      <c r="H3514">
        <v>65</v>
      </c>
      <c r="I3514">
        <v>33.4</v>
      </c>
      <c r="J3514">
        <v>7.29</v>
      </c>
      <c r="K3514">
        <v>63248.04</v>
      </c>
    </row>
    <row r="3515" spans="1:11" x14ac:dyDescent="0.2">
      <c r="A3515">
        <v>95740</v>
      </c>
      <c r="B3515">
        <v>131115</v>
      </c>
      <c r="C3515" t="s">
        <v>7081</v>
      </c>
      <c r="D3515">
        <v>8</v>
      </c>
      <c r="E3515">
        <v>4</v>
      </c>
      <c r="F3515">
        <v>1529</v>
      </c>
      <c r="G3515">
        <v>6116</v>
      </c>
      <c r="H3515">
        <v>60</v>
      </c>
      <c r="I3515">
        <v>25.5</v>
      </c>
      <c r="J3515">
        <v>7.29</v>
      </c>
      <c r="K3515">
        <v>44585.64</v>
      </c>
    </row>
    <row r="3516" spans="1:11" x14ac:dyDescent="0.2">
      <c r="A3516">
        <v>69248</v>
      </c>
      <c r="B3516">
        <v>131117</v>
      </c>
      <c r="C3516" t="s">
        <v>7082</v>
      </c>
      <c r="D3516">
        <v>8</v>
      </c>
      <c r="E3516">
        <v>3</v>
      </c>
      <c r="F3516">
        <v>438</v>
      </c>
      <c r="G3516">
        <v>1314</v>
      </c>
      <c r="H3516">
        <v>90</v>
      </c>
      <c r="I3516">
        <v>4.9000000000000004</v>
      </c>
      <c r="J3516">
        <v>6.29</v>
      </c>
      <c r="K3516">
        <v>8265.06</v>
      </c>
    </row>
    <row r="3517" spans="1:11" x14ac:dyDescent="0.2">
      <c r="A3517">
        <v>2653</v>
      </c>
      <c r="B3517">
        <v>131118</v>
      </c>
      <c r="C3517" t="s">
        <v>7083</v>
      </c>
      <c r="D3517">
        <v>6</v>
      </c>
      <c r="E3517">
        <v>1</v>
      </c>
      <c r="F3517">
        <v>0</v>
      </c>
      <c r="G3517">
        <v>0</v>
      </c>
      <c r="H3517">
        <v>80</v>
      </c>
      <c r="I3517">
        <v>0</v>
      </c>
      <c r="J3517">
        <v>12.99</v>
      </c>
      <c r="K3517">
        <v>0</v>
      </c>
    </row>
    <row r="3518" spans="1:11" x14ac:dyDescent="0.2">
      <c r="A3518">
        <v>2654</v>
      </c>
      <c r="B3518">
        <v>131119</v>
      </c>
      <c r="C3518" t="s">
        <v>7084</v>
      </c>
      <c r="D3518">
        <v>6</v>
      </c>
      <c r="E3518">
        <v>1</v>
      </c>
      <c r="F3518">
        <v>0</v>
      </c>
      <c r="G3518">
        <v>0</v>
      </c>
      <c r="H3518">
        <v>80</v>
      </c>
      <c r="I3518">
        <v>0</v>
      </c>
      <c r="J3518">
        <v>12.99</v>
      </c>
      <c r="K3518">
        <v>0</v>
      </c>
    </row>
    <row r="3519" spans="1:11" x14ac:dyDescent="0.2">
      <c r="A3519">
        <v>2655</v>
      </c>
      <c r="B3519">
        <v>131120</v>
      </c>
      <c r="C3519" t="s">
        <v>7085</v>
      </c>
      <c r="D3519">
        <v>6</v>
      </c>
      <c r="E3519">
        <v>1</v>
      </c>
      <c r="F3519">
        <v>0</v>
      </c>
      <c r="G3519">
        <v>0</v>
      </c>
      <c r="H3519">
        <v>84</v>
      </c>
      <c r="I3519">
        <v>0</v>
      </c>
      <c r="J3519">
        <v>12.99</v>
      </c>
      <c r="K3519">
        <v>0</v>
      </c>
    </row>
    <row r="3520" spans="1:11" x14ac:dyDescent="0.2">
      <c r="A3520">
        <v>93395</v>
      </c>
      <c r="B3520">
        <v>131123</v>
      </c>
      <c r="C3520" t="s">
        <v>7086</v>
      </c>
      <c r="D3520">
        <v>10</v>
      </c>
      <c r="E3520">
        <v>20</v>
      </c>
      <c r="F3520">
        <v>160</v>
      </c>
      <c r="G3520">
        <v>3200</v>
      </c>
      <c r="H3520">
        <v>40</v>
      </c>
      <c r="I3520">
        <v>4</v>
      </c>
      <c r="J3520">
        <v>0.89</v>
      </c>
      <c r="K3520">
        <v>2848</v>
      </c>
    </row>
    <row r="3521" spans="1:11" x14ac:dyDescent="0.2">
      <c r="A3521">
        <v>93396</v>
      </c>
      <c r="B3521">
        <v>131124</v>
      </c>
      <c r="C3521" t="s">
        <v>7087</v>
      </c>
      <c r="D3521">
        <v>10</v>
      </c>
      <c r="E3521">
        <v>15</v>
      </c>
      <c r="F3521">
        <v>680</v>
      </c>
      <c r="G3521">
        <v>10200</v>
      </c>
      <c r="H3521">
        <v>40</v>
      </c>
      <c r="I3521">
        <v>17</v>
      </c>
      <c r="J3521">
        <v>0.89</v>
      </c>
      <c r="K3521">
        <v>9078</v>
      </c>
    </row>
    <row r="3522" spans="1:11" x14ac:dyDescent="0.2">
      <c r="A3522">
        <v>72206</v>
      </c>
      <c r="B3522">
        <v>131178</v>
      </c>
      <c r="C3522" t="s">
        <v>7088</v>
      </c>
      <c r="D3522">
        <v>8</v>
      </c>
      <c r="E3522">
        <v>10</v>
      </c>
      <c r="F3522">
        <v>154</v>
      </c>
      <c r="G3522">
        <v>1536</v>
      </c>
      <c r="H3522">
        <v>64</v>
      </c>
      <c r="I3522">
        <v>2.4</v>
      </c>
      <c r="J3522">
        <v>2.69</v>
      </c>
      <c r="K3522">
        <v>4131.84</v>
      </c>
    </row>
    <row r="3523" spans="1:11" x14ac:dyDescent="0.2">
      <c r="A3523">
        <v>93397</v>
      </c>
      <c r="B3523">
        <v>131217</v>
      </c>
      <c r="C3523" t="s">
        <v>7089</v>
      </c>
      <c r="D3523">
        <v>10</v>
      </c>
      <c r="E3523">
        <v>16</v>
      </c>
      <c r="F3523">
        <v>160</v>
      </c>
      <c r="G3523">
        <v>2560</v>
      </c>
      <c r="H3523">
        <v>40</v>
      </c>
      <c r="I3523">
        <v>4</v>
      </c>
      <c r="J3523">
        <v>1.99</v>
      </c>
      <c r="K3523">
        <v>5094.3999999999996</v>
      </c>
    </row>
    <row r="3524" spans="1:11" x14ac:dyDescent="0.2">
      <c r="A3524">
        <v>93398</v>
      </c>
      <c r="B3524">
        <v>131234</v>
      </c>
      <c r="C3524" t="s">
        <v>7090</v>
      </c>
      <c r="D3524">
        <v>10</v>
      </c>
      <c r="E3524">
        <v>12</v>
      </c>
      <c r="F3524">
        <v>192</v>
      </c>
      <c r="G3524">
        <v>2304</v>
      </c>
      <c r="H3524">
        <v>48</v>
      </c>
      <c r="I3524">
        <v>4</v>
      </c>
      <c r="J3524">
        <v>2.99</v>
      </c>
      <c r="K3524">
        <v>6888.96</v>
      </c>
    </row>
    <row r="3525" spans="1:11" x14ac:dyDescent="0.2">
      <c r="A3525">
        <v>93399</v>
      </c>
      <c r="B3525">
        <v>131235</v>
      </c>
      <c r="C3525" t="s">
        <v>7091</v>
      </c>
      <c r="D3525">
        <v>10</v>
      </c>
      <c r="E3525">
        <v>12</v>
      </c>
      <c r="F3525">
        <v>336</v>
      </c>
      <c r="G3525">
        <v>4032</v>
      </c>
      <c r="H3525">
        <v>56</v>
      </c>
      <c r="I3525">
        <v>6</v>
      </c>
      <c r="J3525">
        <v>0.99</v>
      </c>
      <c r="K3525">
        <v>3991.68</v>
      </c>
    </row>
    <row r="3526" spans="1:11" x14ac:dyDescent="0.2">
      <c r="A3526">
        <v>93401</v>
      </c>
      <c r="B3526">
        <v>131237</v>
      </c>
      <c r="C3526" t="s">
        <v>7092</v>
      </c>
      <c r="D3526">
        <v>10</v>
      </c>
      <c r="E3526">
        <v>9</v>
      </c>
      <c r="F3526">
        <v>336</v>
      </c>
      <c r="G3526">
        <v>3024</v>
      </c>
      <c r="H3526">
        <v>56</v>
      </c>
      <c r="I3526">
        <v>6</v>
      </c>
      <c r="J3526">
        <v>1.59</v>
      </c>
      <c r="K3526">
        <v>4808.16</v>
      </c>
    </row>
    <row r="3527" spans="1:11" x14ac:dyDescent="0.2">
      <c r="A3527">
        <v>93402</v>
      </c>
      <c r="B3527">
        <v>131241</v>
      </c>
      <c r="C3527" t="s">
        <v>7093</v>
      </c>
      <c r="D3527">
        <v>10</v>
      </c>
      <c r="E3527">
        <v>12</v>
      </c>
      <c r="F3527">
        <v>224</v>
      </c>
      <c r="G3527">
        <v>2688</v>
      </c>
      <c r="H3527">
        <v>56</v>
      </c>
      <c r="I3527">
        <v>4</v>
      </c>
      <c r="J3527">
        <v>2.4900000000000002</v>
      </c>
      <c r="K3527">
        <v>6693.12</v>
      </c>
    </row>
    <row r="3528" spans="1:11" x14ac:dyDescent="0.2">
      <c r="A3528">
        <v>93363</v>
      </c>
      <c r="B3528">
        <v>131268</v>
      </c>
      <c r="C3528" t="s">
        <v>7094</v>
      </c>
      <c r="D3528">
        <v>10</v>
      </c>
      <c r="E3528">
        <v>12</v>
      </c>
      <c r="F3528">
        <v>0</v>
      </c>
      <c r="G3528">
        <v>0</v>
      </c>
      <c r="H3528">
        <v>12</v>
      </c>
      <c r="I3528">
        <v>0</v>
      </c>
      <c r="J3528">
        <v>13.99</v>
      </c>
      <c r="K3528">
        <v>0</v>
      </c>
    </row>
    <row r="3529" spans="1:11" x14ac:dyDescent="0.2">
      <c r="A3529">
        <v>93375</v>
      </c>
      <c r="B3529">
        <v>131271</v>
      </c>
      <c r="C3529" t="s">
        <v>7095</v>
      </c>
      <c r="D3529">
        <v>6</v>
      </c>
      <c r="E3529">
        <v>13</v>
      </c>
      <c r="F3529">
        <v>0</v>
      </c>
      <c r="G3529">
        <v>0</v>
      </c>
      <c r="H3529">
        <v>16</v>
      </c>
      <c r="I3529">
        <v>0</v>
      </c>
      <c r="J3529">
        <v>6.99</v>
      </c>
      <c r="K3529">
        <v>0</v>
      </c>
    </row>
    <row r="3530" spans="1:11" x14ac:dyDescent="0.2">
      <c r="A3530">
        <v>93380</v>
      </c>
      <c r="B3530">
        <v>131273</v>
      </c>
      <c r="C3530" t="s">
        <v>7096</v>
      </c>
      <c r="D3530">
        <v>10</v>
      </c>
      <c r="E3530">
        <v>24</v>
      </c>
      <c r="F3530">
        <v>-2</v>
      </c>
      <c r="G3530">
        <v>-48</v>
      </c>
      <c r="H3530">
        <v>48</v>
      </c>
      <c r="I3530">
        <v>0</v>
      </c>
      <c r="J3530">
        <v>3.99</v>
      </c>
      <c r="K3530">
        <v>-191.52</v>
      </c>
    </row>
    <row r="3531" spans="1:11" x14ac:dyDescent="0.2">
      <c r="A3531">
        <v>93332</v>
      </c>
      <c r="B3531">
        <v>131274</v>
      </c>
      <c r="C3531" t="s">
        <v>7097</v>
      </c>
      <c r="D3531">
        <v>10</v>
      </c>
      <c r="E3531">
        <v>16</v>
      </c>
      <c r="F3531">
        <v>1</v>
      </c>
      <c r="G3531">
        <v>16</v>
      </c>
      <c r="H3531">
        <v>28</v>
      </c>
      <c r="I3531">
        <v>0</v>
      </c>
      <c r="J3531">
        <v>1.99</v>
      </c>
      <c r="K3531">
        <v>31.84</v>
      </c>
    </row>
    <row r="3532" spans="1:11" x14ac:dyDescent="0.2">
      <c r="A3532">
        <v>93370</v>
      </c>
      <c r="B3532">
        <v>131276</v>
      </c>
      <c r="C3532" t="s">
        <v>7098</v>
      </c>
      <c r="D3532">
        <v>10</v>
      </c>
      <c r="E3532">
        <v>11</v>
      </c>
      <c r="F3532">
        <v>0</v>
      </c>
      <c r="G3532">
        <v>0</v>
      </c>
      <c r="H3532">
        <v>11</v>
      </c>
      <c r="I3532">
        <v>0</v>
      </c>
      <c r="J3532">
        <v>14.99</v>
      </c>
      <c r="K3532">
        <v>0</v>
      </c>
    </row>
    <row r="3533" spans="1:11" x14ac:dyDescent="0.2">
      <c r="A3533">
        <v>99149</v>
      </c>
      <c r="B3533">
        <v>131314</v>
      </c>
      <c r="C3533" t="s">
        <v>6754</v>
      </c>
      <c r="D3533">
        <v>6</v>
      </c>
      <c r="E3533">
        <v>16</v>
      </c>
      <c r="F3533">
        <v>0</v>
      </c>
      <c r="G3533">
        <v>0</v>
      </c>
      <c r="H3533">
        <v>84</v>
      </c>
      <c r="I3533">
        <v>0</v>
      </c>
      <c r="J3533">
        <v>1.99</v>
      </c>
      <c r="K3533">
        <v>0</v>
      </c>
    </row>
    <row r="3534" spans="1:11" x14ac:dyDescent="0.2">
      <c r="A3534">
        <v>76100</v>
      </c>
      <c r="B3534">
        <v>131355</v>
      </c>
      <c r="C3534" t="s">
        <v>7099</v>
      </c>
      <c r="D3534">
        <v>8</v>
      </c>
      <c r="E3534">
        <v>12</v>
      </c>
      <c r="F3534">
        <v>154</v>
      </c>
      <c r="G3534">
        <v>1848</v>
      </c>
      <c r="H3534">
        <v>42</v>
      </c>
      <c r="I3534">
        <v>3.7</v>
      </c>
      <c r="J3534">
        <v>2.69</v>
      </c>
      <c r="K3534">
        <v>4971.12</v>
      </c>
    </row>
    <row r="3535" spans="1:11" x14ac:dyDescent="0.2">
      <c r="A3535">
        <v>82190</v>
      </c>
      <c r="B3535">
        <v>131393</v>
      </c>
      <c r="C3535" t="s">
        <v>7100</v>
      </c>
      <c r="D3535">
        <v>8</v>
      </c>
      <c r="E3535">
        <v>8</v>
      </c>
      <c r="F3535">
        <v>320</v>
      </c>
      <c r="G3535">
        <v>2560</v>
      </c>
      <c r="H3535">
        <v>108</v>
      </c>
      <c r="I3535">
        <v>3</v>
      </c>
      <c r="J3535">
        <v>1.79</v>
      </c>
      <c r="K3535">
        <v>4582.3999999999996</v>
      </c>
    </row>
    <row r="3536" spans="1:11" x14ac:dyDescent="0.2">
      <c r="A3536">
        <v>99129</v>
      </c>
      <c r="B3536">
        <v>131416</v>
      </c>
      <c r="C3536" t="s">
        <v>5867</v>
      </c>
      <c r="D3536">
        <v>10</v>
      </c>
      <c r="E3536">
        <v>6</v>
      </c>
      <c r="F3536">
        <v>0</v>
      </c>
      <c r="G3536">
        <v>0</v>
      </c>
      <c r="H3536">
        <v>168</v>
      </c>
      <c r="I3536">
        <v>0</v>
      </c>
      <c r="J3536">
        <v>2.79</v>
      </c>
      <c r="K3536">
        <v>0</v>
      </c>
    </row>
    <row r="3537" spans="1:11" x14ac:dyDescent="0.2">
      <c r="A3537">
        <v>99825</v>
      </c>
      <c r="B3537">
        <v>131426</v>
      </c>
      <c r="C3537" t="s">
        <v>7101</v>
      </c>
      <c r="D3537">
        <v>10</v>
      </c>
      <c r="E3537">
        <v>12</v>
      </c>
      <c r="F3537">
        <v>0</v>
      </c>
      <c r="G3537">
        <v>0</v>
      </c>
      <c r="H3537">
        <v>72</v>
      </c>
      <c r="I3537">
        <v>0</v>
      </c>
      <c r="J3537">
        <v>1.99</v>
      </c>
      <c r="K3537">
        <v>0</v>
      </c>
    </row>
    <row r="3538" spans="1:11" x14ac:dyDescent="0.2">
      <c r="A3538">
        <v>99709</v>
      </c>
      <c r="B3538">
        <v>131427</v>
      </c>
      <c r="C3538" t="s">
        <v>7102</v>
      </c>
      <c r="D3538">
        <v>10</v>
      </c>
      <c r="E3538">
        <v>12</v>
      </c>
      <c r="F3538">
        <v>0</v>
      </c>
      <c r="G3538">
        <v>0</v>
      </c>
      <c r="H3538">
        <v>72</v>
      </c>
      <c r="I3538">
        <v>0</v>
      </c>
      <c r="J3538">
        <v>1.99</v>
      </c>
      <c r="K3538">
        <v>0</v>
      </c>
    </row>
    <row r="3539" spans="1:11" x14ac:dyDescent="0.2">
      <c r="A3539">
        <v>69016</v>
      </c>
      <c r="B3539">
        <v>131497</v>
      </c>
      <c r="C3539" t="s">
        <v>6727</v>
      </c>
      <c r="D3539">
        <v>8</v>
      </c>
      <c r="E3539">
        <v>24</v>
      </c>
      <c r="F3539">
        <v>40</v>
      </c>
      <c r="G3539">
        <v>960</v>
      </c>
      <c r="H3539">
        <v>72</v>
      </c>
      <c r="I3539">
        <v>0.6</v>
      </c>
      <c r="J3539">
        <v>2.99</v>
      </c>
      <c r="K3539">
        <v>2870.4</v>
      </c>
    </row>
    <row r="3540" spans="1:11" x14ac:dyDescent="0.2">
      <c r="A3540">
        <v>48606</v>
      </c>
      <c r="B3540">
        <v>131593</v>
      </c>
      <c r="C3540" t="s">
        <v>7103</v>
      </c>
      <c r="D3540">
        <v>10</v>
      </c>
      <c r="E3540">
        <v>20</v>
      </c>
      <c r="F3540">
        <v>0</v>
      </c>
      <c r="G3540">
        <v>0</v>
      </c>
      <c r="H3540">
        <v>80</v>
      </c>
      <c r="I3540">
        <v>0</v>
      </c>
      <c r="J3540">
        <v>2.99</v>
      </c>
      <c r="K3540">
        <v>0</v>
      </c>
    </row>
    <row r="3541" spans="1:11" x14ac:dyDescent="0.2">
      <c r="B3541">
        <v>131620</v>
      </c>
      <c r="C3541" t="s">
        <v>7104</v>
      </c>
      <c r="D3541">
        <v>10</v>
      </c>
      <c r="E3541">
        <v>12</v>
      </c>
      <c r="F3541">
        <v>8</v>
      </c>
      <c r="G3541">
        <v>96</v>
      </c>
      <c r="H3541">
        <v>32</v>
      </c>
      <c r="I3541">
        <v>0.3</v>
      </c>
      <c r="J3541">
        <v>2.39</v>
      </c>
      <c r="K3541">
        <v>229.44</v>
      </c>
    </row>
    <row r="3542" spans="1:11" x14ac:dyDescent="0.2">
      <c r="A3542">
        <v>73215</v>
      </c>
      <c r="B3542">
        <v>131622</v>
      </c>
      <c r="C3542" t="s">
        <v>7105</v>
      </c>
      <c r="D3542">
        <v>8</v>
      </c>
      <c r="E3542">
        <v>4</v>
      </c>
      <c r="F3542">
        <v>1128</v>
      </c>
      <c r="G3542">
        <v>4512</v>
      </c>
      <c r="H3542">
        <v>135</v>
      </c>
      <c r="I3542">
        <v>8.4</v>
      </c>
      <c r="J3542">
        <v>2.85</v>
      </c>
      <c r="K3542">
        <v>12859.2</v>
      </c>
    </row>
    <row r="3543" spans="1:11" x14ac:dyDescent="0.2">
      <c r="A3543">
        <v>73204</v>
      </c>
      <c r="B3543">
        <v>131624</v>
      </c>
      <c r="C3543" t="s">
        <v>7106</v>
      </c>
      <c r="D3543">
        <v>8</v>
      </c>
      <c r="E3543">
        <v>4</v>
      </c>
      <c r="F3543">
        <v>888</v>
      </c>
      <c r="G3543">
        <v>3552</v>
      </c>
      <c r="H3543">
        <v>135</v>
      </c>
      <c r="I3543">
        <v>6.6</v>
      </c>
      <c r="J3543">
        <v>2.85</v>
      </c>
      <c r="K3543">
        <v>10123.200000000001</v>
      </c>
    </row>
    <row r="3544" spans="1:11" x14ac:dyDescent="0.2">
      <c r="A3544">
        <v>73208</v>
      </c>
      <c r="B3544">
        <v>131627</v>
      </c>
      <c r="C3544" t="s">
        <v>7107</v>
      </c>
      <c r="D3544">
        <v>8</v>
      </c>
      <c r="E3544">
        <v>4</v>
      </c>
      <c r="F3544">
        <v>313</v>
      </c>
      <c r="G3544">
        <v>1252</v>
      </c>
      <c r="H3544">
        <v>135</v>
      </c>
      <c r="I3544">
        <v>2.2999999999999998</v>
      </c>
      <c r="J3544">
        <v>2.85</v>
      </c>
      <c r="K3544">
        <v>3568.2</v>
      </c>
    </row>
    <row r="3545" spans="1:11" x14ac:dyDescent="0.2">
      <c r="B3545">
        <v>131628</v>
      </c>
      <c r="C3545" t="s">
        <v>7108</v>
      </c>
      <c r="D3545">
        <v>11</v>
      </c>
      <c r="E3545">
        <v>4</v>
      </c>
      <c r="F3545">
        <v>0</v>
      </c>
      <c r="G3545">
        <v>0</v>
      </c>
      <c r="H3545">
        <v>135</v>
      </c>
      <c r="I3545">
        <v>0</v>
      </c>
      <c r="J3545">
        <v>2.85</v>
      </c>
      <c r="K3545">
        <v>0</v>
      </c>
    </row>
    <row r="3546" spans="1:11" x14ac:dyDescent="0.2">
      <c r="B3546">
        <v>131750</v>
      </c>
      <c r="C3546" t="s">
        <v>7109</v>
      </c>
      <c r="D3546">
        <v>12</v>
      </c>
      <c r="E3546">
        <v>10</v>
      </c>
      <c r="F3546">
        <v>0</v>
      </c>
      <c r="G3546">
        <v>0</v>
      </c>
      <c r="H3546">
        <v>100</v>
      </c>
      <c r="I3546">
        <v>0</v>
      </c>
      <c r="J3546">
        <v>2.99</v>
      </c>
      <c r="K3546">
        <v>0</v>
      </c>
    </row>
    <row r="3547" spans="1:11" x14ac:dyDescent="0.2">
      <c r="A3547">
        <v>93094</v>
      </c>
      <c r="B3547">
        <v>131754</v>
      </c>
      <c r="C3547" t="s">
        <v>7110</v>
      </c>
      <c r="D3547">
        <v>10</v>
      </c>
      <c r="E3547">
        <v>8</v>
      </c>
      <c r="F3547">
        <v>0</v>
      </c>
      <c r="G3547">
        <v>0</v>
      </c>
      <c r="H3547">
        <v>32</v>
      </c>
      <c r="I3547">
        <v>0</v>
      </c>
      <c r="J3547">
        <v>2.99</v>
      </c>
      <c r="K3547">
        <v>0</v>
      </c>
    </row>
    <row r="3548" spans="1:11" x14ac:dyDescent="0.2">
      <c r="B3548">
        <v>131776</v>
      </c>
      <c r="C3548" t="s">
        <v>7111</v>
      </c>
      <c r="D3548">
        <v>11</v>
      </c>
      <c r="E3548">
        <v>12</v>
      </c>
      <c r="F3548">
        <v>0</v>
      </c>
      <c r="G3548">
        <v>0</v>
      </c>
      <c r="H3548">
        <v>132</v>
      </c>
      <c r="I3548">
        <v>0</v>
      </c>
      <c r="J3548">
        <v>1.29</v>
      </c>
      <c r="K3548">
        <v>0</v>
      </c>
    </row>
    <row r="3549" spans="1:11" x14ac:dyDescent="0.2">
      <c r="A3549">
        <v>99206</v>
      </c>
      <c r="B3549">
        <v>131785</v>
      </c>
      <c r="C3549" t="s">
        <v>7112</v>
      </c>
      <c r="D3549">
        <v>10</v>
      </c>
      <c r="E3549">
        <v>12</v>
      </c>
      <c r="F3549">
        <v>0</v>
      </c>
      <c r="G3549">
        <v>0</v>
      </c>
      <c r="H3549">
        <v>77</v>
      </c>
      <c r="I3549">
        <v>0</v>
      </c>
      <c r="J3549">
        <v>2.69</v>
      </c>
      <c r="K3549">
        <v>0</v>
      </c>
    </row>
    <row r="3550" spans="1:11" x14ac:dyDescent="0.2">
      <c r="A3550">
        <v>57583</v>
      </c>
      <c r="B3550">
        <v>131786</v>
      </c>
      <c r="C3550" t="s">
        <v>7113</v>
      </c>
      <c r="D3550">
        <v>10</v>
      </c>
      <c r="E3550">
        <v>18</v>
      </c>
      <c r="F3550">
        <v>2</v>
      </c>
      <c r="G3550">
        <v>29</v>
      </c>
      <c r="H3550">
        <v>72</v>
      </c>
      <c r="I3550">
        <v>0</v>
      </c>
      <c r="J3550">
        <v>1</v>
      </c>
      <c r="K3550">
        <v>29</v>
      </c>
    </row>
    <row r="3551" spans="1:11" x14ac:dyDescent="0.2">
      <c r="B3551">
        <v>131826</v>
      </c>
      <c r="C3551" t="s">
        <v>7114</v>
      </c>
      <c r="D3551">
        <v>11</v>
      </c>
      <c r="E3551">
        <v>12</v>
      </c>
      <c r="F3551">
        <v>1</v>
      </c>
      <c r="G3551">
        <v>12</v>
      </c>
      <c r="H3551">
        <v>88</v>
      </c>
      <c r="I3551">
        <v>0</v>
      </c>
      <c r="J3551">
        <v>0.99</v>
      </c>
      <c r="K3551">
        <v>11.88</v>
      </c>
    </row>
    <row r="3552" spans="1:11" x14ac:dyDescent="0.2">
      <c r="B3552">
        <v>131826</v>
      </c>
      <c r="C3552" t="s">
        <v>7114</v>
      </c>
      <c r="D3552">
        <v>12</v>
      </c>
      <c r="E3552">
        <v>15</v>
      </c>
      <c r="F3552">
        <v>-1</v>
      </c>
      <c r="G3552">
        <v>-12</v>
      </c>
      <c r="H3552">
        <v>104</v>
      </c>
      <c r="I3552">
        <v>0</v>
      </c>
      <c r="J3552">
        <v>0.99</v>
      </c>
      <c r="K3552">
        <v>-11.88</v>
      </c>
    </row>
    <row r="3553" spans="1:11" x14ac:dyDescent="0.2">
      <c r="A3553">
        <v>86070</v>
      </c>
      <c r="B3553">
        <v>131910</v>
      </c>
      <c r="C3553" t="s">
        <v>7115</v>
      </c>
      <c r="D3553">
        <v>10</v>
      </c>
      <c r="E3553">
        <v>40</v>
      </c>
      <c r="F3553">
        <v>0</v>
      </c>
      <c r="G3553">
        <v>0</v>
      </c>
      <c r="H3553">
        <v>108</v>
      </c>
      <c r="I3553">
        <v>0</v>
      </c>
      <c r="J3553">
        <v>1.19</v>
      </c>
      <c r="K3553">
        <v>0</v>
      </c>
    </row>
    <row r="3554" spans="1:11" x14ac:dyDescent="0.2">
      <c r="A3554">
        <v>65170</v>
      </c>
      <c r="B3554">
        <v>131930</v>
      </c>
      <c r="C3554" t="s">
        <v>7116</v>
      </c>
      <c r="D3554">
        <v>8</v>
      </c>
      <c r="E3554">
        <v>24</v>
      </c>
      <c r="F3554">
        <v>148</v>
      </c>
      <c r="G3554">
        <v>3552</v>
      </c>
      <c r="H3554">
        <v>64</v>
      </c>
      <c r="I3554">
        <v>2.2999999999999998</v>
      </c>
      <c r="J3554">
        <v>3.25</v>
      </c>
      <c r="K3554">
        <v>11544</v>
      </c>
    </row>
    <row r="3555" spans="1:11" x14ac:dyDescent="0.2">
      <c r="B3555">
        <v>131931</v>
      </c>
      <c r="C3555" t="s">
        <v>5285</v>
      </c>
      <c r="D3555">
        <v>11</v>
      </c>
      <c r="E3555">
        <v>28</v>
      </c>
      <c r="F3555">
        <v>0</v>
      </c>
      <c r="G3555">
        <v>0</v>
      </c>
      <c r="H3555">
        <v>252</v>
      </c>
      <c r="I3555">
        <v>0</v>
      </c>
      <c r="J3555">
        <v>0.59</v>
      </c>
      <c r="K3555">
        <v>0</v>
      </c>
    </row>
    <row r="3556" spans="1:11" x14ac:dyDescent="0.2">
      <c r="A3556">
        <v>99107</v>
      </c>
      <c r="B3556">
        <v>131989</v>
      </c>
      <c r="C3556" t="s">
        <v>7117</v>
      </c>
      <c r="D3556">
        <v>10</v>
      </c>
      <c r="E3556">
        <v>12</v>
      </c>
      <c r="F3556">
        <v>0</v>
      </c>
      <c r="G3556">
        <v>0</v>
      </c>
      <c r="H3556">
        <v>77</v>
      </c>
      <c r="I3556">
        <v>0</v>
      </c>
      <c r="J3556">
        <v>2</v>
      </c>
      <c r="K3556">
        <v>0</v>
      </c>
    </row>
    <row r="3557" spans="1:11" x14ac:dyDescent="0.2">
      <c r="A3557">
        <v>76191</v>
      </c>
      <c r="B3557">
        <v>132041</v>
      </c>
      <c r="C3557" t="s">
        <v>7118</v>
      </c>
      <c r="D3557">
        <v>8</v>
      </c>
      <c r="E3557">
        <v>12</v>
      </c>
      <c r="F3557">
        <v>137</v>
      </c>
      <c r="G3557">
        <v>1644</v>
      </c>
      <c r="H3557">
        <v>48</v>
      </c>
      <c r="I3557">
        <v>2.9</v>
      </c>
      <c r="J3557">
        <v>1.62</v>
      </c>
      <c r="K3557">
        <v>2663.28</v>
      </c>
    </row>
    <row r="3558" spans="1:11" x14ac:dyDescent="0.2">
      <c r="B3558">
        <v>132057</v>
      </c>
      <c r="C3558" t="s">
        <v>7119</v>
      </c>
      <c r="D3558">
        <v>11</v>
      </c>
      <c r="E3558">
        <v>12</v>
      </c>
      <c r="F3558">
        <v>0</v>
      </c>
      <c r="G3558">
        <v>0</v>
      </c>
      <c r="H3558">
        <v>312</v>
      </c>
      <c r="I3558">
        <v>0</v>
      </c>
      <c r="J3558">
        <v>1.69</v>
      </c>
      <c r="K3558">
        <v>0</v>
      </c>
    </row>
    <row r="3559" spans="1:11" x14ac:dyDescent="0.2">
      <c r="A3559">
        <v>86054</v>
      </c>
      <c r="B3559">
        <v>132114</v>
      </c>
      <c r="C3559" t="s">
        <v>7120</v>
      </c>
      <c r="D3559">
        <v>8</v>
      </c>
      <c r="E3559">
        <v>36</v>
      </c>
      <c r="F3559">
        <v>0</v>
      </c>
      <c r="G3559">
        <v>0</v>
      </c>
      <c r="H3559">
        <v>80</v>
      </c>
      <c r="I3559">
        <v>0</v>
      </c>
      <c r="J3559">
        <v>0.99</v>
      </c>
      <c r="K3559">
        <v>0</v>
      </c>
    </row>
    <row r="3560" spans="1:11" x14ac:dyDescent="0.2">
      <c r="A3560">
        <v>31510</v>
      </c>
      <c r="B3560">
        <v>132228</v>
      </c>
      <c r="C3560" t="s">
        <v>7121</v>
      </c>
      <c r="D3560">
        <v>10</v>
      </c>
      <c r="E3560">
        <v>12</v>
      </c>
      <c r="F3560">
        <v>0</v>
      </c>
      <c r="G3560">
        <v>0</v>
      </c>
      <c r="H3560">
        <v>120</v>
      </c>
      <c r="I3560">
        <v>0</v>
      </c>
      <c r="J3560">
        <v>1.69</v>
      </c>
      <c r="K3560">
        <v>0</v>
      </c>
    </row>
    <row r="3561" spans="1:11" x14ac:dyDescent="0.2">
      <c r="A3561">
        <v>48508</v>
      </c>
      <c r="B3561">
        <v>132231</v>
      </c>
      <c r="C3561" t="s">
        <v>7122</v>
      </c>
      <c r="D3561">
        <v>10</v>
      </c>
      <c r="E3561">
        <v>6</v>
      </c>
      <c r="F3561">
        <v>0</v>
      </c>
      <c r="G3561">
        <v>0</v>
      </c>
      <c r="H3561">
        <v>90</v>
      </c>
      <c r="I3561">
        <v>0</v>
      </c>
      <c r="J3561">
        <v>2.99</v>
      </c>
      <c r="K3561">
        <v>0</v>
      </c>
    </row>
    <row r="3562" spans="1:11" x14ac:dyDescent="0.2">
      <c r="A3562">
        <v>70166</v>
      </c>
      <c r="B3562">
        <v>132312</v>
      </c>
      <c r="C3562" t="s">
        <v>7123</v>
      </c>
      <c r="D3562">
        <v>8</v>
      </c>
      <c r="E3562">
        <v>24</v>
      </c>
      <c r="F3562">
        <v>309</v>
      </c>
      <c r="G3562">
        <v>7416</v>
      </c>
      <c r="H3562">
        <v>200</v>
      </c>
      <c r="I3562">
        <v>1.5</v>
      </c>
      <c r="J3562">
        <v>0.69</v>
      </c>
      <c r="K3562">
        <v>5117.04</v>
      </c>
    </row>
    <row r="3563" spans="1:11" x14ac:dyDescent="0.2">
      <c r="B3563">
        <v>132387</v>
      </c>
      <c r="C3563" t="s">
        <v>7124</v>
      </c>
      <c r="D3563">
        <v>11</v>
      </c>
      <c r="E3563">
        <v>6</v>
      </c>
      <c r="F3563">
        <v>0</v>
      </c>
      <c r="G3563">
        <v>0</v>
      </c>
      <c r="H3563">
        <v>84</v>
      </c>
      <c r="I3563">
        <v>0</v>
      </c>
      <c r="J3563">
        <v>4</v>
      </c>
      <c r="K3563">
        <v>0</v>
      </c>
    </row>
    <row r="3564" spans="1:11" x14ac:dyDescent="0.2">
      <c r="A3564">
        <v>57387</v>
      </c>
      <c r="B3564">
        <v>132391</v>
      </c>
      <c r="C3564" t="s">
        <v>7125</v>
      </c>
      <c r="D3564">
        <v>10</v>
      </c>
      <c r="E3564">
        <v>18</v>
      </c>
      <c r="F3564">
        <v>0</v>
      </c>
      <c r="G3564">
        <v>0</v>
      </c>
      <c r="H3564">
        <v>63</v>
      </c>
      <c r="I3564">
        <v>0</v>
      </c>
      <c r="J3564">
        <v>0.9</v>
      </c>
      <c r="K3564">
        <v>0</v>
      </c>
    </row>
    <row r="3565" spans="1:11" x14ac:dyDescent="0.2">
      <c r="A3565">
        <v>99745</v>
      </c>
      <c r="B3565">
        <v>132567</v>
      </c>
      <c r="C3565" t="s">
        <v>7126</v>
      </c>
      <c r="D3565">
        <v>10</v>
      </c>
      <c r="E3565">
        <v>12</v>
      </c>
      <c r="F3565">
        <v>0</v>
      </c>
      <c r="G3565">
        <v>0</v>
      </c>
      <c r="H3565">
        <v>84</v>
      </c>
      <c r="I3565">
        <v>0</v>
      </c>
      <c r="J3565">
        <v>1.79</v>
      </c>
      <c r="K3565">
        <v>0</v>
      </c>
    </row>
    <row r="3566" spans="1:11" x14ac:dyDescent="0.2">
      <c r="B3566">
        <v>132569</v>
      </c>
      <c r="C3566" t="s">
        <v>7127</v>
      </c>
      <c r="D3566">
        <v>11</v>
      </c>
      <c r="E3566">
        <v>1</v>
      </c>
      <c r="F3566">
        <v>0</v>
      </c>
      <c r="G3566">
        <v>0</v>
      </c>
      <c r="H3566">
        <v>225</v>
      </c>
      <c r="I3566">
        <v>0</v>
      </c>
      <c r="J3566">
        <v>2.19</v>
      </c>
      <c r="K3566">
        <v>0</v>
      </c>
    </row>
    <row r="3567" spans="1:11" x14ac:dyDescent="0.2">
      <c r="B3567">
        <v>132608</v>
      </c>
      <c r="C3567" t="s">
        <v>7128</v>
      </c>
      <c r="D3567">
        <v>11</v>
      </c>
      <c r="E3567">
        <v>45</v>
      </c>
      <c r="F3567">
        <v>0</v>
      </c>
      <c r="G3567">
        <v>0</v>
      </c>
      <c r="H3567">
        <v>64</v>
      </c>
      <c r="I3567">
        <v>0</v>
      </c>
      <c r="J3567">
        <v>1.99</v>
      </c>
      <c r="K3567">
        <v>0</v>
      </c>
    </row>
    <row r="3568" spans="1:11" x14ac:dyDescent="0.2">
      <c r="A3568">
        <v>70247</v>
      </c>
      <c r="B3568">
        <v>132609</v>
      </c>
      <c r="C3568" t="s">
        <v>7129</v>
      </c>
      <c r="D3568">
        <v>9</v>
      </c>
      <c r="E3568">
        <v>20</v>
      </c>
      <c r="F3568">
        <v>82</v>
      </c>
      <c r="G3568">
        <v>1640</v>
      </c>
      <c r="H3568">
        <v>128</v>
      </c>
      <c r="I3568">
        <v>0.6</v>
      </c>
      <c r="J3568">
        <v>1.99</v>
      </c>
      <c r="K3568">
        <v>3263.6</v>
      </c>
    </row>
    <row r="3569" spans="1:11" x14ac:dyDescent="0.2">
      <c r="A3569">
        <v>99161</v>
      </c>
      <c r="B3569">
        <v>132627</v>
      </c>
      <c r="C3569" t="s">
        <v>7130</v>
      </c>
      <c r="D3569">
        <v>11</v>
      </c>
      <c r="E3569">
        <v>20</v>
      </c>
      <c r="F3569">
        <v>0</v>
      </c>
      <c r="G3569">
        <v>0</v>
      </c>
      <c r="H3569">
        <v>72</v>
      </c>
      <c r="I3569">
        <v>0</v>
      </c>
      <c r="J3569">
        <v>1.99</v>
      </c>
      <c r="K3569">
        <v>0</v>
      </c>
    </row>
    <row r="3570" spans="1:11" x14ac:dyDescent="0.2">
      <c r="A3570">
        <v>69001</v>
      </c>
      <c r="B3570">
        <v>132650</v>
      </c>
      <c r="C3570" t="s">
        <v>7131</v>
      </c>
      <c r="D3570">
        <v>8</v>
      </c>
      <c r="E3570">
        <v>24</v>
      </c>
      <c r="F3570">
        <v>226</v>
      </c>
      <c r="G3570">
        <v>5424</v>
      </c>
      <c r="H3570">
        <v>56</v>
      </c>
      <c r="I3570">
        <v>4</v>
      </c>
      <c r="J3570">
        <v>1.29</v>
      </c>
      <c r="K3570">
        <v>6996.96</v>
      </c>
    </row>
    <row r="3571" spans="1:11" x14ac:dyDescent="0.2">
      <c r="A3571">
        <v>66241</v>
      </c>
      <c r="B3571">
        <v>132674</v>
      </c>
      <c r="C3571" t="s">
        <v>7132</v>
      </c>
      <c r="D3571">
        <v>6</v>
      </c>
      <c r="E3571">
        <v>10</v>
      </c>
      <c r="F3571">
        <v>840</v>
      </c>
      <c r="G3571">
        <v>8400</v>
      </c>
      <c r="H3571">
        <v>72</v>
      </c>
      <c r="I3571">
        <v>11.7</v>
      </c>
      <c r="J3571">
        <v>0.99</v>
      </c>
      <c r="K3571">
        <v>8316</v>
      </c>
    </row>
    <row r="3572" spans="1:11" x14ac:dyDescent="0.2">
      <c r="A3572">
        <v>61083</v>
      </c>
      <c r="B3572">
        <v>132682</v>
      </c>
      <c r="C3572" t="s">
        <v>7133</v>
      </c>
      <c r="D3572">
        <v>8</v>
      </c>
      <c r="E3572">
        <v>6</v>
      </c>
      <c r="F3572">
        <v>168</v>
      </c>
      <c r="G3572">
        <v>1008</v>
      </c>
      <c r="H3572">
        <v>105</v>
      </c>
      <c r="I3572">
        <v>1.6</v>
      </c>
      <c r="J3572">
        <v>2.4900000000000002</v>
      </c>
      <c r="K3572">
        <v>2509.92</v>
      </c>
    </row>
    <row r="3573" spans="1:11" x14ac:dyDescent="0.2">
      <c r="A3573">
        <v>66093</v>
      </c>
      <c r="B3573">
        <v>132718</v>
      </c>
      <c r="C3573" t="s">
        <v>7134</v>
      </c>
      <c r="D3573">
        <v>8</v>
      </c>
      <c r="E3573">
        <v>24</v>
      </c>
      <c r="F3573">
        <v>623</v>
      </c>
      <c r="G3573">
        <v>14948</v>
      </c>
      <c r="H3573">
        <v>323</v>
      </c>
      <c r="I3573">
        <v>1.9</v>
      </c>
      <c r="J3573">
        <v>1.05</v>
      </c>
      <c r="K3573">
        <v>15695.4</v>
      </c>
    </row>
    <row r="3574" spans="1:11" x14ac:dyDescent="0.2">
      <c r="A3574">
        <v>80115</v>
      </c>
      <c r="B3574">
        <v>132741</v>
      </c>
      <c r="C3574" t="s">
        <v>7135</v>
      </c>
      <c r="D3574">
        <v>8</v>
      </c>
      <c r="E3574">
        <v>12</v>
      </c>
      <c r="F3574">
        <v>478</v>
      </c>
      <c r="G3574">
        <v>5736</v>
      </c>
      <c r="H3574">
        <v>180</v>
      </c>
      <c r="I3574">
        <v>2.7</v>
      </c>
      <c r="J3574">
        <v>0.99</v>
      </c>
      <c r="K3574">
        <v>5678.64</v>
      </c>
    </row>
    <row r="3575" spans="1:11" x14ac:dyDescent="0.2">
      <c r="A3575">
        <v>69122</v>
      </c>
      <c r="B3575">
        <v>132742</v>
      </c>
      <c r="C3575" t="s">
        <v>7136</v>
      </c>
      <c r="D3575">
        <v>8</v>
      </c>
      <c r="E3575">
        <v>4</v>
      </c>
      <c r="F3575">
        <v>549</v>
      </c>
      <c r="G3575">
        <v>2196</v>
      </c>
      <c r="H3575">
        <v>48</v>
      </c>
      <c r="I3575">
        <v>11.4</v>
      </c>
      <c r="J3575">
        <v>4.25</v>
      </c>
      <c r="K3575">
        <v>9333</v>
      </c>
    </row>
    <row r="3576" spans="1:11" x14ac:dyDescent="0.2">
      <c r="A3576">
        <v>72071</v>
      </c>
      <c r="B3576">
        <v>132760</v>
      </c>
      <c r="C3576" t="s">
        <v>7137</v>
      </c>
      <c r="D3576">
        <v>6</v>
      </c>
      <c r="E3576">
        <v>30</v>
      </c>
      <c r="F3576">
        <v>154</v>
      </c>
      <c r="G3576">
        <v>4620</v>
      </c>
      <c r="H3576">
        <v>72</v>
      </c>
      <c r="I3576">
        <v>2.1</v>
      </c>
      <c r="J3576">
        <v>0.74</v>
      </c>
      <c r="K3576">
        <v>3418.8</v>
      </c>
    </row>
    <row r="3577" spans="1:11" x14ac:dyDescent="0.2">
      <c r="B3577">
        <v>132761</v>
      </c>
      <c r="C3577" t="s">
        <v>7138</v>
      </c>
      <c r="D3577">
        <v>11</v>
      </c>
      <c r="E3577">
        <v>30</v>
      </c>
      <c r="F3577">
        <v>-2</v>
      </c>
      <c r="G3577">
        <v>-60</v>
      </c>
      <c r="H3577">
        <v>72</v>
      </c>
      <c r="I3577">
        <v>0</v>
      </c>
      <c r="J3577">
        <v>0.73</v>
      </c>
      <c r="K3577">
        <v>-43.8</v>
      </c>
    </row>
    <row r="3578" spans="1:11" x14ac:dyDescent="0.2">
      <c r="A3578">
        <v>42628</v>
      </c>
      <c r="B3578">
        <v>132791</v>
      </c>
      <c r="C3578" t="s">
        <v>7139</v>
      </c>
      <c r="D3578">
        <v>10</v>
      </c>
      <c r="E3578">
        <v>12</v>
      </c>
      <c r="F3578">
        <v>0</v>
      </c>
      <c r="G3578">
        <v>0</v>
      </c>
      <c r="H3578">
        <v>120</v>
      </c>
      <c r="I3578">
        <v>0</v>
      </c>
      <c r="J3578">
        <v>1.69</v>
      </c>
      <c r="K3578">
        <v>0</v>
      </c>
    </row>
    <row r="3579" spans="1:11" x14ac:dyDescent="0.2">
      <c r="A3579">
        <v>57683</v>
      </c>
      <c r="B3579">
        <v>132819</v>
      </c>
      <c r="C3579" t="s">
        <v>7140</v>
      </c>
      <c r="D3579">
        <v>10</v>
      </c>
      <c r="E3579">
        <v>18</v>
      </c>
      <c r="F3579">
        <v>1</v>
      </c>
      <c r="G3579">
        <v>25</v>
      </c>
      <c r="H3579">
        <v>60</v>
      </c>
      <c r="I3579">
        <v>0</v>
      </c>
      <c r="J3579">
        <v>0.79</v>
      </c>
      <c r="K3579">
        <v>19.75</v>
      </c>
    </row>
    <row r="3580" spans="1:11" x14ac:dyDescent="0.2">
      <c r="A3580">
        <v>42612</v>
      </c>
      <c r="B3580">
        <v>132826</v>
      </c>
      <c r="C3580" t="s">
        <v>7141</v>
      </c>
      <c r="D3580">
        <v>10</v>
      </c>
      <c r="E3580">
        <v>15</v>
      </c>
      <c r="F3580">
        <v>4</v>
      </c>
      <c r="G3580">
        <v>60</v>
      </c>
      <c r="H3580">
        <v>154</v>
      </c>
      <c r="I3580">
        <v>0</v>
      </c>
      <c r="J3580">
        <v>0.79</v>
      </c>
      <c r="K3580">
        <v>47.4</v>
      </c>
    </row>
    <row r="3581" spans="1:11" x14ac:dyDescent="0.2">
      <c r="A3581">
        <v>73032</v>
      </c>
      <c r="B3581">
        <v>132838</v>
      </c>
      <c r="C3581" t="s">
        <v>6294</v>
      </c>
      <c r="D3581">
        <v>8</v>
      </c>
      <c r="E3581">
        <v>15</v>
      </c>
      <c r="F3581">
        <v>796</v>
      </c>
      <c r="G3581">
        <v>11940</v>
      </c>
      <c r="H3581">
        <v>144</v>
      </c>
      <c r="I3581">
        <v>5.5</v>
      </c>
      <c r="J3581">
        <v>1.49</v>
      </c>
      <c r="K3581">
        <v>17790.599999999999</v>
      </c>
    </row>
    <row r="3582" spans="1:11" x14ac:dyDescent="0.2">
      <c r="A3582">
        <v>57280</v>
      </c>
      <c r="B3582">
        <v>132893</v>
      </c>
      <c r="C3582" t="s">
        <v>7142</v>
      </c>
      <c r="D3582">
        <v>11</v>
      </c>
      <c r="E3582">
        <v>24</v>
      </c>
      <c r="F3582">
        <v>0</v>
      </c>
      <c r="G3582">
        <v>0</v>
      </c>
      <c r="H3582">
        <v>95</v>
      </c>
      <c r="I3582">
        <v>0</v>
      </c>
      <c r="J3582">
        <v>1.1000000000000001</v>
      </c>
      <c r="K3582">
        <v>0</v>
      </c>
    </row>
    <row r="3583" spans="1:11" x14ac:dyDescent="0.2">
      <c r="A3583">
        <v>99126</v>
      </c>
      <c r="B3583">
        <v>132931</v>
      </c>
      <c r="C3583" t="s">
        <v>7143</v>
      </c>
      <c r="D3583">
        <v>10</v>
      </c>
      <c r="E3583">
        <v>16</v>
      </c>
      <c r="F3583">
        <v>0</v>
      </c>
      <c r="G3583">
        <v>0</v>
      </c>
      <c r="H3583">
        <v>45</v>
      </c>
      <c r="I3583">
        <v>0</v>
      </c>
      <c r="J3583">
        <v>1.69</v>
      </c>
      <c r="K3583">
        <v>0</v>
      </c>
    </row>
    <row r="3584" spans="1:11" x14ac:dyDescent="0.2">
      <c r="A3584">
        <v>70168</v>
      </c>
      <c r="B3584">
        <v>133014</v>
      </c>
      <c r="C3584" t="s">
        <v>7144</v>
      </c>
      <c r="D3584">
        <v>8</v>
      </c>
      <c r="E3584">
        <v>16</v>
      </c>
      <c r="F3584">
        <v>349</v>
      </c>
      <c r="G3584">
        <v>5584</v>
      </c>
      <c r="H3584">
        <v>133</v>
      </c>
      <c r="I3584">
        <v>2.6</v>
      </c>
      <c r="J3584">
        <v>1.19</v>
      </c>
      <c r="K3584">
        <v>6644.96</v>
      </c>
    </row>
    <row r="3585" spans="1:11" x14ac:dyDescent="0.2">
      <c r="A3585">
        <v>70089</v>
      </c>
      <c r="B3585">
        <v>133026</v>
      </c>
      <c r="C3585" t="s">
        <v>7145</v>
      </c>
      <c r="D3585">
        <v>8</v>
      </c>
      <c r="E3585">
        <v>16</v>
      </c>
      <c r="F3585">
        <v>306</v>
      </c>
      <c r="G3585">
        <v>4896</v>
      </c>
      <c r="H3585">
        <v>133</v>
      </c>
      <c r="I3585">
        <v>2.2999999999999998</v>
      </c>
      <c r="J3585">
        <v>1.39</v>
      </c>
      <c r="K3585">
        <v>6805.44</v>
      </c>
    </row>
    <row r="3586" spans="1:11" x14ac:dyDescent="0.2">
      <c r="A3586">
        <v>69184</v>
      </c>
      <c r="B3586">
        <v>133064</v>
      </c>
      <c r="C3586" t="s">
        <v>7146</v>
      </c>
      <c r="D3586">
        <v>8</v>
      </c>
      <c r="E3586">
        <v>7</v>
      </c>
      <c r="F3586">
        <v>356</v>
      </c>
      <c r="G3586">
        <v>2492</v>
      </c>
      <c r="H3586">
        <v>168</v>
      </c>
      <c r="I3586">
        <v>2.1</v>
      </c>
      <c r="J3586">
        <v>1.69</v>
      </c>
      <c r="K3586">
        <v>4211.4799999999996</v>
      </c>
    </row>
    <row r="3587" spans="1:11" x14ac:dyDescent="0.2">
      <c r="A3587">
        <v>89049</v>
      </c>
      <c r="B3587">
        <v>133116</v>
      </c>
      <c r="C3587" t="s">
        <v>7147</v>
      </c>
      <c r="D3587">
        <v>8</v>
      </c>
      <c r="E3587">
        <v>16</v>
      </c>
      <c r="F3587">
        <v>839</v>
      </c>
      <c r="G3587">
        <v>13424</v>
      </c>
      <c r="H3587">
        <v>84</v>
      </c>
      <c r="I3587">
        <v>10</v>
      </c>
      <c r="J3587">
        <v>2.89</v>
      </c>
      <c r="K3587">
        <v>38795.360000000001</v>
      </c>
    </row>
    <row r="3588" spans="1:11" x14ac:dyDescent="0.2">
      <c r="B3588">
        <v>133151</v>
      </c>
      <c r="C3588" t="s">
        <v>7148</v>
      </c>
      <c r="D3588">
        <v>11</v>
      </c>
      <c r="E3588">
        <v>12</v>
      </c>
      <c r="F3588">
        <v>0</v>
      </c>
      <c r="G3588">
        <v>0</v>
      </c>
      <c r="H3588">
        <v>50</v>
      </c>
      <c r="I3588">
        <v>0</v>
      </c>
      <c r="J3588">
        <v>1.99</v>
      </c>
      <c r="K3588">
        <v>0</v>
      </c>
    </row>
    <row r="3589" spans="1:11" x14ac:dyDescent="0.2">
      <c r="A3589">
        <v>80193</v>
      </c>
      <c r="B3589">
        <v>133222</v>
      </c>
      <c r="C3589" t="s">
        <v>5428</v>
      </c>
      <c r="D3589">
        <v>8</v>
      </c>
      <c r="E3589">
        <v>8</v>
      </c>
      <c r="F3589">
        <v>324</v>
      </c>
      <c r="G3589">
        <v>2592</v>
      </c>
      <c r="H3589">
        <v>90</v>
      </c>
      <c r="I3589">
        <v>3.6</v>
      </c>
      <c r="J3589">
        <v>2.37</v>
      </c>
      <c r="K3589">
        <v>6143.04</v>
      </c>
    </row>
    <row r="3590" spans="1:11" x14ac:dyDescent="0.2">
      <c r="A3590">
        <v>72006</v>
      </c>
      <c r="B3590">
        <v>133241</v>
      </c>
      <c r="C3590" t="s">
        <v>7149</v>
      </c>
      <c r="D3590">
        <v>8</v>
      </c>
      <c r="E3590">
        <v>30</v>
      </c>
      <c r="F3590">
        <v>154</v>
      </c>
      <c r="G3590">
        <v>4620</v>
      </c>
      <c r="H3590">
        <v>88</v>
      </c>
      <c r="I3590">
        <v>1.8</v>
      </c>
      <c r="J3590">
        <v>0.89</v>
      </c>
      <c r="K3590">
        <v>4111.8</v>
      </c>
    </row>
    <row r="3591" spans="1:11" x14ac:dyDescent="0.2">
      <c r="A3591">
        <v>44611</v>
      </c>
      <c r="B3591">
        <v>133268</v>
      </c>
      <c r="C3591" t="s">
        <v>7150</v>
      </c>
      <c r="D3591">
        <v>10</v>
      </c>
      <c r="E3591">
        <v>120</v>
      </c>
      <c r="F3591">
        <v>0</v>
      </c>
      <c r="G3591">
        <v>0</v>
      </c>
      <c r="H3591">
        <v>4</v>
      </c>
      <c r="I3591">
        <v>0</v>
      </c>
      <c r="J3591">
        <v>1.69</v>
      </c>
      <c r="K3591">
        <v>0</v>
      </c>
    </row>
    <row r="3592" spans="1:11" x14ac:dyDescent="0.2">
      <c r="A3592">
        <v>44612</v>
      </c>
      <c r="B3592">
        <v>133269</v>
      </c>
      <c r="C3592" t="s">
        <v>7151</v>
      </c>
      <c r="D3592">
        <v>10</v>
      </c>
      <c r="E3592">
        <v>120</v>
      </c>
      <c r="F3592">
        <v>0</v>
      </c>
      <c r="G3592">
        <v>0</v>
      </c>
      <c r="H3592">
        <v>4</v>
      </c>
      <c r="I3592">
        <v>0</v>
      </c>
      <c r="J3592">
        <v>1.69</v>
      </c>
      <c r="K3592">
        <v>0</v>
      </c>
    </row>
    <row r="3593" spans="1:11" x14ac:dyDescent="0.2">
      <c r="A3593">
        <v>44613</v>
      </c>
      <c r="B3593">
        <v>133270</v>
      </c>
      <c r="C3593" t="s">
        <v>7152</v>
      </c>
      <c r="D3593">
        <v>10</v>
      </c>
      <c r="E3593">
        <v>120</v>
      </c>
      <c r="F3593">
        <v>0</v>
      </c>
      <c r="G3593">
        <v>0</v>
      </c>
      <c r="H3593">
        <v>4</v>
      </c>
      <c r="I3593">
        <v>0</v>
      </c>
      <c r="J3593">
        <v>1.69</v>
      </c>
      <c r="K3593">
        <v>0</v>
      </c>
    </row>
    <row r="3594" spans="1:11" x14ac:dyDescent="0.2">
      <c r="A3594">
        <v>71036</v>
      </c>
      <c r="B3594">
        <v>133293</v>
      </c>
      <c r="C3594" t="s">
        <v>7153</v>
      </c>
      <c r="D3594">
        <v>8</v>
      </c>
      <c r="E3594">
        <v>3</v>
      </c>
      <c r="F3594">
        <v>140</v>
      </c>
      <c r="G3594">
        <v>420</v>
      </c>
      <c r="H3594">
        <v>42</v>
      </c>
      <c r="I3594">
        <v>3.3</v>
      </c>
      <c r="J3594">
        <v>9.69</v>
      </c>
      <c r="K3594">
        <v>4069.8</v>
      </c>
    </row>
    <row r="3595" spans="1:11" x14ac:dyDescent="0.2">
      <c r="A3595">
        <v>99881</v>
      </c>
      <c r="B3595">
        <v>133325</v>
      </c>
      <c r="C3595" t="s">
        <v>7154</v>
      </c>
      <c r="D3595">
        <v>10</v>
      </c>
      <c r="E3595">
        <v>3</v>
      </c>
      <c r="F3595">
        <v>0</v>
      </c>
      <c r="G3595">
        <v>0</v>
      </c>
      <c r="H3595">
        <v>120</v>
      </c>
      <c r="I3595">
        <v>0</v>
      </c>
      <c r="J3595">
        <v>3.19</v>
      </c>
      <c r="K3595">
        <v>0</v>
      </c>
    </row>
    <row r="3596" spans="1:11" x14ac:dyDescent="0.2">
      <c r="A3596">
        <v>74252</v>
      </c>
      <c r="B3596">
        <v>133346</v>
      </c>
      <c r="C3596" t="s">
        <v>7155</v>
      </c>
      <c r="D3596">
        <v>8</v>
      </c>
      <c r="E3596">
        <v>20</v>
      </c>
      <c r="F3596">
        <v>282</v>
      </c>
      <c r="G3596">
        <v>5640</v>
      </c>
      <c r="H3596">
        <v>126</v>
      </c>
      <c r="I3596">
        <v>2.2000000000000002</v>
      </c>
      <c r="J3596">
        <v>1.89</v>
      </c>
      <c r="K3596">
        <v>10659.6</v>
      </c>
    </row>
    <row r="3597" spans="1:11" x14ac:dyDescent="0.2">
      <c r="A3597">
        <v>74096</v>
      </c>
      <c r="B3597">
        <v>133358</v>
      </c>
      <c r="C3597" t="s">
        <v>7156</v>
      </c>
      <c r="D3597">
        <v>8</v>
      </c>
      <c r="E3597">
        <v>18</v>
      </c>
      <c r="F3597">
        <v>418</v>
      </c>
      <c r="G3597">
        <v>7524</v>
      </c>
      <c r="H3597">
        <v>64</v>
      </c>
      <c r="I3597">
        <v>6.5</v>
      </c>
      <c r="J3597">
        <v>1.19</v>
      </c>
      <c r="K3597">
        <v>8953.56</v>
      </c>
    </row>
    <row r="3598" spans="1:11" x14ac:dyDescent="0.2">
      <c r="A3598">
        <v>4606</v>
      </c>
      <c r="B3598">
        <v>133392</v>
      </c>
      <c r="C3598" t="s">
        <v>7157</v>
      </c>
      <c r="D3598">
        <v>6</v>
      </c>
      <c r="E3598">
        <v>8</v>
      </c>
      <c r="F3598">
        <v>6</v>
      </c>
      <c r="G3598">
        <v>48</v>
      </c>
      <c r="H3598">
        <v>48</v>
      </c>
      <c r="I3598">
        <v>0.1</v>
      </c>
      <c r="J3598">
        <v>1.99</v>
      </c>
      <c r="K3598">
        <v>95.52</v>
      </c>
    </row>
    <row r="3599" spans="1:11" x14ac:dyDescent="0.2">
      <c r="A3599">
        <v>69237</v>
      </c>
      <c r="B3599">
        <v>133398</v>
      </c>
      <c r="C3599" t="s">
        <v>7158</v>
      </c>
      <c r="D3599">
        <v>8</v>
      </c>
      <c r="E3599">
        <v>12</v>
      </c>
      <c r="F3599">
        <v>113</v>
      </c>
      <c r="G3599">
        <v>1356</v>
      </c>
      <c r="H3599">
        <v>90</v>
      </c>
      <c r="I3599">
        <v>1.3</v>
      </c>
      <c r="J3599">
        <v>1.0900000000000001</v>
      </c>
      <c r="K3599">
        <v>1478.04</v>
      </c>
    </row>
    <row r="3600" spans="1:11" x14ac:dyDescent="0.2">
      <c r="A3600">
        <v>4510</v>
      </c>
      <c r="B3600">
        <v>133469</v>
      </c>
      <c r="C3600" t="s">
        <v>7159</v>
      </c>
      <c r="D3600">
        <v>6</v>
      </c>
      <c r="E3600">
        <v>8</v>
      </c>
      <c r="F3600">
        <v>3</v>
      </c>
      <c r="G3600">
        <v>24</v>
      </c>
      <c r="H3600">
        <v>143</v>
      </c>
      <c r="I3600">
        <v>0</v>
      </c>
      <c r="J3600">
        <v>1.29</v>
      </c>
      <c r="K3600">
        <v>30.96</v>
      </c>
    </row>
    <row r="3601" spans="1:11" x14ac:dyDescent="0.2">
      <c r="A3601">
        <v>70021</v>
      </c>
      <c r="B3601">
        <v>133489</v>
      </c>
      <c r="C3601" t="s">
        <v>6312</v>
      </c>
      <c r="D3601">
        <v>8</v>
      </c>
      <c r="E3601">
        <v>24</v>
      </c>
      <c r="F3601">
        <v>147</v>
      </c>
      <c r="G3601">
        <v>3528</v>
      </c>
      <c r="H3601">
        <v>90</v>
      </c>
      <c r="I3601">
        <v>1.6</v>
      </c>
      <c r="J3601">
        <v>1.39</v>
      </c>
      <c r="K3601">
        <v>4903.92</v>
      </c>
    </row>
    <row r="3602" spans="1:11" x14ac:dyDescent="0.2">
      <c r="A3602">
        <v>80252</v>
      </c>
      <c r="B3602">
        <v>133531</v>
      </c>
      <c r="C3602" t="s">
        <v>7160</v>
      </c>
      <c r="D3602">
        <v>8</v>
      </c>
      <c r="E3602">
        <v>8</v>
      </c>
      <c r="F3602">
        <v>259</v>
      </c>
      <c r="G3602">
        <v>2072</v>
      </c>
      <c r="H3602">
        <v>136</v>
      </c>
      <c r="I3602">
        <v>1.9</v>
      </c>
      <c r="J3602">
        <v>1.1399999999999999</v>
      </c>
      <c r="K3602">
        <v>2362.08</v>
      </c>
    </row>
    <row r="3603" spans="1:11" x14ac:dyDescent="0.2">
      <c r="A3603">
        <v>25612</v>
      </c>
      <c r="B3603">
        <v>133621</v>
      </c>
      <c r="C3603" t="s">
        <v>7161</v>
      </c>
      <c r="D3603">
        <v>11</v>
      </c>
      <c r="E3603">
        <v>14</v>
      </c>
      <c r="F3603">
        <v>7</v>
      </c>
      <c r="G3603">
        <v>98</v>
      </c>
      <c r="H3603">
        <v>95</v>
      </c>
      <c r="I3603">
        <v>0.1</v>
      </c>
      <c r="J3603">
        <v>6.49</v>
      </c>
      <c r="K3603">
        <v>636.02</v>
      </c>
    </row>
    <row r="3604" spans="1:11" x14ac:dyDescent="0.2">
      <c r="A3604">
        <v>99959</v>
      </c>
      <c r="B3604">
        <v>133633</v>
      </c>
      <c r="C3604" t="s">
        <v>7162</v>
      </c>
      <c r="D3604">
        <v>10</v>
      </c>
      <c r="E3604">
        <v>16</v>
      </c>
      <c r="F3604">
        <v>0</v>
      </c>
      <c r="G3604">
        <v>0</v>
      </c>
      <c r="H3604">
        <v>77</v>
      </c>
      <c r="I3604">
        <v>0</v>
      </c>
      <c r="J3604">
        <v>1.59</v>
      </c>
      <c r="K3604">
        <v>0</v>
      </c>
    </row>
    <row r="3605" spans="1:11" x14ac:dyDescent="0.2">
      <c r="A3605">
        <v>2660</v>
      </c>
      <c r="B3605">
        <v>133951</v>
      </c>
      <c r="C3605" t="s">
        <v>5634</v>
      </c>
      <c r="D3605">
        <v>6</v>
      </c>
      <c r="E3605">
        <v>12</v>
      </c>
      <c r="F3605">
        <v>0</v>
      </c>
      <c r="G3605">
        <v>0</v>
      </c>
      <c r="H3605">
        <v>60</v>
      </c>
      <c r="I3605">
        <v>0</v>
      </c>
      <c r="J3605">
        <v>1.0900000000000001</v>
      </c>
      <c r="K3605">
        <v>0</v>
      </c>
    </row>
    <row r="3606" spans="1:11" x14ac:dyDescent="0.2">
      <c r="A3606">
        <v>93122</v>
      </c>
      <c r="B3606">
        <v>133970</v>
      </c>
      <c r="C3606" t="s">
        <v>7163</v>
      </c>
      <c r="D3606">
        <v>10</v>
      </c>
      <c r="E3606">
        <v>40</v>
      </c>
      <c r="F3606">
        <v>0</v>
      </c>
      <c r="G3606">
        <v>0</v>
      </c>
      <c r="H3606">
        <v>40</v>
      </c>
      <c r="I3606">
        <v>0</v>
      </c>
      <c r="J3606">
        <v>2.99</v>
      </c>
      <c r="K3606">
        <v>0</v>
      </c>
    </row>
    <row r="3607" spans="1:11" x14ac:dyDescent="0.2">
      <c r="A3607">
        <v>2656</v>
      </c>
      <c r="B3607">
        <v>134084</v>
      </c>
      <c r="C3607" t="s">
        <v>7164</v>
      </c>
      <c r="D3607">
        <v>6</v>
      </c>
      <c r="E3607">
        <v>12</v>
      </c>
      <c r="F3607">
        <v>0</v>
      </c>
      <c r="G3607">
        <v>0</v>
      </c>
      <c r="H3607">
        <v>64</v>
      </c>
      <c r="I3607">
        <v>0</v>
      </c>
      <c r="J3607">
        <v>6.98</v>
      </c>
      <c r="K3607">
        <v>0</v>
      </c>
    </row>
    <row r="3608" spans="1:11" x14ac:dyDescent="0.2">
      <c r="A3608">
        <v>73225</v>
      </c>
      <c r="B3608">
        <v>134137</v>
      </c>
      <c r="C3608" t="s">
        <v>7165</v>
      </c>
      <c r="D3608">
        <v>8</v>
      </c>
      <c r="E3608">
        <v>24</v>
      </c>
      <c r="F3608">
        <v>149</v>
      </c>
      <c r="G3608">
        <v>3576</v>
      </c>
      <c r="H3608">
        <v>63</v>
      </c>
      <c r="I3608">
        <v>2.4</v>
      </c>
      <c r="J3608">
        <v>0.95</v>
      </c>
      <c r="K3608">
        <v>3397.2</v>
      </c>
    </row>
    <row r="3609" spans="1:11" x14ac:dyDescent="0.2">
      <c r="A3609">
        <v>73160</v>
      </c>
      <c r="B3609">
        <v>134245</v>
      </c>
      <c r="C3609" t="s">
        <v>7166</v>
      </c>
      <c r="D3609">
        <v>8</v>
      </c>
      <c r="E3609">
        <v>12</v>
      </c>
      <c r="F3609">
        <v>550</v>
      </c>
      <c r="G3609">
        <v>6600</v>
      </c>
      <c r="H3609">
        <v>72</v>
      </c>
      <c r="I3609">
        <v>7.6</v>
      </c>
      <c r="J3609">
        <v>1.99</v>
      </c>
      <c r="K3609">
        <v>13134</v>
      </c>
    </row>
    <row r="3610" spans="1:11" x14ac:dyDescent="0.2">
      <c r="A3610">
        <v>73182</v>
      </c>
      <c r="B3610">
        <v>134249</v>
      </c>
      <c r="C3610" t="s">
        <v>7167</v>
      </c>
      <c r="D3610">
        <v>8</v>
      </c>
      <c r="E3610">
        <v>12</v>
      </c>
      <c r="F3610">
        <v>420</v>
      </c>
      <c r="G3610">
        <v>5040</v>
      </c>
      <c r="H3610">
        <v>72</v>
      </c>
      <c r="I3610">
        <v>5.8</v>
      </c>
      <c r="J3610">
        <v>2.09</v>
      </c>
      <c r="K3610">
        <v>10533.6</v>
      </c>
    </row>
    <row r="3611" spans="1:11" x14ac:dyDescent="0.2">
      <c r="A3611">
        <v>73171</v>
      </c>
      <c r="B3611">
        <v>134260</v>
      </c>
      <c r="C3611" t="s">
        <v>7168</v>
      </c>
      <c r="D3611">
        <v>8</v>
      </c>
      <c r="E3611">
        <v>12</v>
      </c>
      <c r="F3611">
        <v>270</v>
      </c>
      <c r="G3611">
        <v>3240</v>
      </c>
      <c r="H3611">
        <v>72</v>
      </c>
      <c r="I3611">
        <v>3.8</v>
      </c>
      <c r="J3611">
        <v>2.39</v>
      </c>
      <c r="K3611">
        <v>7743.6</v>
      </c>
    </row>
    <row r="3612" spans="1:11" x14ac:dyDescent="0.2">
      <c r="A3612">
        <v>44520</v>
      </c>
      <c r="B3612">
        <v>134309</v>
      </c>
      <c r="C3612" t="s">
        <v>6586</v>
      </c>
      <c r="D3612">
        <v>6</v>
      </c>
      <c r="E3612">
        <v>6</v>
      </c>
      <c r="F3612">
        <v>0</v>
      </c>
      <c r="G3612">
        <v>0</v>
      </c>
      <c r="H3612">
        <v>390</v>
      </c>
      <c r="I3612">
        <v>0</v>
      </c>
      <c r="J3612">
        <v>3.49</v>
      </c>
      <c r="K3612">
        <v>0</v>
      </c>
    </row>
    <row r="3613" spans="1:11" x14ac:dyDescent="0.2">
      <c r="B3613">
        <v>134310</v>
      </c>
      <c r="C3613" t="s">
        <v>7169</v>
      </c>
      <c r="D3613">
        <v>11</v>
      </c>
      <c r="E3613">
        <v>12</v>
      </c>
      <c r="F3613">
        <v>0</v>
      </c>
      <c r="G3613">
        <v>0</v>
      </c>
      <c r="H3613">
        <v>182</v>
      </c>
      <c r="I3613">
        <v>0</v>
      </c>
      <c r="J3613">
        <v>4.6900000000000004</v>
      </c>
      <c r="K3613">
        <v>0</v>
      </c>
    </row>
    <row r="3614" spans="1:11" x14ac:dyDescent="0.2">
      <c r="A3614">
        <v>93145</v>
      </c>
      <c r="B3614">
        <v>134321</v>
      </c>
      <c r="C3614" t="s">
        <v>7170</v>
      </c>
      <c r="D3614">
        <v>10</v>
      </c>
      <c r="E3614">
        <v>12</v>
      </c>
      <c r="F3614">
        <v>0</v>
      </c>
      <c r="G3614">
        <v>0</v>
      </c>
      <c r="H3614">
        <v>16</v>
      </c>
      <c r="I3614">
        <v>0</v>
      </c>
      <c r="J3614">
        <v>7.99</v>
      </c>
      <c r="K3614">
        <v>0</v>
      </c>
    </row>
    <row r="3615" spans="1:11" x14ac:dyDescent="0.2">
      <c r="A3615">
        <v>93238</v>
      </c>
      <c r="B3615">
        <v>134326</v>
      </c>
      <c r="C3615" t="s">
        <v>7171</v>
      </c>
      <c r="D3615">
        <v>10</v>
      </c>
      <c r="E3615">
        <v>12</v>
      </c>
      <c r="F3615">
        <v>0</v>
      </c>
      <c r="G3615">
        <v>0</v>
      </c>
      <c r="H3615">
        <v>20</v>
      </c>
      <c r="I3615">
        <v>0</v>
      </c>
      <c r="J3615">
        <v>4.99</v>
      </c>
      <c r="K3615">
        <v>0</v>
      </c>
    </row>
    <row r="3616" spans="1:11" x14ac:dyDescent="0.2">
      <c r="A3616">
        <v>93248</v>
      </c>
      <c r="B3616">
        <v>134327</v>
      </c>
      <c r="C3616" t="s">
        <v>7172</v>
      </c>
      <c r="D3616">
        <v>10</v>
      </c>
      <c r="E3616">
        <v>12</v>
      </c>
      <c r="F3616">
        <v>0</v>
      </c>
      <c r="G3616">
        <v>0</v>
      </c>
      <c r="H3616">
        <v>12</v>
      </c>
      <c r="I3616">
        <v>0</v>
      </c>
      <c r="J3616">
        <v>9.99</v>
      </c>
      <c r="K3616">
        <v>0</v>
      </c>
    </row>
    <row r="3617" spans="1:11" x14ac:dyDescent="0.2">
      <c r="A3617">
        <v>93245</v>
      </c>
      <c r="B3617">
        <v>134331</v>
      </c>
      <c r="C3617" t="s">
        <v>7173</v>
      </c>
      <c r="D3617">
        <v>10</v>
      </c>
      <c r="E3617">
        <v>6</v>
      </c>
      <c r="F3617">
        <v>0</v>
      </c>
      <c r="G3617">
        <v>0</v>
      </c>
      <c r="H3617">
        <v>16</v>
      </c>
      <c r="I3617">
        <v>0</v>
      </c>
      <c r="J3617">
        <v>6.99</v>
      </c>
      <c r="K3617">
        <v>0</v>
      </c>
    </row>
    <row r="3618" spans="1:11" x14ac:dyDescent="0.2">
      <c r="A3618">
        <v>93262</v>
      </c>
      <c r="B3618">
        <v>134333</v>
      </c>
      <c r="C3618" t="s">
        <v>7174</v>
      </c>
      <c r="D3618">
        <v>10</v>
      </c>
      <c r="E3618">
        <v>17</v>
      </c>
      <c r="F3618">
        <v>0</v>
      </c>
      <c r="G3618">
        <v>0</v>
      </c>
      <c r="H3618">
        <v>17</v>
      </c>
      <c r="I3618">
        <v>0</v>
      </c>
      <c r="J3618">
        <v>7.99</v>
      </c>
      <c r="K3618">
        <v>0</v>
      </c>
    </row>
    <row r="3619" spans="1:11" x14ac:dyDescent="0.2">
      <c r="A3619">
        <v>93231</v>
      </c>
      <c r="B3619">
        <v>134344</v>
      </c>
      <c r="C3619" t="s">
        <v>7175</v>
      </c>
      <c r="D3619">
        <v>10</v>
      </c>
      <c r="E3619">
        <v>7</v>
      </c>
      <c r="F3619">
        <v>0</v>
      </c>
      <c r="G3619">
        <v>0</v>
      </c>
      <c r="H3619">
        <v>12</v>
      </c>
      <c r="I3619">
        <v>0</v>
      </c>
      <c r="J3619">
        <v>9.99</v>
      </c>
      <c r="K3619">
        <v>0</v>
      </c>
    </row>
    <row r="3620" spans="1:11" x14ac:dyDescent="0.2">
      <c r="A3620">
        <v>93256</v>
      </c>
      <c r="B3620">
        <v>134347</v>
      </c>
      <c r="C3620" t="s">
        <v>7176</v>
      </c>
      <c r="D3620">
        <v>10</v>
      </c>
      <c r="E3620">
        <v>8</v>
      </c>
      <c r="F3620">
        <v>0</v>
      </c>
      <c r="G3620">
        <v>0</v>
      </c>
      <c r="H3620">
        <v>30</v>
      </c>
      <c r="I3620">
        <v>0</v>
      </c>
      <c r="J3620">
        <v>3.99</v>
      </c>
      <c r="K3620">
        <v>0</v>
      </c>
    </row>
    <row r="3621" spans="1:11" x14ac:dyDescent="0.2">
      <c r="A3621">
        <v>93229</v>
      </c>
      <c r="B3621">
        <v>134350</v>
      </c>
      <c r="C3621" t="s">
        <v>7177</v>
      </c>
      <c r="D3621">
        <v>10</v>
      </c>
      <c r="E3621">
        <v>2</v>
      </c>
      <c r="F3621">
        <v>0</v>
      </c>
      <c r="G3621">
        <v>0</v>
      </c>
      <c r="H3621">
        <v>24</v>
      </c>
      <c r="I3621">
        <v>0</v>
      </c>
      <c r="J3621">
        <v>14.99</v>
      </c>
      <c r="K3621">
        <v>0</v>
      </c>
    </row>
    <row r="3622" spans="1:11" x14ac:dyDescent="0.2">
      <c r="A3622">
        <v>93253</v>
      </c>
      <c r="B3622">
        <v>134359</v>
      </c>
      <c r="C3622" t="s">
        <v>7178</v>
      </c>
      <c r="D3622">
        <v>10</v>
      </c>
      <c r="E3622">
        <v>6</v>
      </c>
      <c r="F3622">
        <v>0</v>
      </c>
      <c r="G3622">
        <v>0</v>
      </c>
      <c r="H3622">
        <v>32</v>
      </c>
      <c r="I3622">
        <v>0</v>
      </c>
      <c r="J3622">
        <v>6.99</v>
      </c>
      <c r="K3622">
        <v>0</v>
      </c>
    </row>
    <row r="3623" spans="1:11" x14ac:dyDescent="0.2">
      <c r="A3623">
        <v>93226</v>
      </c>
      <c r="B3623">
        <v>134363</v>
      </c>
      <c r="C3623" t="s">
        <v>7179</v>
      </c>
      <c r="D3623">
        <v>6</v>
      </c>
      <c r="E3623">
        <v>12</v>
      </c>
      <c r="F3623">
        <v>0</v>
      </c>
      <c r="G3623">
        <v>0</v>
      </c>
      <c r="H3623">
        <v>12</v>
      </c>
      <c r="I3623">
        <v>0</v>
      </c>
      <c r="J3623">
        <v>14.99</v>
      </c>
      <c r="K3623">
        <v>0</v>
      </c>
    </row>
    <row r="3624" spans="1:11" x14ac:dyDescent="0.2">
      <c r="A3624">
        <v>92947</v>
      </c>
      <c r="B3624">
        <v>134365</v>
      </c>
      <c r="C3624" t="s">
        <v>5733</v>
      </c>
      <c r="D3624">
        <v>7</v>
      </c>
      <c r="E3624">
        <v>6</v>
      </c>
      <c r="F3624">
        <v>35</v>
      </c>
      <c r="G3624">
        <v>210</v>
      </c>
      <c r="H3624">
        <v>72</v>
      </c>
      <c r="I3624">
        <v>0.5</v>
      </c>
      <c r="J3624">
        <v>3.59</v>
      </c>
      <c r="K3624">
        <v>753.9</v>
      </c>
    </row>
    <row r="3625" spans="1:11" x14ac:dyDescent="0.2">
      <c r="A3625">
        <v>62241</v>
      </c>
      <c r="B3625">
        <v>134414</v>
      </c>
      <c r="C3625" t="s">
        <v>7180</v>
      </c>
      <c r="D3625">
        <v>8</v>
      </c>
      <c r="E3625">
        <v>12</v>
      </c>
      <c r="F3625">
        <v>337</v>
      </c>
      <c r="G3625">
        <v>4044</v>
      </c>
      <c r="H3625">
        <v>72</v>
      </c>
      <c r="I3625">
        <v>4.7</v>
      </c>
      <c r="J3625">
        <v>0.98</v>
      </c>
      <c r="K3625">
        <v>3963.12</v>
      </c>
    </row>
    <row r="3626" spans="1:11" x14ac:dyDescent="0.2">
      <c r="A3626">
        <v>62245</v>
      </c>
      <c r="B3626">
        <v>134415</v>
      </c>
      <c r="C3626" t="s">
        <v>7181</v>
      </c>
      <c r="D3626">
        <v>8</v>
      </c>
      <c r="E3626">
        <v>12</v>
      </c>
      <c r="F3626">
        <v>849</v>
      </c>
      <c r="G3626">
        <v>10188</v>
      </c>
      <c r="H3626">
        <v>72</v>
      </c>
      <c r="I3626">
        <v>11.8</v>
      </c>
      <c r="J3626">
        <v>1.29</v>
      </c>
      <c r="K3626">
        <v>13142.52</v>
      </c>
    </row>
    <row r="3627" spans="1:11" x14ac:dyDescent="0.2">
      <c r="A3627">
        <v>76050</v>
      </c>
      <c r="B3627">
        <v>134425</v>
      </c>
      <c r="C3627" t="s">
        <v>7182</v>
      </c>
      <c r="D3627">
        <v>8</v>
      </c>
      <c r="E3627">
        <v>36</v>
      </c>
      <c r="F3627">
        <v>285</v>
      </c>
      <c r="G3627">
        <v>10260</v>
      </c>
      <c r="H3627">
        <v>90</v>
      </c>
      <c r="I3627">
        <v>3.2</v>
      </c>
      <c r="J3627">
        <v>0.98</v>
      </c>
      <c r="K3627">
        <v>10054.799999999999</v>
      </c>
    </row>
    <row r="3628" spans="1:11" x14ac:dyDescent="0.2">
      <c r="B3628">
        <v>134430</v>
      </c>
      <c r="C3628" t="s">
        <v>7183</v>
      </c>
      <c r="D3628">
        <v>11</v>
      </c>
      <c r="E3628">
        <v>144</v>
      </c>
      <c r="F3628">
        <v>0</v>
      </c>
      <c r="G3628">
        <v>0</v>
      </c>
      <c r="H3628">
        <v>2</v>
      </c>
      <c r="I3628">
        <v>0</v>
      </c>
      <c r="J3628">
        <v>1.89</v>
      </c>
      <c r="K3628">
        <v>0</v>
      </c>
    </row>
    <row r="3629" spans="1:11" x14ac:dyDescent="0.2">
      <c r="A3629">
        <v>73237</v>
      </c>
      <c r="B3629">
        <v>134431</v>
      </c>
      <c r="C3629" t="s">
        <v>7184</v>
      </c>
      <c r="D3629">
        <v>8</v>
      </c>
      <c r="E3629">
        <v>24</v>
      </c>
      <c r="F3629">
        <v>92</v>
      </c>
      <c r="G3629">
        <v>2208</v>
      </c>
      <c r="H3629">
        <v>63</v>
      </c>
      <c r="I3629">
        <v>1.5</v>
      </c>
      <c r="J3629">
        <v>0.99</v>
      </c>
      <c r="K3629">
        <v>2185.92</v>
      </c>
    </row>
    <row r="3630" spans="1:11" x14ac:dyDescent="0.2">
      <c r="A3630">
        <v>51504</v>
      </c>
      <c r="B3630">
        <v>134472</v>
      </c>
      <c r="C3630" t="s">
        <v>7185</v>
      </c>
      <c r="D3630">
        <v>10</v>
      </c>
      <c r="E3630">
        <v>5</v>
      </c>
      <c r="F3630">
        <v>3</v>
      </c>
      <c r="G3630">
        <v>15</v>
      </c>
      <c r="H3630">
        <v>144</v>
      </c>
      <c r="I3630">
        <v>0</v>
      </c>
      <c r="J3630">
        <v>16.89</v>
      </c>
      <c r="K3630">
        <v>253.35</v>
      </c>
    </row>
    <row r="3631" spans="1:11" x14ac:dyDescent="0.2">
      <c r="A3631">
        <v>43638</v>
      </c>
      <c r="B3631">
        <v>134816</v>
      </c>
      <c r="C3631" t="s">
        <v>7186</v>
      </c>
      <c r="D3631">
        <v>10</v>
      </c>
      <c r="E3631">
        <v>18</v>
      </c>
      <c r="F3631">
        <v>7</v>
      </c>
      <c r="G3631">
        <v>126</v>
      </c>
      <c r="H3631">
        <v>120</v>
      </c>
      <c r="I3631">
        <v>0.1</v>
      </c>
      <c r="J3631">
        <v>0.59</v>
      </c>
      <c r="K3631">
        <v>74.34</v>
      </c>
    </row>
    <row r="3632" spans="1:11" x14ac:dyDescent="0.2">
      <c r="A3632">
        <v>89018</v>
      </c>
      <c r="B3632">
        <v>134828</v>
      </c>
      <c r="C3632" t="s">
        <v>7187</v>
      </c>
      <c r="D3632">
        <v>8</v>
      </c>
      <c r="E3632">
        <v>10</v>
      </c>
      <c r="F3632">
        <v>72</v>
      </c>
      <c r="G3632">
        <v>720</v>
      </c>
      <c r="H3632">
        <v>72</v>
      </c>
      <c r="I3632">
        <v>1</v>
      </c>
      <c r="J3632">
        <v>1.4</v>
      </c>
      <c r="K3632">
        <v>1008</v>
      </c>
    </row>
    <row r="3633" spans="1:11" x14ac:dyDescent="0.2">
      <c r="A3633">
        <v>89024</v>
      </c>
      <c r="B3633">
        <v>134829</v>
      </c>
      <c r="C3633" t="s">
        <v>7188</v>
      </c>
      <c r="D3633">
        <v>8</v>
      </c>
      <c r="E3633">
        <v>10</v>
      </c>
      <c r="F3633">
        <v>126</v>
      </c>
      <c r="G3633">
        <v>1260</v>
      </c>
      <c r="H3633">
        <v>63</v>
      </c>
      <c r="I3633">
        <v>2</v>
      </c>
      <c r="J3633">
        <v>1.43</v>
      </c>
      <c r="K3633">
        <v>1801.8</v>
      </c>
    </row>
    <row r="3634" spans="1:11" x14ac:dyDescent="0.2">
      <c r="A3634">
        <v>89017</v>
      </c>
      <c r="B3634">
        <v>134830</v>
      </c>
      <c r="C3634" t="s">
        <v>7189</v>
      </c>
      <c r="D3634">
        <v>8</v>
      </c>
      <c r="E3634">
        <v>10</v>
      </c>
      <c r="F3634">
        <v>126</v>
      </c>
      <c r="G3634">
        <v>1260</v>
      </c>
      <c r="H3634">
        <v>63</v>
      </c>
      <c r="I3634">
        <v>2</v>
      </c>
      <c r="J3634">
        <v>1.1299999999999999</v>
      </c>
      <c r="K3634">
        <v>1423.8</v>
      </c>
    </row>
    <row r="3635" spans="1:11" x14ac:dyDescent="0.2">
      <c r="A3635">
        <v>87068</v>
      </c>
      <c r="B3635">
        <v>134891</v>
      </c>
      <c r="C3635" t="s">
        <v>4015</v>
      </c>
      <c r="D3635">
        <v>8</v>
      </c>
      <c r="E3635">
        <v>10</v>
      </c>
      <c r="F3635">
        <v>144</v>
      </c>
      <c r="G3635">
        <v>1440</v>
      </c>
      <c r="H3635">
        <v>72</v>
      </c>
      <c r="I3635">
        <v>2</v>
      </c>
      <c r="J3635">
        <v>2.69</v>
      </c>
      <c r="K3635">
        <v>3873.6</v>
      </c>
    </row>
    <row r="3636" spans="1:11" x14ac:dyDescent="0.2">
      <c r="B3636">
        <v>134946</v>
      </c>
      <c r="C3636" t="s">
        <v>7190</v>
      </c>
      <c r="D3636">
        <v>11</v>
      </c>
      <c r="E3636">
        <v>14</v>
      </c>
      <c r="F3636">
        <v>10</v>
      </c>
      <c r="G3636">
        <v>140</v>
      </c>
      <c r="H3636">
        <v>95</v>
      </c>
      <c r="I3636">
        <v>0.1</v>
      </c>
      <c r="J3636">
        <v>2.89</v>
      </c>
      <c r="K3636">
        <v>404.6</v>
      </c>
    </row>
    <row r="3637" spans="1:11" x14ac:dyDescent="0.2">
      <c r="A3637">
        <v>72025</v>
      </c>
      <c r="B3637">
        <v>134953</v>
      </c>
      <c r="C3637" t="s">
        <v>7191</v>
      </c>
      <c r="D3637">
        <v>8</v>
      </c>
      <c r="E3637">
        <v>12</v>
      </c>
      <c r="F3637">
        <v>706</v>
      </c>
      <c r="G3637">
        <v>8472</v>
      </c>
      <c r="H3637">
        <v>64</v>
      </c>
      <c r="I3637">
        <v>11</v>
      </c>
      <c r="J3637">
        <v>2.5499999999999998</v>
      </c>
      <c r="K3637">
        <v>21603.599999999999</v>
      </c>
    </row>
    <row r="3638" spans="1:11" x14ac:dyDescent="0.2">
      <c r="A3638">
        <v>70223</v>
      </c>
      <c r="B3638">
        <v>135006</v>
      </c>
      <c r="C3638" t="s">
        <v>7192</v>
      </c>
      <c r="D3638">
        <v>8</v>
      </c>
      <c r="E3638">
        <v>20</v>
      </c>
      <c r="F3638">
        <v>177</v>
      </c>
      <c r="G3638">
        <v>3540</v>
      </c>
      <c r="H3638">
        <v>120</v>
      </c>
      <c r="I3638">
        <v>1.5</v>
      </c>
      <c r="J3638">
        <v>2.15</v>
      </c>
      <c r="K3638">
        <v>7611</v>
      </c>
    </row>
    <row r="3639" spans="1:11" x14ac:dyDescent="0.2">
      <c r="A3639">
        <v>93298</v>
      </c>
      <c r="B3639">
        <v>135059</v>
      </c>
      <c r="C3639" t="s">
        <v>7193</v>
      </c>
      <c r="D3639">
        <v>10</v>
      </c>
      <c r="E3639">
        <v>8</v>
      </c>
      <c r="F3639">
        <v>1</v>
      </c>
      <c r="G3639">
        <v>8</v>
      </c>
      <c r="H3639">
        <v>16</v>
      </c>
      <c r="I3639">
        <v>0.1</v>
      </c>
      <c r="J3639">
        <v>14.99</v>
      </c>
      <c r="K3639">
        <v>119.92</v>
      </c>
    </row>
    <row r="3640" spans="1:11" x14ac:dyDescent="0.2">
      <c r="A3640">
        <v>93309</v>
      </c>
      <c r="B3640">
        <v>135060</v>
      </c>
      <c r="C3640" t="s">
        <v>7194</v>
      </c>
      <c r="D3640">
        <v>10</v>
      </c>
      <c r="E3640">
        <v>6</v>
      </c>
      <c r="F3640">
        <v>0</v>
      </c>
      <c r="G3640">
        <v>0</v>
      </c>
      <c r="H3640">
        <v>28</v>
      </c>
      <c r="I3640">
        <v>0</v>
      </c>
      <c r="J3640">
        <v>9.99</v>
      </c>
      <c r="K3640">
        <v>0</v>
      </c>
    </row>
    <row r="3641" spans="1:11" x14ac:dyDescent="0.2">
      <c r="B3641">
        <v>135061</v>
      </c>
      <c r="C3641" t="s">
        <v>7195</v>
      </c>
      <c r="D3641">
        <v>6</v>
      </c>
      <c r="E3641">
        <v>6</v>
      </c>
      <c r="F3641">
        <v>0</v>
      </c>
      <c r="G3641">
        <v>0</v>
      </c>
      <c r="H3641">
        <v>32</v>
      </c>
      <c r="I3641">
        <v>0</v>
      </c>
      <c r="J3641">
        <v>9.99</v>
      </c>
      <c r="K3641">
        <v>0</v>
      </c>
    </row>
    <row r="3642" spans="1:11" x14ac:dyDescent="0.2">
      <c r="B3642">
        <v>135062</v>
      </c>
      <c r="C3642" t="s">
        <v>7196</v>
      </c>
      <c r="D3642">
        <v>6</v>
      </c>
      <c r="E3642">
        <v>8</v>
      </c>
      <c r="F3642">
        <v>0</v>
      </c>
      <c r="G3642">
        <v>0</v>
      </c>
      <c r="H3642">
        <v>24</v>
      </c>
      <c r="I3642">
        <v>0</v>
      </c>
      <c r="J3642">
        <v>11.99</v>
      </c>
      <c r="K3642">
        <v>0</v>
      </c>
    </row>
    <row r="3643" spans="1:11" x14ac:dyDescent="0.2">
      <c r="A3643">
        <v>70274</v>
      </c>
      <c r="B3643">
        <v>135106</v>
      </c>
      <c r="C3643" t="s">
        <v>7197</v>
      </c>
      <c r="D3643">
        <v>8</v>
      </c>
      <c r="E3643">
        <v>13</v>
      </c>
      <c r="F3643">
        <v>314</v>
      </c>
      <c r="G3643">
        <v>4082</v>
      </c>
      <c r="H3643">
        <v>144</v>
      </c>
      <c r="I3643">
        <v>2.2000000000000002</v>
      </c>
      <c r="J3643">
        <v>1.49</v>
      </c>
      <c r="K3643">
        <v>6082.18</v>
      </c>
    </row>
    <row r="3644" spans="1:11" x14ac:dyDescent="0.2">
      <c r="A3644">
        <v>62025</v>
      </c>
      <c r="B3644">
        <v>135134</v>
      </c>
      <c r="C3644" t="s">
        <v>7198</v>
      </c>
      <c r="D3644">
        <v>8</v>
      </c>
      <c r="E3644">
        <v>6</v>
      </c>
      <c r="F3644">
        <v>339</v>
      </c>
      <c r="G3644">
        <v>2034</v>
      </c>
      <c r="H3644">
        <v>145</v>
      </c>
      <c r="I3644">
        <v>2.2999999999999998</v>
      </c>
      <c r="J3644">
        <v>8.49</v>
      </c>
      <c r="K3644">
        <v>17268.66</v>
      </c>
    </row>
    <row r="3645" spans="1:11" x14ac:dyDescent="0.2">
      <c r="A3645">
        <v>42521</v>
      </c>
      <c r="B3645">
        <v>135144</v>
      </c>
      <c r="C3645" t="s">
        <v>7199</v>
      </c>
      <c r="D3645">
        <v>10</v>
      </c>
      <c r="E3645">
        <v>20</v>
      </c>
      <c r="F3645">
        <v>3</v>
      </c>
      <c r="G3645">
        <v>60</v>
      </c>
      <c r="H3645">
        <v>120</v>
      </c>
      <c r="I3645">
        <v>0</v>
      </c>
      <c r="J3645">
        <v>1.79</v>
      </c>
      <c r="K3645">
        <v>107.4</v>
      </c>
    </row>
    <row r="3646" spans="1:11" x14ac:dyDescent="0.2">
      <c r="B3646">
        <v>135145</v>
      </c>
      <c r="C3646" t="s">
        <v>6443</v>
      </c>
      <c r="D3646">
        <v>11</v>
      </c>
      <c r="E3646">
        <v>36</v>
      </c>
      <c r="F3646">
        <v>0</v>
      </c>
      <c r="G3646">
        <v>0</v>
      </c>
      <c r="H3646">
        <v>864</v>
      </c>
      <c r="I3646">
        <v>0</v>
      </c>
      <c r="J3646">
        <v>0.99</v>
      </c>
      <c r="K3646">
        <v>0</v>
      </c>
    </row>
    <row r="3647" spans="1:11" x14ac:dyDescent="0.2">
      <c r="A3647">
        <v>72256</v>
      </c>
      <c r="B3647">
        <v>135242</v>
      </c>
      <c r="C3647" t="s">
        <v>7200</v>
      </c>
      <c r="D3647">
        <v>8</v>
      </c>
      <c r="E3647">
        <v>20</v>
      </c>
      <c r="F3647">
        <v>158</v>
      </c>
      <c r="G3647">
        <v>3160</v>
      </c>
      <c r="H3647">
        <v>84</v>
      </c>
      <c r="I3647">
        <v>1.9</v>
      </c>
      <c r="J3647">
        <v>1.74</v>
      </c>
      <c r="K3647">
        <v>5498.4</v>
      </c>
    </row>
    <row r="3648" spans="1:11" x14ac:dyDescent="0.2">
      <c r="B3648">
        <v>135277</v>
      </c>
      <c r="C3648" t="s">
        <v>7201</v>
      </c>
      <c r="D3648">
        <v>11</v>
      </c>
      <c r="E3648">
        <v>36</v>
      </c>
      <c r="F3648">
        <v>0</v>
      </c>
      <c r="G3648">
        <v>0</v>
      </c>
      <c r="H3648">
        <v>864</v>
      </c>
      <c r="I3648">
        <v>0</v>
      </c>
      <c r="J3648">
        <v>0.99</v>
      </c>
      <c r="K3648">
        <v>0</v>
      </c>
    </row>
    <row r="3649" spans="1:11" x14ac:dyDescent="0.2">
      <c r="B3649">
        <v>135342</v>
      </c>
      <c r="C3649" t="s">
        <v>7202</v>
      </c>
      <c r="D3649">
        <v>11</v>
      </c>
      <c r="E3649">
        <v>24</v>
      </c>
      <c r="F3649">
        <v>0</v>
      </c>
      <c r="G3649">
        <v>0</v>
      </c>
      <c r="H3649">
        <v>576</v>
      </c>
      <c r="I3649">
        <v>0</v>
      </c>
      <c r="J3649">
        <v>0.99</v>
      </c>
      <c r="K3649">
        <v>0</v>
      </c>
    </row>
    <row r="3650" spans="1:11" x14ac:dyDescent="0.2">
      <c r="B3650">
        <v>135343</v>
      </c>
      <c r="C3650" t="s">
        <v>7203</v>
      </c>
      <c r="D3650">
        <v>11</v>
      </c>
      <c r="E3650">
        <v>24</v>
      </c>
      <c r="F3650">
        <v>0</v>
      </c>
      <c r="G3650">
        <v>0</v>
      </c>
      <c r="H3650">
        <v>576</v>
      </c>
      <c r="I3650">
        <v>0</v>
      </c>
      <c r="J3650">
        <v>0.99</v>
      </c>
      <c r="K3650">
        <v>0</v>
      </c>
    </row>
    <row r="3651" spans="1:11" x14ac:dyDescent="0.2">
      <c r="B3651">
        <v>135344</v>
      </c>
      <c r="C3651" t="s">
        <v>6442</v>
      </c>
      <c r="D3651">
        <v>11</v>
      </c>
      <c r="E3651">
        <v>36</v>
      </c>
      <c r="F3651">
        <v>0</v>
      </c>
      <c r="G3651">
        <v>0</v>
      </c>
      <c r="H3651">
        <v>864</v>
      </c>
      <c r="I3651">
        <v>0</v>
      </c>
      <c r="J3651">
        <v>0.99</v>
      </c>
      <c r="K3651">
        <v>0</v>
      </c>
    </row>
    <row r="3652" spans="1:11" x14ac:dyDescent="0.2">
      <c r="B3652">
        <v>135345</v>
      </c>
      <c r="C3652" t="s">
        <v>7204</v>
      </c>
      <c r="D3652">
        <v>11</v>
      </c>
      <c r="E3652">
        <v>24</v>
      </c>
      <c r="F3652">
        <v>0</v>
      </c>
      <c r="G3652">
        <v>0</v>
      </c>
      <c r="H3652">
        <v>576</v>
      </c>
      <c r="I3652">
        <v>0</v>
      </c>
      <c r="J3652">
        <v>0.99</v>
      </c>
      <c r="K3652">
        <v>0</v>
      </c>
    </row>
    <row r="3653" spans="1:11" x14ac:dyDescent="0.2">
      <c r="B3653">
        <v>135347</v>
      </c>
      <c r="C3653" t="s">
        <v>7205</v>
      </c>
      <c r="D3653">
        <v>11</v>
      </c>
      <c r="E3653">
        <v>48</v>
      </c>
      <c r="F3653">
        <v>0</v>
      </c>
      <c r="G3653">
        <v>0</v>
      </c>
      <c r="H3653">
        <v>1152</v>
      </c>
      <c r="I3653">
        <v>0</v>
      </c>
      <c r="J3653">
        <v>0.99</v>
      </c>
      <c r="K3653">
        <v>0</v>
      </c>
    </row>
    <row r="3654" spans="1:11" x14ac:dyDescent="0.2">
      <c r="B3654">
        <v>135348</v>
      </c>
      <c r="C3654" t="s">
        <v>7206</v>
      </c>
      <c r="D3654">
        <v>11</v>
      </c>
      <c r="E3654">
        <v>48</v>
      </c>
      <c r="F3654">
        <v>0</v>
      </c>
      <c r="G3654">
        <v>0</v>
      </c>
      <c r="H3654">
        <v>1152</v>
      </c>
      <c r="I3654">
        <v>0</v>
      </c>
      <c r="J3654">
        <v>0.99</v>
      </c>
      <c r="K3654">
        <v>0</v>
      </c>
    </row>
    <row r="3655" spans="1:11" x14ac:dyDescent="0.2">
      <c r="B3655">
        <v>135350</v>
      </c>
      <c r="C3655" t="s">
        <v>7207</v>
      </c>
      <c r="D3655">
        <v>11</v>
      </c>
      <c r="E3655">
        <v>36</v>
      </c>
      <c r="F3655">
        <v>0</v>
      </c>
      <c r="G3655">
        <v>0</v>
      </c>
      <c r="H3655">
        <v>864</v>
      </c>
      <c r="I3655">
        <v>0</v>
      </c>
      <c r="J3655">
        <v>0.99</v>
      </c>
      <c r="K3655">
        <v>0</v>
      </c>
    </row>
    <row r="3656" spans="1:11" x14ac:dyDescent="0.2">
      <c r="B3656">
        <v>135351</v>
      </c>
      <c r="C3656" t="s">
        <v>7208</v>
      </c>
      <c r="D3656">
        <v>11</v>
      </c>
      <c r="E3656">
        <v>36</v>
      </c>
      <c r="F3656">
        <v>0</v>
      </c>
      <c r="G3656">
        <v>0</v>
      </c>
      <c r="H3656">
        <v>864</v>
      </c>
      <c r="I3656">
        <v>0</v>
      </c>
      <c r="J3656">
        <v>0.99</v>
      </c>
      <c r="K3656">
        <v>0</v>
      </c>
    </row>
    <row r="3657" spans="1:11" x14ac:dyDescent="0.2">
      <c r="A3657">
        <v>72014</v>
      </c>
      <c r="B3657">
        <v>135389</v>
      </c>
      <c r="C3657" t="s">
        <v>7209</v>
      </c>
      <c r="D3657">
        <v>8</v>
      </c>
      <c r="E3657">
        <v>12</v>
      </c>
      <c r="F3657">
        <v>304</v>
      </c>
      <c r="G3657">
        <v>3648</v>
      </c>
      <c r="H3657">
        <v>72</v>
      </c>
      <c r="I3657">
        <v>4.2</v>
      </c>
      <c r="J3657">
        <v>1.0900000000000001</v>
      </c>
      <c r="K3657">
        <v>3976.32</v>
      </c>
    </row>
    <row r="3658" spans="1:11" x14ac:dyDescent="0.2">
      <c r="A3658">
        <v>33617</v>
      </c>
      <c r="B3658">
        <v>135546</v>
      </c>
      <c r="C3658" t="s">
        <v>7210</v>
      </c>
      <c r="D3658">
        <v>10</v>
      </c>
      <c r="E3658">
        <v>48</v>
      </c>
      <c r="F3658">
        <v>0</v>
      </c>
      <c r="G3658">
        <v>0</v>
      </c>
      <c r="H3658">
        <v>24</v>
      </c>
      <c r="I3658">
        <v>0</v>
      </c>
      <c r="J3658">
        <v>1.59</v>
      </c>
      <c r="K3658">
        <v>0</v>
      </c>
    </row>
    <row r="3659" spans="1:11" x14ac:dyDescent="0.2">
      <c r="A3659">
        <v>33618</v>
      </c>
      <c r="B3659">
        <v>135547</v>
      </c>
      <c r="C3659" t="s">
        <v>7211</v>
      </c>
      <c r="D3659">
        <v>10</v>
      </c>
      <c r="E3659">
        <v>48</v>
      </c>
      <c r="F3659">
        <v>0</v>
      </c>
      <c r="G3659">
        <v>0</v>
      </c>
      <c r="H3659">
        <v>24</v>
      </c>
      <c r="I3659">
        <v>0</v>
      </c>
      <c r="J3659">
        <v>1.59</v>
      </c>
      <c r="K3659">
        <v>0</v>
      </c>
    </row>
    <row r="3660" spans="1:11" x14ac:dyDescent="0.2">
      <c r="A3660">
        <v>33619</v>
      </c>
      <c r="B3660">
        <v>135549</v>
      </c>
      <c r="C3660" t="s">
        <v>7212</v>
      </c>
      <c r="D3660">
        <v>10</v>
      </c>
      <c r="E3660">
        <v>32</v>
      </c>
      <c r="F3660">
        <v>0</v>
      </c>
      <c r="G3660">
        <v>0</v>
      </c>
      <c r="H3660">
        <v>24</v>
      </c>
      <c r="I3660">
        <v>0</v>
      </c>
      <c r="J3660">
        <v>1.59</v>
      </c>
      <c r="K3660">
        <v>0</v>
      </c>
    </row>
    <row r="3661" spans="1:11" x14ac:dyDescent="0.2">
      <c r="A3661">
        <v>33520</v>
      </c>
      <c r="B3661">
        <v>135551</v>
      </c>
      <c r="C3661" t="s">
        <v>7213</v>
      </c>
      <c r="D3661">
        <v>10</v>
      </c>
      <c r="E3661">
        <v>24</v>
      </c>
      <c r="F3661">
        <v>0</v>
      </c>
      <c r="G3661">
        <v>0</v>
      </c>
      <c r="H3661">
        <v>24</v>
      </c>
      <c r="I3661">
        <v>0</v>
      </c>
      <c r="J3661">
        <v>1.59</v>
      </c>
      <c r="K3661">
        <v>0</v>
      </c>
    </row>
    <row r="3662" spans="1:11" x14ac:dyDescent="0.2">
      <c r="A3662">
        <v>33621</v>
      </c>
      <c r="B3662">
        <v>135553</v>
      </c>
      <c r="C3662" t="s">
        <v>7214</v>
      </c>
      <c r="D3662">
        <v>10</v>
      </c>
      <c r="E3662">
        <v>48</v>
      </c>
      <c r="F3662">
        <v>0</v>
      </c>
      <c r="G3662">
        <v>0</v>
      </c>
      <c r="H3662">
        <v>24</v>
      </c>
      <c r="I3662">
        <v>0</v>
      </c>
      <c r="J3662">
        <v>1.59</v>
      </c>
      <c r="K3662">
        <v>0</v>
      </c>
    </row>
    <row r="3663" spans="1:11" x14ac:dyDescent="0.2">
      <c r="A3663">
        <v>76085</v>
      </c>
      <c r="B3663">
        <v>135636</v>
      </c>
      <c r="C3663" t="s">
        <v>7215</v>
      </c>
      <c r="D3663">
        <v>8</v>
      </c>
      <c r="E3663">
        <v>10</v>
      </c>
      <c r="F3663">
        <v>291</v>
      </c>
      <c r="G3663">
        <v>2910</v>
      </c>
      <c r="H3663">
        <v>28</v>
      </c>
      <c r="I3663">
        <v>10.4</v>
      </c>
      <c r="J3663">
        <v>1.95</v>
      </c>
      <c r="K3663">
        <v>5674.5</v>
      </c>
    </row>
    <row r="3664" spans="1:11" x14ac:dyDescent="0.2">
      <c r="A3664">
        <v>76089</v>
      </c>
      <c r="B3664">
        <v>135638</v>
      </c>
      <c r="C3664" t="s">
        <v>7216</v>
      </c>
      <c r="D3664">
        <v>8</v>
      </c>
      <c r="E3664">
        <v>12</v>
      </c>
      <c r="F3664">
        <v>260</v>
      </c>
      <c r="G3664">
        <v>3120</v>
      </c>
      <c r="H3664">
        <v>28</v>
      </c>
      <c r="I3664">
        <v>9.3000000000000007</v>
      </c>
      <c r="J3664">
        <v>1.99</v>
      </c>
      <c r="K3664">
        <v>6208.8</v>
      </c>
    </row>
    <row r="3665" spans="1:11" x14ac:dyDescent="0.2">
      <c r="A3665">
        <v>76094</v>
      </c>
      <c r="B3665">
        <v>135639</v>
      </c>
      <c r="C3665" t="s">
        <v>7217</v>
      </c>
      <c r="D3665">
        <v>8</v>
      </c>
      <c r="E3665">
        <v>10</v>
      </c>
      <c r="F3665">
        <v>195</v>
      </c>
      <c r="G3665">
        <v>1950</v>
      </c>
      <c r="H3665">
        <v>28</v>
      </c>
      <c r="I3665">
        <v>7</v>
      </c>
      <c r="J3665">
        <v>3.1</v>
      </c>
      <c r="K3665">
        <v>6045</v>
      </c>
    </row>
    <row r="3666" spans="1:11" x14ac:dyDescent="0.2">
      <c r="A3666">
        <v>36612</v>
      </c>
      <c r="B3666">
        <v>135642</v>
      </c>
      <c r="C3666" t="s">
        <v>7218</v>
      </c>
      <c r="D3666">
        <v>10</v>
      </c>
      <c r="E3666">
        <v>10</v>
      </c>
      <c r="F3666">
        <v>0</v>
      </c>
      <c r="G3666">
        <v>0</v>
      </c>
      <c r="H3666">
        <v>96</v>
      </c>
      <c r="I3666">
        <v>0</v>
      </c>
      <c r="J3666">
        <v>1.99</v>
      </c>
      <c r="K3666">
        <v>0</v>
      </c>
    </row>
    <row r="3667" spans="1:11" x14ac:dyDescent="0.2">
      <c r="B3667">
        <v>135645</v>
      </c>
      <c r="C3667" t="s">
        <v>7219</v>
      </c>
      <c r="D3667">
        <v>11</v>
      </c>
      <c r="E3667">
        <v>6</v>
      </c>
      <c r="F3667">
        <v>0</v>
      </c>
      <c r="G3667">
        <v>0</v>
      </c>
      <c r="H3667">
        <v>105</v>
      </c>
      <c r="I3667">
        <v>0</v>
      </c>
      <c r="J3667">
        <v>2.4900000000000002</v>
      </c>
      <c r="K3667">
        <v>0</v>
      </c>
    </row>
    <row r="3668" spans="1:11" x14ac:dyDescent="0.2">
      <c r="A3668">
        <v>66027</v>
      </c>
      <c r="B3668">
        <v>135864</v>
      </c>
      <c r="C3668" t="s">
        <v>7220</v>
      </c>
      <c r="D3668">
        <v>8</v>
      </c>
      <c r="E3668">
        <v>30</v>
      </c>
      <c r="F3668">
        <v>65</v>
      </c>
      <c r="G3668">
        <v>1950</v>
      </c>
      <c r="H3668">
        <v>108</v>
      </c>
      <c r="I3668">
        <v>0.6</v>
      </c>
      <c r="J3668">
        <v>1.59</v>
      </c>
      <c r="K3668">
        <v>3100.5</v>
      </c>
    </row>
    <row r="3669" spans="1:11" x14ac:dyDescent="0.2">
      <c r="A3669">
        <v>66065</v>
      </c>
      <c r="B3669">
        <v>135923</v>
      </c>
      <c r="C3669" t="s">
        <v>7221</v>
      </c>
      <c r="D3669">
        <v>8</v>
      </c>
      <c r="E3669">
        <v>14</v>
      </c>
      <c r="F3669">
        <v>152</v>
      </c>
      <c r="G3669">
        <v>2129</v>
      </c>
      <c r="H3669">
        <v>377</v>
      </c>
      <c r="I3669">
        <v>0.4</v>
      </c>
      <c r="J3669">
        <v>0.79</v>
      </c>
      <c r="K3669">
        <v>1681.91</v>
      </c>
    </row>
    <row r="3670" spans="1:11" x14ac:dyDescent="0.2">
      <c r="A3670">
        <v>83023</v>
      </c>
      <c r="B3670">
        <v>135932</v>
      </c>
      <c r="C3670" t="s">
        <v>7222</v>
      </c>
      <c r="D3670">
        <v>8</v>
      </c>
      <c r="E3670">
        <v>20</v>
      </c>
      <c r="F3670">
        <v>192</v>
      </c>
      <c r="G3670">
        <v>3840</v>
      </c>
      <c r="H3670">
        <v>120</v>
      </c>
      <c r="I3670">
        <v>1.6</v>
      </c>
      <c r="J3670">
        <v>1.49</v>
      </c>
      <c r="K3670">
        <v>5721.6</v>
      </c>
    </row>
    <row r="3671" spans="1:11" x14ac:dyDescent="0.2">
      <c r="A3671">
        <v>61104</v>
      </c>
      <c r="B3671">
        <v>135934</v>
      </c>
      <c r="C3671" t="s">
        <v>7223</v>
      </c>
      <c r="D3671">
        <v>8</v>
      </c>
      <c r="E3671">
        <v>6</v>
      </c>
      <c r="F3671">
        <v>560</v>
      </c>
      <c r="G3671">
        <v>3360</v>
      </c>
      <c r="H3671">
        <v>105</v>
      </c>
      <c r="I3671">
        <v>5.3</v>
      </c>
      <c r="J3671">
        <v>5.99</v>
      </c>
      <c r="K3671">
        <v>20126.400000000001</v>
      </c>
    </row>
    <row r="3672" spans="1:11" x14ac:dyDescent="0.2">
      <c r="A3672">
        <v>61115</v>
      </c>
      <c r="B3672">
        <v>135970</v>
      </c>
      <c r="C3672" t="s">
        <v>7224</v>
      </c>
      <c r="D3672">
        <v>8</v>
      </c>
      <c r="E3672">
        <v>6</v>
      </c>
      <c r="F3672">
        <v>62</v>
      </c>
      <c r="G3672">
        <v>372</v>
      </c>
      <c r="H3672">
        <v>125</v>
      </c>
      <c r="I3672">
        <v>0.5</v>
      </c>
      <c r="J3672">
        <v>2.99</v>
      </c>
      <c r="K3672">
        <v>1112.28</v>
      </c>
    </row>
    <row r="3673" spans="1:11" x14ac:dyDescent="0.2">
      <c r="A3673">
        <v>2601</v>
      </c>
      <c r="B3673">
        <v>135974</v>
      </c>
      <c r="C3673" t="s">
        <v>7225</v>
      </c>
      <c r="D3673">
        <v>6</v>
      </c>
      <c r="E3673">
        <v>8</v>
      </c>
      <c r="F3673">
        <v>0</v>
      </c>
      <c r="G3673">
        <v>0</v>
      </c>
      <c r="H3673">
        <v>100</v>
      </c>
      <c r="I3673">
        <v>0</v>
      </c>
      <c r="J3673">
        <v>0.99</v>
      </c>
      <c r="K3673">
        <v>0</v>
      </c>
    </row>
    <row r="3674" spans="1:11" x14ac:dyDescent="0.2">
      <c r="A3674">
        <v>2602</v>
      </c>
      <c r="B3674">
        <v>135975</v>
      </c>
      <c r="C3674" t="s">
        <v>7226</v>
      </c>
      <c r="D3674">
        <v>6</v>
      </c>
      <c r="E3674">
        <v>8</v>
      </c>
      <c r="F3674">
        <v>0</v>
      </c>
      <c r="G3674">
        <v>0</v>
      </c>
      <c r="H3674">
        <v>100</v>
      </c>
      <c r="I3674">
        <v>0</v>
      </c>
      <c r="J3674">
        <v>0.99</v>
      </c>
      <c r="K3674">
        <v>0</v>
      </c>
    </row>
    <row r="3675" spans="1:11" x14ac:dyDescent="0.2">
      <c r="A3675">
        <v>92910</v>
      </c>
      <c r="B3675">
        <v>136018</v>
      </c>
      <c r="C3675" t="s">
        <v>6378</v>
      </c>
      <c r="D3675">
        <v>7</v>
      </c>
      <c r="E3675">
        <v>2</v>
      </c>
      <c r="F3675">
        <v>13</v>
      </c>
      <c r="G3675">
        <v>26</v>
      </c>
      <c r="H3675">
        <v>36</v>
      </c>
      <c r="I3675">
        <v>0.4</v>
      </c>
      <c r="J3675">
        <v>7.99</v>
      </c>
      <c r="K3675">
        <v>207.74</v>
      </c>
    </row>
    <row r="3676" spans="1:11" x14ac:dyDescent="0.2">
      <c r="A3676">
        <v>83063</v>
      </c>
      <c r="B3676">
        <v>136047</v>
      </c>
      <c r="C3676" t="s">
        <v>7227</v>
      </c>
      <c r="D3676">
        <v>8</v>
      </c>
      <c r="E3676">
        <v>16</v>
      </c>
      <c r="F3676">
        <v>226</v>
      </c>
      <c r="G3676">
        <v>3616</v>
      </c>
      <c r="H3676">
        <v>120</v>
      </c>
      <c r="I3676">
        <v>1.9</v>
      </c>
      <c r="J3676">
        <v>1.79</v>
      </c>
      <c r="K3676">
        <v>6472.64</v>
      </c>
    </row>
    <row r="3677" spans="1:11" x14ac:dyDescent="0.2">
      <c r="B3677">
        <v>136051</v>
      </c>
      <c r="C3677" t="s">
        <v>7228</v>
      </c>
      <c r="D3677">
        <v>11</v>
      </c>
      <c r="E3677">
        <v>6</v>
      </c>
      <c r="F3677">
        <v>4</v>
      </c>
      <c r="G3677">
        <v>24</v>
      </c>
      <c r="H3677">
        <v>125</v>
      </c>
      <c r="I3677">
        <v>0</v>
      </c>
      <c r="J3677">
        <v>2.99</v>
      </c>
      <c r="K3677">
        <v>71.760000000000005</v>
      </c>
    </row>
    <row r="3678" spans="1:11" x14ac:dyDescent="0.2">
      <c r="A3678">
        <v>72162</v>
      </c>
      <c r="B3678">
        <v>136055</v>
      </c>
      <c r="C3678" t="s">
        <v>7229</v>
      </c>
      <c r="D3678">
        <v>8</v>
      </c>
      <c r="E3678">
        <v>12</v>
      </c>
      <c r="F3678">
        <v>885</v>
      </c>
      <c r="G3678">
        <v>10620</v>
      </c>
      <c r="H3678">
        <v>120</v>
      </c>
      <c r="I3678">
        <v>7.4</v>
      </c>
      <c r="J3678">
        <v>1.29</v>
      </c>
      <c r="K3678">
        <v>13699.8</v>
      </c>
    </row>
    <row r="3679" spans="1:11" x14ac:dyDescent="0.2">
      <c r="A3679">
        <v>61146</v>
      </c>
      <c r="B3679">
        <v>136119</v>
      </c>
      <c r="C3679" t="s">
        <v>7230</v>
      </c>
      <c r="D3679">
        <v>8</v>
      </c>
      <c r="E3679">
        <v>4</v>
      </c>
      <c r="F3679">
        <v>377</v>
      </c>
      <c r="G3679">
        <v>1508</v>
      </c>
      <c r="H3679">
        <v>66</v>
      </c>
      <c r="I3679">
        <v>5.7</v>
      </c>
      <c r="J3679">
        <v>7.99</v>
      </c>
      <c r="K3679">
        <v>12048.92</v>
      </c>
    </row>
    <row r="3680" spans="1:11" x14ac:dyDescent="0.2">
      <c r="A3680">
        <v>99249</v>
      </c>
      <c r="B3680">
        <v>136224</v>
      </c>
      <c r="C3680" t="s">
        <v>7231</v>
      </c>
      <c r="D3680">
        <v>10</v>
      </c>
      <c r="E3680">
        <v>12</v>
      </c>
      <c r="F3680">
        <v>0</v>
      </c>
      <c r="G3680">
        <v>0</v>
      </c>
      <c r="H3680">
        <v>56</v>
      </c>
      <c r="I3680">
        <v>0</v>
      </c>
      <c r="J3680">
        <v>1.89</v>
      </c>
      <c r="K3680">
        <v>0</v>
      </c>
    </row>
    <row r="3681" spans="1:11" x14ac:dyDescent="0.2">
      <c r="A3681">
        <v>2657</v>
      </c>
      <c r="B3681">
        <v>136245</v>
      </c>
      <c r="C3681" t="s">
        <v>7232</v>
      </c>
      <c r="D3681">
        <v>6</v>
      </c>
      <c r="E3681">
        <v>6</v>
      </c>
      <c r="F3681">
        <v>2</v>
      </c>
      <c r="G3681">
        <v>12</v>
      </c>
      <c r="H3681">
        <v>80</v>
      </c>
      <c r="I3681">
        <v>0</v>
      </c>
      <c r="J3681">
        <v>4.49</v>
      </c>
      <c r="K3681">
        <v>53.88</v>
      </c>
    </row>
    <row r="3682" spans="1:11" x14ac:dyDescent="0.2">
      <c r="A3682">
        <v>1617</v>
      </c>
      <c r="B3682">
        <v>136246</v>
      </c>
      <c r="C3682" t="s">
        <v>7233</v>
      </c>
      <c r="D3682">
        <v>6</v>
      </c>
      <c r="E3682">
        <v>6</v>
      </c>
      <c r="F3682">
        <v>2</v>
      </c>
      <c r="G3682">
        <v>12</v>
      </c>
      <c r="H3682">
        <v>96</v>
      </c>
      <c r="I3682">
        <v>0</v>
      </c>
      <c r="J3682">
        <v>3.29</v>
      </c>
      <c r="K3682">
        <v>39.479999999999997</v>
      </c>
    </row>
    <row r="3683" spans="1:11" x14ac:dyDescent="0.2">
      <c r="B3683">
        <v>136247</v>
      </c>
      <c r="C3683" t="s">
        <v>7234</v>
      </c>
      <c r="D3683">
        <v>10</v>
      </c>
      <c r="E3683">
        <v>6</v>
      </c>
      <c r="F3683">
        <v>0</v>
      </c>
      <c r="G3683">
        <v>0</v>
      </c>
      <c r="H3683">
        <v>100</v>
      </c>
      <c r="I3683">
        <v>0</v>
      </c>
      <c r="J3683">
        <v>4.99</v>
      </c>
      <c r="K3683">
        <v>0</v>
      </c>
    </row>
    <row r="3684" spans="1:11" x14ac:dyDescent="0.2">
      <c r="A3684">
        <v>42624</v>
      </c>
      <c r="B3684">
        <v>136270</v>
      </c>
      <c r="C3684" t="s">
        <v>7235</v>
      </c>
      <c r="D3684">
        <v>10</v>
      </c>
      <c r="E3684">
        <v>6</v>
      </c>
      <c r="F3684">
        <v>0</v>
      </c>
      <c r="G3684">
        <v>0</v>
      </c>
      <c r="H3684">
        <v>105</v>
      </c>
      <c r="I3684">
        <v>0</v>
      </c>
      <c r="J3684">
        <v>1</v>
      </c>
      <c r="K3684">
        <v>0</v>
      </c>
    </row>
    <row r="3685" spans="1:11" x14ac:dyDescent="0.2">
      <c r="A3685">
        <v>2519</v>
      </c>
      <c r="B3685">
        <v>136305</v>
      </c>
      <c r="C3685" t="s">
        <v>7236</v>
      </c>
      <c r="D3685">
        <v>6</v>
      </c>
      <c r="E3685">
        <v>12</v>
      </c>
      <c r="F3685">
        <v>0</v>
      </c>
      <c r="G3685">
        <v>0</v>
      </c>
      <c r="H3685">
        <v>168</v>
      </c>
      <c r="I3685">
        <v>0</v>
      </c>
      <c r="J3685">
        <v>2.4900000000000002</v>
      </c>
      <c r="K3685">
        <v>0</v>
      </c>
    </row>
    <row r="3686" spans="1:11" x14ac:dyDescent="0.2">
      <c r="A3686">
        <v>61144</v>
      </c>
      <c r="B3686">
        <v>136330</v>
      </c>
      <c r="C3686" t="s">
        <v>7237</v>
      </c>
      <c r="D3686">
        <v>8</v>
      </c>
      <c r="E3686">
        <v>6</v>
      </c>
      <c r="F3686">
        <v>233</v>
      </c>
      <c r="G3686">
        <v>1398</v>
      </c>
      <c r="H3686">
        <v>105</v>
      </c>
      <c r="I3686">
        <v>2.2000000000000002</v>
      </c>
      <c r="J3686">
        <v>2.75</v>
      </c>
      <c r="K3686">
        <v>3844.5</v>
      </c>
    </row>
    <row r="3687" spans="1:11" x14ac:dyDescent="0.2">
      <c r="A3687">
        <v>61065</v>
      </c>
      <c r="B3687">
        <v>136333</v>
      </c>
      <c r="C3687" t="s">
        <v>7238</v>
      </c>
      <c r="D3687">
        <v>8</v>
      </c>
      <c r="E3687">
        <v>6</v>
      </c>
      <c r="F3687">
        <v>383</v>
      </c>
      <c r="G3687">
        <v>2298</v>
      </c>
      <c r="H3687">
        <v>100</v>
      </c>
      <c r="I3687">
        <v>3.8</v>
      </c>
      <c r="J3687">
        <v>2.59</v>
      </c>
      <c r="K3687">
        <v>5951.82</v>
      </c>
    </row>
    <row r="3688" spans="1:11" x14ac:dyDescent="0.2">
      <c r="B3688">
        <v>136348</v>
      </c>
      <c r="C3688" t="s">
        <v>7239</v>
      </c>
      <c r="D3688">
        <v>11</v>
      </c>
      <c r="E3688">
        <v>6</v>
      </c>
      <c r="F3688">
        <v>5</v>
      </c>
      <c r="G3688">
        <v>30</v>
      </c>
      <c r="H3688">
        <v>105</v>
      </c>
      <c r="I3688">
        <v>0</v>
      </c>
      <c r="J3688">
        <v>3.49</v>
      </c>
      <c r="K3688">
        <v>104.7</v>
      </c>
    </row>
    <row r="3689" spans="1:11" x14ac:dyDescent="0.2">
      <c r="B3689">
        <v>136350</v>
      </c>
      <c r="C3689" t="s">
        <v>7240</v>
      </c>
      <c r="D3689">
        <v>10</v>
      </c>
      <c r="E3689">
        <v>6</v>
      </c>
      <c r="F3689">
        <v>0</v>
      </c>
      <c r="G3689">
        <v>0</v>
      </c>
      <c r="H3689">
        <v>105</v>
      </c>
      <c r="I3689">
        <v>0</v>
      </c>
      <c r="J3689">
        <v>5.99</v>
      </c>
      <c r="K3689">
        <v>0</v>
      </c>
    </row>
    <row r="3690" spans="1:11" x14ac:dyDescent="0.2">
      <c r="B3690">
        <v>136351</v>
      </c>
      <c r="C3690" t="s">
        <v>7241</v>
      </c>
      <c r="D3690">
        <v>11</v>
      </c>
      <c r="E3690">
        <v>6</v>
      </c>
      <c r="F3690">
        <v>1</v>
      </c>
      <c r="G3690">
        <v>6</v>
      </c>
      <c r="H3690">
        <v>105</v>
      </c>
      <c r="I3690">
        <v>0</v>
      </c>
      <c r="J3690">
        <v>4.99</v>
      </c>
      <c r="K3690">
        <v>29.94</v>
      </c>
    </row>
    <row r="3691" spans="1:11" x14ac:dyDescent="0.2">
      <c r="A3691">
        <v>57613</v>
      </c>
      <c r="B3691">
        <v>136364</v>
      </c>
      <c r="C3691" t="s">
        <v>7242</v>
      </c>
      <c r="D3691">
        <v>10</v>
      </c>
      <c r="E3691">
        <v>30</v>
      </c>
      <c r="F3691">
        <v>1</v>
      </c>
      <c r="G3691">
        <v>42</v>
      </c>
      <c r="H3691">
        <v>32</v>
      </c>
      <c r="I3691">
        <v>0</v>
      </c>
      <c r="J3691">
        <v>4.9000000000000004</v>
      </c>
      <c r="K3691">
        <v>205.8</v>
      </c>
    </row>
    <row r="3692" spans="1:11" x14ac:dyDescent="0.2">
      <c r="A3692">
        <v>32505</v>
      </c>
      <c r="B3692">
        <v>136380</v>
      </c>
      <c r="C3692" t="s">
        <v>7243</v>
      </c>
      <c r="D3692">
        <v>10</v>
      </c>
      <c r="E3692">
        <v>7</v>
      </c>
      <c r="F3692">
        <v>0</v>
      </c>
      <c r="G3692">
        <v>0</v>
      </c>
      <c r="H3692">
        <v>144</v>
      </c>
      <c r="I3692">
        <v>0</v>
      </c>
      <c r="J3692">
        <v>1.79</v>
      </c>
      <c r="K3692">
        <v>0</v>
      </c>
    </row>
    <row r="3693" spans="1:11" x14ac:dyDescent="0.2">
      <c r="A3693">
        <v>32506</v>
      </c>
      <c r="B3693">
        <v>136381</v>
      </c>
      <c r="C3693" t="s">
        <v>7244</v>
      </c>
      <c r="D3693">
        <v>10</v>
      </c>
      <c r="E3693">
        <v>10</v>
      </c>
      <c r="F3693">
        <v>0</v>
      </c>
      <c r="G3693">
        <v>0</v>
      </c>
      <c r="H3693">
        <v>96</v>
      </c>
      <c r="I3693">
        <v>0</v>
      </c>
      <c r="J3693">
        <v>1.79</v>
      </c>
      <c r="K3693">
        <v>0</v>
      </c>
    </row>
    <row r="3694" spans="1:11" x14ac:dyDescent="0.2">
      <c r="A3694">
        <v>67028</v>
      </c>
      <c r="B3694">
        <v>136419</v>
      </c>
      <c r="C3694" t="s">
        <v>7245</v>
      </c>
      <c r="D3694">
        <v>8</v>
      </c>
      <c r="E3694">
        <v>10</v>
      </c>
      <c r="F3694">
        <v>2199</v>
      </c>
      <c r="G3694">
        <v>21987</v>
      </c>
      <c r="H3694">
        <v>96</v>
      </c>
      <c r="I3694">
        <v>22.9</v>
      </c>
      <c r="J3694">
        <v>1.49</v>
      </c>
      <c r="K3694">
        <v>32760.63</v>
      </c>
    </row>
    <row r="3695" spans="1:11" x14ac:dyDescent="0.2">
      <c r="A3695">
        <v>99971</v>
      </c>
      <c r="B3695">
        <v>136449</v>
      </c>
      <c r="C3695" t="s">
        <v>7246</v>
      </c>
      <c r="D3695">
        <v>10</v>
      </c>
      <c r="E3695">
        <v>12</v>
      </c>
      <c r="F3695">
        <v>0</v>
      </c>
      <c r="G3695">
        <v>0</v>
      </c>
      <c r="H3695">
        <v>36</v>
      </c>
      <c r="I3695">
        <v>0</v>
      </c>
      <c r="J3695">
        <v>2.19</v>
      </c>
      <c r="K3695">
        <v>0</v>
      </c>
    </row>
    <row r="3696" spans="1:11" x14ac:dyDescent="0.2">
      <c r="B3696">
        <v>136552</v>
      </c>
      <c r="C3696" t="s">
        <v>7247</v>
      </c>
      <c r="D3696">
        <v>11</v>
      </c>
      <c r="E3696">
        <v>12</v>
      </c>
      <c r="F3696">
        <v>0</v>
      </c>
      <c r="G3696">
        <v>0</v>
      </c>
      <c r="H3696">
        <v>84</v>
      </c>
      <c r="I3696">
        <v>0</v>
      </c>
      <c r="J3696">
        <v>1.99</v>
      </c>
      <c r="K3696">
        <v>0</v>
      </c>
    </row>
    <row r="3697" spans="1:11" x14ac:dyDescent="0.2">
      <c r="B3697">
        <v>136572</v>
      </c>
      <c r="C3697" t="s">
        <v>7248</v>
      </c>
      <c r="D3697">
        <v>10</v>
      </c>
      <c r="E3697">
        <v>6</v>
      </c>
      <c r="F3697">
        <v>0</v>
      </c>
      <c r="G3697">
        <v>0</v>
      </c>
      <c r="H3697">
        <v>100</v>
      </c>
      <c r="I3697">
        <v>0</v>
      </c>
      <c r="J3697">
        <v>4.49</v>
      </c>
      <c r="K3697">
        <v>0</v>
      </c>
    </row>
    <row r="3698" spans="1:11" x14ac:dyDescent="0.2">
      <c r="B3698">
        <v>136574</v>
      </c>
      <c r="C3698" t="s">
        <v>7249</v>
      </c>
      <c r="D3698">
        <v>11</v>
      </c>
      <c r="E3698">
        <v>6</v>
      </c>
      <c r="F3698">
        <v>18</v>
      </c>
      <c r="G3698">
        <v>108</v>
      </c>
      <c r="H3698">
        <v>100</v>
      </c>
      <c r="I3698">
        <v>0.2</v>
      </c>
      <c r="J3698">
        <v>4.29</v>
      </c>
      <c r="K3698">
        <v>463.32</v>
      </c>
    </row>
    <row r="3699" spans="1:11" x14ac:dyDescent="0.2">
      <c r="B3699">
        <v>136575</v>
      </c>
      <c r="C3699" t="s">
        <v>7250</v>
      </c>
      <c r="D3699">
        <v>11</v>
      </c>
      <c r="E3699">
        <v>6</v>
      </c>
      <c r="F3699">
        <v>-6</v>
      </c>
      <c r="G3699">
        <v>-36</v>
      </c>
      <c r="H3699">
        <v>100</v>
      </c>
      <c r="I3699">
        <v>-0.1</v>
      </c>
      <c r="J3699">
        <v>4.99</v>
      </c>
      <c r="K3699">
        <v>-179.64</v>
      </c>
    </row>
    <row r="3700" spans="1:11" x14ac:dyDescent="0.2">
      <c r="B3700">
        <v>136576</v>
      </c>
      <c r="C3700" t="s">
        <v>7251</v>
      </c>
      <c r="D3700">
        <v>10</v>
      </c>
      <c r="E3700">
        <v>6</v>
      </c>
      <c r="F3700">
        <v>0</v>
      </c>
      <c r="G3700">
        <v>0</v>
      </c>
      <c r="H3700">
        <v>100</v>
      </c>
      <c r="I3700">
        <v>0</v>
      </c>
      <c r="J3700">
        <v>4.99</v>
      </c>
      <c r="K3700">
        <v>0</v>
      </c>
    </row>
    <row r="3701" spans="1:11" x14ac:dyDescent="0.2">
      <c r="B3701">
        <v>136615</v>
      </c>
      <c r="C3701" t="s">
        <v>7252</v>
      </c>
      <c r="D3701">
        <v>11</v>
      </c>
      <c r="E3701">
        <v>6</v>
      </c>
      <c r="F3701">
        <v>4</v>
      </c>
      <c r="G3701">
        <v>24</v>
      </c>
      <c r="H3701">
        <v>105</v>
      </c>
      <c r="I3701">
        <v>0</v>
      </c>
      <c r="J3701">
        <v>6.29</v>
      </c>
      <c r="K3701">
        <v>150.96</v>
      </c>
    </row>
    <row r="3702" spans="1:11" x14ac:dyDescent="0.2">
      <c r="A3702">
        <v>61113</v>
      </c>
      <c r="B3702">
        <v>136616</v>
      </c>
      <c r="C3702" t="s">
        <v>7253</v>
      </c>
      <c r="D3702">
        <v>8</v>
      </c>
      <c r="E3702">
        <v>6</v>
      </c>
      <c r="F3702">
        <v>447</v>
      </c>
      <c r="G3702">
        <v>2682</v>
      </c>
      <c r="H3702">
        <v>105</v>
      </c>
      <c r="I3702">
        <v>4.3</v>
      </c>
      <c r="J3702">
        <v>5.99</v>
      </c>
      <c r="K3702">
        <v>16065.18</v>
      </c>
    </row>
    <row r="3703" spans="1:11" x14ac:dyDescent="0.2">
      <c r="B3703">
        <v>136708</v>
      </c>
      <c r="C3703" t="s">
        <v>7254</v>
      </c>
      <c r="D3703">
        <v>11</v>
      </c>
      <c r="E3703">
        <v>12</v>
      </c>
      <c r="F3703">
        <v>0</v>
      </c>
      <c r="G3703">
        <v>0</v>
      </c>
      <c r="H3703">
        <v>81</v>
      </c>
      <c r="I3703">
        <v>0</v>
      </c>
      <c r="J3703">
        <v>1.35</v>
      </c>
      <c r="K3703">
        <v>0</v>
      </c>
    </row>
    <row r="3704" spans="1:11" x14ac:dyDescent="0.2">
      <c r="B3704">
        <v>136727</v>
      </c>
      <c r="C3704" t="s">
        <v>7255</v>
      </c>
      <c r="D3704">
        <v>11</v>
      </c>
      <c r="E3704">
        <v>12</v>
      </c>
      <c r="F3704">
        <v>0</v>
      </c>
      <c r="G3704">
        <v>0</v>
      </c>
      <c r="H3704">
        <v>77</v>
      </c>
      <c r="I3704">
        <v>0</v>
      </c>
      <c r="J3704">
        <v>1.99</v>
      </c>
      <c r="K3704">
        <v>0</v>
      </c>
    </row>
    <row r="3705" spans="1:11" x14ac:dyDescent="0.2">
      <c r="A3705">
        <v>93103</v>
      </c>
      <c r="B3705">
        <v>136740</v>
      </c>
      <c r="C3705" t="s">
        <v>7256</v>
      </c>
      <c r="D3705">
        <v>10</v>
      </c>
      <c r="E3705">
        <v>20</v>
      </c>
      <c r="F3705">
        <v>0</v>
      </c>
      <c r="G3705">
        <v>0</v>
      </c>
      <c r="H3705">
        <v>24</v>
      </c>
      <c r="I3705">
        <v>0</v>
      </c>
      <c r="J3705">
        <v>2.99</v>
      </c>
      <c r="K3705">
        <v>0</v>
      </c>
    </row>
    <row r="3706" spans="1:11" x14ac:dyDescent="0.2">
      <c r="A3706">
        <v>93114</v>
      </c>
      <c r="B3706">
        <v>136748</v>
      </c>
      <c r="C3706" t="s">
        <v>7257</v>
      </c>
      <c r="D3706">
        <v>10</v>
      </c>
      <c r="E3706">
        <v>12</v>
      </c>
      <c r="F3706">
        <v>0</v>
      </c>
      <c r="G3706">
        <v>0</v>
      </c>
      <c r="H3706">
        <v>28</v>
      </c>
      <c r="I3706">
        <v>0</v>
      </c>
      <c r="J3706">
        <v>2.59</v>
      </c>
      <c r="K3706">
        <v>0</v>
      </c>
    </row>
    <row r="3707" spans="1:11" x14ac:dyDescent="0.2">
      <c r="A3707">
        <v>93295</v>
      </c>
      <c r="B3707">
        <v>136749</v>
      </c>
      <c r="C3707" t="s">
        <v>7258</v>
      </c>
      <c r="D3707">
        <v>10</v>
      </c>
      <c r="E3707">
        <v>4</v>
      </c>
      <c r="F3707">
        <v>0</v>
      </c>
      <c r="G3707">
        <v>0</v>
      </c>
      <c r="H3707">
        <v>24</v>
      </c>
      <c r="I3707">
        <v>0</v>
      </c>
      <c r="J3707">
        <v>3.99</v>
      </c>
      <c r="K3707">
        <v>0</v>
      </c>
    </row>
    <row r="3708" spans="1:11" x14ac:dyDescent="0.2">
      <c r="A3708">
        <v>93289</v>
      </c>
      <c r="B3708">
        <v>136778</v>
      </c>
      <c r="C3708" t="s">
        <v>7259</v>
      </c>
      <c r="D3708">
        <v>10</v>
      </c>
      <c r="E3708">
        <v>6</v>
      </c>
      <c r="F3708">
        <v>0</v>
      </c>
      <c r="G3708">
        <v>0</v>
      </c>
      <c r="H3708">
        <v>16</v>
      </c>
      <c r="I3708">
        <v>0</v>
      </c>
      <c r="J3708">
        <v>3.59</v>
      </c>
      <c r="K3708">
        <v>0</v>
      </c>
    </row>
    <row r="3709" spans="1:11" x14ac:dyDescent="0.2">
      <c r="A3709">
        <v>93299</v>
      </c>
      <c r="B3709">
        <v>136780</v>
      </c>
      <c r="C3709" t="s">
        <v>7260</v>
      </c>
      <c r="D3709">
        <v>10</v>
      </c>
      <c r="E3709">
        <v>8</v>
      </c>
      <c r="F3709">
        <v>0</v>
      </c>
      <c r="G3709">
        <v>0</v>
      </c>
      <c r="H3709">
        <v>16</v>
      </c>
      <c r="I3709">
        <v>0</v>
      </c>
      <c r="J3709">
        <v>2</v>
      </c>
      <c r="K3709">
        <v>0</v>
      </c>
    </row>
    <row r="3710" spans="1:11" x14ac:dyDescent="0.2">
      <c r="A3710">
        <v>93300</v>
      </c>
      <c r="B3710">
        <v>136787</v>
      </c>
      <c r="C3710" t="s">
        <v>7261</v>
      </c>
      <c r="D3710">
        <v>10</v>
      </c>
      <c r="E3710">
        <v>8</v>
      </c>
      <c r="F3710">
        <v>0</v>
      </c>
      <c r="G3710">
        <v>0</v>
      </c>
      <c r="H3710">
        <v>100</v>
      </c>
      <c r="I3710">
        <v>0</v>
      </c>
      <c r="J3710">
        <v>7.99</v>
      </c>
      <c r="K3710">
        <v>0</v>
      </c>
    </row>
    <row r="3711" spans="1:11" x14ac:dyDescent="0.2">
      <c r="A3711">
        <v>93284</v>
      </c>
      <c r="B3711">
        <v>136788</v>
      </c>
      <c r="C3711" t="s">
        <v>7262</v>
      </c>
      <c r="D3711">
        <v>10</v>
      </c>
      <c r="E3711">
        <v>6</v>
      </c>
      <c r="F3711">
        <v>0</v>
      </c>
      <c r="G3711">
        <v>0</v>
      </c>
      <c r="H3711">
        <v>20</v>
      </c>
      <c r="I3711">
        <v>0</v>
      </c>
      <c r="J3711">
        <v>4.1900000000000004</v>
      </c>
      <c r="K3711">
        <v>0</v>
      </c>
    </row>
    <row r="3712" spans="1:11" x14ac:dyDescent="0.2">
      <c r="A3712">
        <v>61111</v>
      </c>
      <c r="B3712">
        <v>136804</v>
      </c>
      <c r="C3712" t="s">
        <v>7263</v>
      </c>
      <c r="D3712">
        <v>8</v>
      </c>
      <c r="E3712">
        <v>6</v>
      </c>
      <c r="F3712">
        <v>258</v>
      </c>
      <c r="G3712">
        <v>1548</v>
      </c>
      <c r="H3712">
        <v>105</v>
      </c>
      <c r="I3712">
        <v>2.5</v>
      </c>
      <c r="J3712">
        <v>5.99</v>
      </c>
      <c r="K3712">
        <v>9272.52</v>
      </c>
    </row>
    <row r="3713" spans="1:11" x14ac:dyDescent="0.2">
      <c r="A3713">
        <v>95455</v>
      </c>
      <c r="B3713">
        <v>136832</v>
      </c>
      <c r="C3713" t="s">
        <v>4533</v>
      </c>
      <c r="D3713">
        <v>8</v>
      </c>
      <c r="E3713">
        <v>8</v>
      </c>
      <c r="F3713">
        <v>2404</v>
      </c>
      <c r="G3713">
        <v>19232</v>
      </c>
      <c r="H3713">
        <v>64</v>
      </c>
      <c r="I3713">
        <v>37.6</v>
      </c>
      <c r="J3713">
        <v>1.25</v>
      </c>
      <c r="K3713">
        <v>24040</v>
      </c>
    </row>
    <row r="3714" spans="1:11" x14ac:dyDescent="0.2">
      <c r="A3714">
        <v>70256</v>
      </c>
      <c r="B3714">
        <v>136839</v>
      </c>
      <c r="C3714" t="s">
        <v>7264</v>
      </c>
      <c r="D3714">
        <v>8</v>
      </c>
      <c r="E3714">
        <v>21</v>
      </c>
      <c r="F3714">
        <v>232</v>
      </c>
      <c r="G3714">
        <v>4872</v>
      </c>
      <c r="H3714">
        <v>104</v>
      </c>
      <c r="I3714">
        <v>2.2000000000000002</v>
      </c>
      <c r="J3714">
        <v>1.29</v>
      </c>
      <c r="K3714">
        <v>6284.88</v>
      </c>
    </row>
    <row r="3715" spans="1:11" x14ac:dyDescent="0.2">
      <c r="A3715">
        <v>70206</v>
      </c>
      <c r="B3715">
        <v>136846</v>
      </c>
      <c r="C3715" t="s">
        <v>7265</v>
      </c>
      <c r="D3715">
        <v>8</v>
      </c>
      <c r="E3715">
        <v>21</v>
      </c>
      <c r="F3715">
        <v>224</v>
      </c>
      <c r="G3715">
        <v>4704</v>
      </c>
      <c r="H3715">
        <v>91</v>
      </c>
      <c r="I3715">
        <v>2.5</v>
      </c>
      <c r="J3715">
        <v>1.35</v>
      </c>
      <c r="K3715">
        <v>6350.4</v>
      </c>
    </row>
    <row r="3716" spans="1:11" x14ac:dyDescent="0.2">
      <c r="B3716">
        <v>136857</v>
      </c>
      <c r="C3716" t="s">
        <v>7266</v>
      </c>
      <c r="D3716">
        <v>11</v>
      </c>
      <c r="E3716">
        <v>6</v>
      </c>
      <c r="F3716">
        <v>0</v>
      </c>
      <c r="G3716">
        <v>0</v>
      </c>
      <c r="H3716">
        <v>108</v>
      </c>
      <c r="I3716">
        <v>0</v>
      </c>
      <c r="J3716">
        <v>1.63</v>
      </c>
      <c r="K3716">
        <v>0</v>
      </c>
    </row>
    <row r="3717" spans="1:11" x14ac:dyDescent="0.2">
      <c r="A3717">
        <v>89042</v>
      </c>
      <c r="B3717">
        <v>136858</v>
      </c>
      <c r="C3717" t="s">
        <v>7267</v>
      </c>
      <c r="D3717">
        <v>8</v>
      </c>
      <c r="E3717">
        <v>6</v>
      </c>
      <c r="F3717">
        <v>95</v>
      </c>
      <c r="G3717">
        <v>570</v>
      </c>
      <c r="H3717">
        <v>95</v>
      </c>
      <c r="I3717">
        <v>1</v>
      </c>
      <c r="J3717">
        <v>1.99</v>
      </c>
      <c r="K3717">
        <v>1134.3</v>
      </c>
    </row>
    <row r="3718" spans="1:11" x14ac:dyDescent="0.2">
      <c r="A3718">
        <v>65195</v>
      </c>
      <c r="B3718">
        <v>136863</v>
      </c>
      <c r="C3718" t="s">
        <v>7268</v>
      </c>
      <c r="D3718">
        <v>8</v>
      </c>
      <c r="E3718">
        <v>12</v>
      </c>
      <c r="F3718">
        <v>660</v>
      </c>
      <c r="G3718">
        <v>7920</v>
      </c>
      <c r="H3718">
        <v>55</v>
      </c>
      <c r="I3718">
        <v>12</v>
      </c>
      <c r="J3718">
        <v>4.99</v>
      </c>
      <c r="K3718">
        <v>39520.800000000003</v>
      </c>
    </row>
    <row r="3719" spans="1:11" x14ac:dyDescent="0.2">
      <c r="A3719">
        <v>61107</v>
      </c>
      <c r="B3719">
        <v>136947</v>
      </c>
      <c r="C3719" t="s">
        <v>7269</v>
      </c>
      <c r="D3719">
        <v>8</v>
      </c>
      <c r="E3719">
        <v>6</v>
      </c>
      <c r="F3719">
        <v>101</v>
      </c>
      <c r="G3719">
        <v>606</v>
      </c>
      <c r="H3719">
        <v>105</v>
      </c>
      <c r="I3719">
        <v>1</v>
      </c>
      <c r="J3719">
        <v>3.99</v>
      </c>
      <c r="K3719">
        <v>2417.94</v>
      </c>
    </row>
    <row r="3720" spans="1:11" x14ac:dyDescent="0.2">
      <c r="A3720">
        <v>69012</v>
      </c>
      <c r="B3720">
        <v>136990</v>
      </c>
      <c r="C3720" t="s">
        <v>7270</v>
      </c>
      <c r="D3720">
        <v>8</v>
      </c>
      <c r="E3720">
        <v>8</v>
      </c>
      <c r="F3720">
        <v>823</v>
      </c>
      <c r="G3720">
        <v>6584</v>
      </c>
      <c r="H3720">
        <v>64</v>
      </c>
      <c r="I3720">
        <v>12.9</v>
      </c>
      <c r="J3720">
        <v>1.0900000000000001</v>
      </c>
      <c r="K3720">
        <v>7176.56</v>
      </c>
    </row>
    <row r="3721" spans="1:11" x14ac:dyDescent="0.2">
      <c r="A3721">
        <v>72096</v>
      </c>
      <c r="B3721">
        <v>137056</v>
      </c>
      <c r="C3721" t="s">
        <v>5435</v>
      </c>
      <c r="D3721">
        <v>8</v>
      </c>
      <c r="E3721">
        <v>40</v>
      </c>
      <c r="F3721">
        <v>343</v>
      </c>
      <c r="G3721">
        <v>13720</v>
      </c>
      <c r="H3721">
        <v>170</v>
      </c>
      <c r="I3721">
        <v>2</v>
      </c>
      <c r="J3721">
        <v>1.49</v>
      </c>
      <c r="K3721">
        <v>20442.8</v>
      </c>
    </row>
    <row r="3722" spans="1:11" x14ac:dyDescent="0.2">
      <c r="A3722">
        <v>32606</v>
      </c>
      <c r="B3722">
        <v>137059</v>
      </c>
      <c r="C3722" t="s">
        <v>7271</v>
      </c>
      <c r="D3722">
        <v>10</v>
      </c>
      <c r="E3722">
        <v>180</v>
      </c>
      <c r="F3722">
        <v>0</v>
      </c>
      <c r="G3722">
        <v>0</v>
      </c>
      <c r="H3722">
        <v>4</v>
      </c>
      <c r="I3722">
        <v>0</v>
      </c>
      <c r="J3722">
        <v>0.99</v>
      </c>
      <c r="K3722">
        <v>0</v>
      </c>
    </row>
    <row r="3723" spans="1:11" x14ac:dyDescent="0.2">
      <c r="A3723">
        <v>70263</v>
      </c>
      <c r="B3723">
        <v>137077</v>
      </c>
      <c r="C3723" t="s">
        <v>7272</v>
      </c>
      <c r="D3723">
        <v>8</v>
      </c>
      <c r="E3723">
        <v>22</v>
      </c>
      <c r="F3723">
        <v>171</v>
      </c>
      <c r="G3723">
        <v>3762</v>
      </c>
      <c r="H3723">
        <v>128</v>
      </c>
      <c r="I3723">
        <v>1.3</v>
      </c>
      <c r="J3723">
        <v>2.65</v>
      </c>
      <c r="K3723">
        <v>9969.2999999999993</v>
      </c>
    </row>
    <row r="3724" spans="1:11" x14ac:dyDescent="0.2">
      <c r="A3724">
        <v>99772</v>
      </c>
      <c r="B3724">
        <v>137113</v>
      </c>
      <c r="C3724" t="s">
        <v>7273</v>
      </c>
      <c r="D3724">
        <v>10</v>
      </c>
      <c r="E3724">
        <v>10</v>
      </c>
      <c r="F3724">
        <v>0</v>
      </c>
      <c r="G3724">
        <v>0</v>
      </c>
      <c r="H3724">
        <v>72</v>
      </c>
      <c r="I3724">
        <v>0</v>
      </c>
      <c r="J3724">
        <v>9.49</v>
      </c>
      <c r="K3724">
        <v>0</v>
      </c>
    </row>
    <row r="3725" spans="1:11" x14ac:dyDescent="0.2">
      <c r="A3725">
        <v>99253</v>
      </c>
      <c r="B3725">
        <v>137318</v>
      </c>
      <c r="C3725" t="s">
        <v>7274</v>
      </c>
      <c r="D3725">
        <v>10</v>
      </c>
      <c r="E3725">
        <v>8</v>
      </c>
      <c r="F3725">
        <v>0</v>
      </c>
      <c r="G3725">
        <v>0</v>
      </c>
      <c r="H3725">
        <v>90</v>
      </c>
      <c r="I3725">
        <v>0</v>
      </c>
      <c r="J3725">
        <v>1.39</v>
      </c>
      <c r="K3725">
        <v>0</v>
      </c>
    </row>
    <row r="3726" spans="1:11" x14ac:dyDescent="0.2">
      <c r="A3726">
        <v>99152</v>
      </c>
      <c r="B3726">
        <v>137320</v>
      </c>
      <c r="C3726" t="s">
        <v>7275</v>
      </c>
      <c r="D3726">
        <v>10</v>
      </c>
      <c r="E3726">
        <v>8</v>
      </c>
      <c r="F3726">
        <v>0</v>
      </c>
      <c r="G3726">
        <v>0</v>
      </c>
      <c r="H3726">
        <v>90</v>
      </c>
      <c r="I3726">
        <v>0</v>
      </c>
      <c r="J3726">
        <v>1.89</v>
      </c>
      <c r="K3726">
        <v>0</v>
      </c>
    </row>
    <row r="3727" spans="1:11" x14ac:dyDescent="0.2">
      <c r="A3727">
        <v>51650</v>
      </c>
      <c r="B3727">
        <v>137452</v>
      </c>
      <c r="C3727" t="s">
        <v>7276</v>
      </c>
      <c r="D3727">
        <v>10</v>
      </c>
      <c r="E3727">
        <v>6</v>
      </c>
      <c r="F3727">
        <v>800</v>
      </c>
      <c r="G3727">
        <v>4800</v>
      </c>
      <c r="H3727">
        <v>80</v>
      </c>
      <c r="I3727">
        <v>10</v>
      </c>
      <c r="J3727">
        <v>16.66</v>
      </c>
      <c r="K3727">
        <v>79968</v>
      </c>
    </row>
    <row r="3728" spans="1:11" x14ac:dyDescent="0.2">
      <c r="B3728">
        <v>137453</v>
      </c>
      <c r="C3728" t="s">
        <v>7277</v>
      </c>
      <c r="D3728">
        <v>11</v>
      </c>
      <c r="E3728">
        <v>3</v>
      </c>
      <c r="F3728">
        <v>0</v>
      </c>
      <c r="G3728">
        <v>0</v>
      </c>
      <c r="H3728">
        <v>66</v>
      </c>
      <c r="I3728">
        <v>0</v>
      </c>
      <c r="J3728">
        <v>29.99</v>
      </c>
      <c r="K3728">
        <v>0</v>
      </c>
    </row>
    <row r="3729" spans="1:11" x14ac:dyDescent="0.2">
      <c r="A3729">
        <v>51651</v>
      </c>
      <c r="B3729">
        <v>137455</v>
      </c>
      <c r="C3729" t="s">
        <v>7278</v>
      </c>
      <c r="D3729">
        <v>10</v>
      </c>
      <c r="E3729">
        <v>6</v>
      </c>
      <c r="F3729">
        <v>800</v>
      </c>
      <c r="G3729">
        <v>4800</v>
      </c>
      <c r="H3729">
        <v>80</v>
      </c>
      <c r="I3729">
        <v>10</v>
      </c>
      <c r="J3729">
        <v>19.98</v>
      </c>
      <c r="K3729">
        <v>95904</v>
      </c>
    </row>
    <row r="3730" spans="1:11" x14ac:dyDescent="0.2">
      <c r="A3730">
        <v>93222</v>
      </c>
      <c r="B3730">
        <v>137489</v>
      </c>
      <c r="C3730" t="s">
        <v>7279</v>
      </c>
      <c r="D3730">
        <v>10</v>
      </c>
      <c r="E3730">
        <v>16</v>
      </c>
      <c r="F3730">
        <v>0</v>
      </c>
      <c r="G3730">
        <v>0</v>
      </c>
      <c r="H3730">
        <v>28</v>
      </c>
      <c r="I3730">
        <v>0</v>
      </c>
      <c r="J3730">
        <v>1.79</v>
      </c>
      <c r="K3730">
        <v>0</v>
      </c>
    </row>
    <row r="3731" spans="1:11" x14ac:dyDescent="0.2">
      <c r="A3731">
        <v>57486</v>
      </c>
      <c r="B3731">
        <v>137494</v>
      </c>
      <c r="C3731" t="s">
        <v>7280</v>
      </c>
      <c r="D3731">
        <v>10</v>
      </c>
      <c r="E3731">
        <v>4</v>
      </c>
      <c r="F3731">
        <v>0</v>
      </c>
      <c r="G3731">
        <v>0</v>
      </c>
      <c r="H3731">
        <v>45</v>
      </c>
      <c r="I3731">
        <v>0</v>
      </c>
      <c r="J3731">
        <v>1</v>
      </c>
      <c r="K3731">
        <v>0</v>
      </c>
    </row>
    <row r="3732" spans="1:11" x14ac:dyDescent="0.2">
      <c r="A3732">
        <v>57198</v>
      </c>
      <c r="B3732">
        <v>137495</v>
      </c>
      <c r="C3732" t="s">
        <v>7281</v>
      </c>
      <c r="D3732">
        <v>10</v>
      </c>
      <c r="E3732">
        <v>4</v>
      </c>
      <c r="F3732">
        <v>0</v>
      </c>
      <c r="G3732">
        <v>0</v>
      </c>
      <c r="H3732">
        <v>45</v>
      </c>
      <c r="I3732">
        <v>0</v>
      </c>
      <c r="J3732">
        <v>1</v>
      </c>
      <c r="K3732">
        <v>0</v>
      </c>
    </row>
    <row r="3733" spans="1:11" x14ac:dyDescent="0.2">
      <c r="A3733">
        <v>93274</v>
      </c>
      <c r="B3733">
        <v>137525</v>
      </c>
      <c r="C3733" t="s">
        <v>7282</v>
      </c>
      <c r="D3733">
        <v>10</v>
      </c>
      <c r="E3733">
        <v>12</v>
      </c>
      <c r="F3733">
        <v>0</v>
      </c>
      <c r="G3733">
        <v>0</v>
      </c>
      <c r="H3733">
        <v>12</v>
      </c>
      <c r="I3733">
        <v>0</v>
      </c>
      <c r="J3733">
        <v>3.99</v>
      </c>
      <c r="K3733">
        <v>0</v>
      </c>
    </row>
    <row r="3734" spans="1:11" x14ac:dyDescent="0.2">
      <c r="A3734">
        <v>93276</v>
      </c>
      <c r="B3734">
        <v>137526</v>
      </c>
      <c r="C3734" t="s">
        <v>7283</v>
      </c>
      <c r="D3734">
        <v>10</v>
      </c>
      <c r="E3734">
        <v>8</v>
      </c>
      <c r="F3734">
        <v>0</v>
      </c>
      <c r="G3734">
        <v>0</v>
      </c>
      <c r="H3734">
        <v>20</v>
      </c>
      <c r="I3734">
        <v>0</v>
      </c>
      <c r="J3734">
        <v>7.99</v>
      </c>
      <c r="K3734">
        <v>0</v>
      </c>
    </row>
    <row r="3735" spans="1:11" x14ac:dyDescent="0.2">
      <c r="A3735">
        <v>80109</v>
      </c>
      <c r="B3735">
        <v>137583</v>
      </c>
      <c r="C3735" t="s">
        <v>7284</v>
      </c>
      <c r="D3735">
        <v>8</v>
      </c>
      <c r="E3735">
        <v>8</v>
      </c>
      <c r="F3735">
        <v>313</v>
      </c>
      <c r="G3735">
        <v>2504</v>
      </c>
      <c r="H3735">
        <v>80</v>
      </c>
      <c r="I3735">
        <v>3.9</v>
      </c>
      <c r="J3735">
        <v>1.59</v>
      </c>
      <c r="K3735">
        <v>3981.36</v>
      </c>
    </row>
    <row r="3736" spans="1:11" x14ac:dyDescent="0.2">
      <c r="B3736">
        <v>137633</v>
      </c>
      <c r="C3736" t="s">
        <v>7285</v>
      </c>
      <c r="D3736">
        <v>11</v>
      </c>
      <c r="E3736">
        <v>6</v>
      </c>
      <c r="F3736">
        <v>3</v>
      </c>
      <c r="G3736">
        <v>18</v>
      </c>
      <c r="H3736">
        <v>100</v>
      </c>
      <c r="I3736">
        <v>0</v>
      </c>
      <c r="J3736">
        <v>5.99</v>
      </c>
      <c r="K3736">
        <v>107.82</v>
      </c>
    </row>
    <row r="3737" spans="1:11" x14ac:dyDescent="0.2">
      <c r="A3737">
        <v>48630</v>
      </c>
      <c r="B3737">
        <v>137640</v>
      </c>
      <c r="C3737" t="s">
        <v>7286</v>
      </c>
      <c r="D3737">
        <v>10</v>
      </c>
      <c r="E3737">
        <v>6</v>
      </c>
      <c r="F3737">
        <v>0</v>
      </c>
      <c r="G3737">
        <v>0</v>
      </c>
      <c r="H3737">
        <v>72</v>
      </c>
      <c r="I3737">
        <v>0</v>
      </c>
      <c r="J3737">
        <v>17.989999999999998</v>
      </c>
      <c r="K3737">
        <v>0</v>
      </c>
    </row>
    <row r="3738" spans="1:11" x14ac:dyDescent="0.2">
      <c r="A3738">
        <v>67245</v>
      </c>
      <c r="B3738">
        <v>137651</v>
      </c>
      <c r="C3738" t="s">
        <v>7287</v>
      </c>
      <c r="D3738">
        <v>8</v>
      </c>
      <c r="E3738">
        <v>21</v>
      </c>
      <c r="F3738">
        <v>329</v>
      </c>
      <c r="G3738">
        <v>6906</v>
      </c>
      <c r="H3738">
        <v>56</v>
      </c>
      <c r="I3738">
        <v>5.9</v>
      </c>
      <c r="J3738">
        <v>0.85</v>
      </c>
      <c r="K3738">
        <v>5870.1</v>
      </c>
    </row>
    <row r="3739" spans="1:11" x14ac:dyDescent="0.2">
      <c r="A3739">
        <v>93301</v>
      </c>
      <c r="B3739">
        <v>137654</v>
      </c>
      <c r="C3739" t="s">
        <v>7288</v>
      </c>
      <c r="D3739">
        <v>10</v>
      </c>
      <c r="E3739">
        <v>15</v>
      </c>
      <c r="F3739">
        <v>1</v>
      </c>
      <c r="G3739">
        <v>15</v>
      </c>
      <c r="H3739">
        <v>100</v>
      </c>
      <c r="I3739">
        <v>0</v>
      </c>
      <c r="J3739">
        <v>4.99</v>
      </c>
      <c r="K3739">
        <v>74.849999999999994</v>
      </c>
    </row>
    <row r="3740" spans="1:11" x14ac:dyDescent="0.2">
      <c r="A3740">
        <v>74193</v>
      </c>
      <c r="B3740">
        <v>137674</v>
      </c>
      <c r="C3740" t="s">
        <v>7289</v>
      </c>
      <c r="D3740">
        <v>8</v>
      </c>
      <c r="E3740">
        <v>20</v>
      </c>
      <c r="F3740">
        <v>920</v>
      </c>
      <c r="G3740">
        <v>18400</v>
      </c>
      <c r="H3740">
        <v>136</v>
      </c>
      <c r="I3740">
        <v>6.8</v>
      </c>
      <c r="J3740">
        <v>1.4</v>
      </c>
      <c r="K3740">
        <v>25760</v>
      </c>
    </row>
    <row r="3741" spans="1:11" x14ac:dyDescent="0.2">
      <c r="A3741">
        <v>74195</v>
      </c>
      <c r="B3741">
        <v>137675</v>
      </c>
      <c r="C3741" t="s">
        <v>4232</v>
      </c>
      <c r="D3741">
        <v>8</v>
      </c>
      <c r="E3741">
        <v>18</v>
      </c>
      <c r="F3741">
        <v>287</v>
      </c>
      <c r="G3741">
        <v>5166</v>
      </c>
      <c r="H3741">
        <v>136</v>
      </c>
      <c r="I3741">
        <v>2.1</v>
      </c>
      <c r="J3741">
        <v>1.99</v>
      </c>
      <c r="K3741">
        <v>10280.34</v>
      </c>
    </row>
    <row r="3742" spans="1:11" x14ac:dyDescent="0.2">
      <c r="A3742">
        <v>74192</v>
      </c>
      <c r="B3742">
        <v>137676</v>
      </c>
      <c r="C3742" t="s">
        <v>5359</v>
      </c>
      <c r="D3742">
        <v>8</v>
      </c>
      <c r="E3742">
        <v>12</v>
      </c>
      <c r="F3742">
        <v>1554</v>
      </c>
      <c r="G3742">
        <v>18643</v>
      </c>
      <c r="H3742">
        <v>136</v>
      </c>
      <c r="I3742">
        <v>11.4</v>
      </c>
      <c r="J3742">
        <v>2.4900000000000002</v>
      </c>
      <c r="K3742">
        <v>46421.07</v>
      </c>
    </row>
    <row r="3743" spans="1:11" x14ac:dyDescent="0.2">
      <c r="A3743">
        <v>74199</v>
      </c>
      <c r="B3743">
        <v>137677</v>
      </c>
      <c r="C3743" t="s">
        <v>7290</v>
      </c>
      <c r="D3743">
        <v>8</v>
      </c>
      <c r="E3743">
        <v>20</v>
      </c>
      <c r="F3743">
        <v>335</v>
      </c>
      <c r="G3743">
        <v>6709</v>
      </c>
      <c r="H3743">
        <v>136</v>
      </c>
      <c r="I3743">
        <v>2.5</v>
      </c>
      <c r="J3743">
        <v>1.1000000000000001</v>
      </c>
      <c r="K3743">
        <v>7379.9</v>
      </c>
    </row>
    <row r="3744" spans="1:11" x14ac:dyDescent="0.2">
      <c r="A3744">
        <v>74197</v>
      </c>
      <c r="B3744">
        <v>137678</v>
      </c>
      <c r="C3744" t="s">
        <v>7291</v>
      </c>
      <c r="D3744">
        <v>8</v>
      </c>
      <c r="E3744">
        <v>28</v>
      </c>
      <c r="F3744">
        <v>464</v>
      </c>
      <c r="G3744">
        <v>12992</v>
      </c>
      <c r="H3744">
        <v>136</v>
      </c>
      <c r="I3744">
        <v>3.4</v>
      </c>
      <c r="J3744">
        <v>0.99</v>
      </c>
      <c r="K3744">
        <v>12862.08</v>
      </c>
    </row>
    <row r="3745" spans="1:11" x14ac:dyDescent="0.2">
      <c r="A3745">
        <v>74264</v>
      </c>
      <c r="B3745">
        <v>137679</v>
      </c>
      <c r="C3745" t="s">
        <v>7292</v>
      </c>
      <c r="D3745">
        <v>8</v>
      </c>
      <c r="E3745">
        <v>20</v>
      </c>
      <c r="F3745">
        <v>513</v>
      </c>
      <c r="G3745">
        <v>10260</v>
      </c>
      <c r="H3745">
        <v>136</v>
      </c>
      <c r="I3745">
        <v>3.8</v>
      </c>
      <c r="J3745">
        <v>0.96</v>
      </c>
      <c r="K3745">
        <v>9849.6</v>
      </c>
    </row>
    <row r="3746" spans="1:11" x14ac:dyDescent="0.2">
      <c r="A3746">
        <v>99156</v>
      </c>
      <c r="B3746">
        <v>137699</v>
      </c>
      <c r="C3746" t="s">
        <v>7293</v>
      </c>
      <c r="D3746">
        <v>10</v>
      </c>
      <c r="E3746">
        <v>24</v>
      </c>
      <c r="F3746">
        <v>0</v>
      </c>
      <c r="G3746">
        <v>0</v>
      </c>
      <c r="H3746">
        <v>90</v>
      </c>
      <c r="I3746">
        <v>0</v>
      </c>
      <c r="J3746">
        <v>1.5</v>
      </c>
      <c r="K3746">
        <v>0</v>
      </c>
    </row>
    <row r="3747" spans="1:11" x14ac:dyDescent="0.2">
      <c r="A3747">
        <v>3641</v>
      </c>
      <c r="B3747">
        <v>137726</v>
      </c>
      <c r="C3747" t="s">
        <v>7294</v>
      </c>
      <c r="D3747">
        <v>6</v>
      </c>
      <c r="E3747">
        <v>36</v>
      </c>
      <c r="F3747">
        <v>1</v>
      </c>
      <c r="G3747">
        <v>33</v>
      </c>
      <c r="H3747">
        <v>120</v>
      </c>
      <c r="I3747">
        <v>0</v>
      </c>
      <c r="J3747">
        <v>1.05</v>
      </c>
      <c r="K3747">
        <v>34.65</v>
      </c>
    </row>
    <row r="3748" spans="1:11" x14ac:dyDescent="0.2">
      <c r="A3748">
        <v>46505</v>
      </c>
      <c r="B3748">
        <v>137787</v>
      </c>
      <c r="C3748" t="s">
        <v>7295</v>
      </c>
      <c r="D3748">
        <v>10</v>
      </c>
      <c r="E3748">
        <v>7</v>
      </c>
      <c r="F3748">
        <v>-1</v>
      </c>
      <c r="G3748">
        <v>-7</v>
      </c>
      <c r="H3748">
        <v>72</v>
      </c>
      <c r="I3748">
        <v>0</v>
      </c>
      <c r="J3748">
        <v>2.19</v>
      </c>
      <c r="K3748">
        <v>-15.33</v>
      </c>
    </row>
    <row r="3749" spans="1:11" x14ac:dyDescent="0.2">
      <c r="A3749">
        <v>46506</v>
      </c>
      <c r="B3749">
        <v>137792</v>
      </c>
      <c r="C3749" t="s">
        <v>7296</v>
      </c>
      <c r="D3749">
        <v>10</v>
      </c>
      <c r="E3749">
        <v>7</v>
      </c>
      <c r="F3749">
        <v>-1</v>
      </c>
      <c r="G3749">
        <v>-7</v>
      </c>
      <c r="H3749">
        <v>72</v>
      </c>
      <c r="I3749">
        <v>0</v>
      </c>
      <c r="J3749">
        <v>2.19</v>
      </c>
      <c r="K3749">
        <v>-15.33</v>
      </c>
    </row>
    <row r="3750" spans="1:11" x14ac:dyDescent="0.2">
      <c r="A3750">
        <v>57487</v>
      </c>
      <c r="B3750">
        <v>137810</v>
      </c>
      <c r="C3750" t="s">
        <v>7297</v>
      </c>
      <c r="D3750">
        <v>10</v>
      </c>
      <c r="E3750">
        <v>12</v>
      </c>
      <c r="F3750">
        <v>8</v>
      </c>
      <c r="G3750">
        <v>94</v>
      </c>
      <c r="H3750">
        <v>154</v>
      </c>
      <c r="I3750">
        <v>0.1</v>
      </c>
      <c r="J3750">
        <v>1.59</v>
      </c>
      <c r="K3750">
        <v>149.65</v>
      </c>
    </row>
    <row r="3751" spans="1:11" x14ac:dyDescent="0.2">
      <c r="A3751">
        <v>45505</v>
      </c>
      <c r="B3751">
        <v>137814</v>
      </c>
      <c r="C3751" t="s">
        <v>7298</v>
      </c>
      <c r="D3751">
        <v>10</v>
      </c>
      <c r="E3751">
        <v>12</v>
      </c>
      <c r="F3751">
        <v>1</v>
      </c>
      <c r="G3751">
        <v>12</v>
      </c>
      <c r="H3751">
        <v>120</v>
      </c>
      <c r="I3751">
        <v>0</v>
      </c>
      <c r="J3751">
        <v>1.29</v>
      </c>
      <c r="K3751">
        <v>15.48</v>
      </c>
    </row>
    <row r="3752" spans="1:11" x14ac:dyDescent="0.2">
      <c r="A3752">
        <v>91099</v>
      </c>
      <c r="B3752">
        <v>137903</v>
      </c>
      <c r="C3752" t="s">
        <v>7299</v>
      </c>
      <c r="D3752">
        <v>8</v>
      </c>
      <c r="E3752">
        <v>1</v>
      </c>
      <c r="F3752">
        <v>379</v>
      </c>
      <c r="G3752">
        <v>379</v>
      </c>
      <c r="H3752">
        <v>240</v>
      </c>
      <c r="I3752">
        <v>1.6</v>
      </c>
      <c r="J3752">
        <v>9.49</v>
      </c>
      <c r="K3752">
        <v>3596.71</v>
      </c>
    </row>
    <row r="3753" spans="1:11" x14ac:dyDescent="0.2">
      <c r="B3753">
        <v>137950</v>
      </c>
      <c r="C3753" t="s">
        <v>7300</v>
      </c>
      <c r="D3753">
        <v>6</v>
      </c>
      <c r="E3753">
        <v>27</v>
      </c>
      <c r="F3753">
        <v>140</v>
      </c>
      <c r="G3753">
        <v>3780</v>
      </c>
      <c r="H3753">
        <v>140</v>
      </c>
      <c r="I3753">
        <v>1</v>
      </c>
      <c r="J3753">
        <v>0.99</v>
      </c>
      <c r="K3753">
        <v>3742.2</v>
      </c>
    </row>
    <row r="3754" spans="1:11" x14ac:dyDescent="0.2">
      <c r="A3754">
        <v>70148</v>
      </c>
      <c r="B3754">
        <v>137964</v>
      </c>
      <c r="C3754" t="s">
        <v>7301</v>
      </c>
      <c r="D3754">
        <v>8</v>
      </c>
      <c r="E3754">
        <v>29</v>
      </c>
      <c r="F3754">
        <v>269</v>
      </c>
      <c r="G3754">
        <v>7801</v>
      </c>
      <c r="H3754">
        <v>112</v>
      </c>
      <c r="I3754">
        <v>2.4</v>
      </c>
      <c r="J3754">
        <v>4.29</v>
      </c>
      <c r="K3754">
        <v>33466.29</v>
      </c>
    </row>
    <row r="3755" spans="1:11" x14ac:dyDescent="0.2">
      <c r="B3755">
        <v>138001</v>
      </c>
      <c r="C3755" t="s">
        <v>7302</v>
      </c>
      <c r="D3755">
        <v>10</v>
      </c>
      <c r="E3755">
        <v>6</v>
      </c>
      <c r="F3755">
        <v>0</v>
      </c>
      <c r="G3755">
        <v>0</v>
      </c>
      <c r="H3755">
        <v>105</v>
      </c>
      <c r="I3755">
        <v>0</v>
      </c>
      <c r="J3755">
        <v>3.43</v>
      </c>
      <c r="K3755">
        <v>0</v>
      </c>
    </row>
    <row r="3756" spans="1:11" x14ac:dyDescent="0.2">
      <c r="A3756">
        <v>57448</v>
      </c>
      <c r="B3756">
        <v>138014</v>
      </c>
      <c r="C3756" t="s">
        <v>7303</v>
      </c>
      <c r="D3756">
        <v>11</v>
      </c>
      <c r="E3756">
        <v>12</v>
      </c>
      <c r="F3756">
        <v>0</v>
      </c>
      <c r="G3756">
        <v>0</v>
      </c>
      <c r="H3756">
        <v>192</v>
      </c>
      <c r="I3756">
        <v>0</v>
      </c>
      <c r="J3756">
        <v>1.5</v>
      </c>
      <c r="K3756">
        <v>0</v>
      </c>
    </row>
    <row r="3757" spans="1:11" x14ac:dyDescent="0.2">
      <c r="A3757">
        <v>57238</v>
      </c>
      <c r="B3757">
        <v>138033</v>
      </c>
      <c r="C3757" t="s">
        <v>7304</v>
      </c>
      <c r="D3757">
        <v>10</v>
      </c>
      <c r="E3757">
        <v>15</v>
      </c>
      <c r="F3757">
        <v>0</v>
      </c>
      <c r="G3757">
        <v>0</v>
      </c>
      <c r="H3757">
        <v>72</v>
      </c>
      <c r="I3757">
        <v>0</v>
      </c>
      <c r="J3757">
        <v>1.99</v>
      </c>
      <c r="K3757">
        <v>0</v>
      </c>
    </row>
    <row r="3758" spans="1:11" x14ac:dyDescent="0.2">
      <c r="A3758">
        <v>57488</v>
      </c>
      <c r="B3758">
        <v>138034</v>
      </c>
      <c r="C3758" t="s">
        <v>7305</v>
      </c>
      <c r="D3758">
        <v>10</v>
      </c>
      <c r="E3758">
        <v>18</v>
      </c>
      <c r="F3758">
        <v>5</v>
      </c>
      <c r="G3758">
        <v>90</v>
      </c>
      <c r="H3758">
        <v>42</v>
      </c>
      <c r="I3758">
        <v>0.1</v>
      </c>
      <c r="J3758">
        <v>4.99</v>
      </c>
      <c r="K3758">
        <v>449.1</v>
      </c>
    </row>
    <row r="3759" spans="1:11" x14ac:dyDescent="0.2">
      <c r="A3759">
        <v>57489</v>
      </c>
      <c r="B3759">
        <v>138035</v>
      </c>
      <c r="C3759" t="s">
        <v>7306</v>
      </c>
      <c r="D3759">
        <v>10</v>
      </c>
      <c r="E3759">
        <v>12</v>
      </c>
      <c r="F3759">
        <v>5</v>
      </c>
      <c r="G3759">
        <v>55</v>
      </c>
      <c r="H3759">
        <v>42</v>
      </c>
      <c r="I3759">
        <v>0.1</v>
      </c>
      <c r="J3759">
        <v>4.99</v>
      </c>
      <c r="K3759">
        <v>274.45</v>
      </c>
    </row>
    <row r="3760" spans="1:11" x14ac:dyDescent="0.2">
      <c r="A3760">
        <v>57490</v>
      </c>
      <c r="B3760">
        <v>138036</v>
      </c>
      <c r="C3760" t="s">
        <v>7307</v>
      </c>
      <c r="D3760">
        <v>10</v>
      </c>
      <c r="E3760">
        <v>9</v>
      </c>
      <c r="F3760">
        <v>3</v>
      </c>
      <c r="G3760">
        <v>23</v>
      </c>
      <c r="H3760">
        <v>42</v>
      </c>
      <c r="I3760">
        <v>0.1</v>
      </c>
      <c r="J3760">
        <v>3.99</v>
      </c>
      <c r="K3760">
        <v>91.77</v>
      </c>
    </row>
    <row r="3761" spans="1:11" x14ac:dyDescent="0.2">
      <c r="A3761">
        <v>57491</v>
      </c>
      <c r="B3761">
        <v>138037</v>
      </c>
      <c r="C3761" t="s">
        <v>7308</v>
      </c>
      <c r="D3761">
        <v>10</v>
      </c>
      <c r="E3761">
        <v>10</v>
      </c>
      <c r="F3761">
        <v>4</v>
      </c>
      <c r="G3761">
        <v>36</v>
      </c>
      <c r="H3761">
        <v>42</v>
      </c>
      <c r="I3761">
        <v>0.1</v>
      </c>
      <c r="J3761">
        <v>3.99</v>
      </c>
      <c r="K3761">
        <v>143.63999999999999</v>
      </c>
    </row>
    <row r="3762" spans="1:11" x14ac:dyDescent="0.2">
      <c r="A3762">
        <v>70065</v>
      </c>
      <c r="B3762">
        <v>138047</v>
      </c>
      <c r="C3762" t="s">
        <v>7309</v>
      </c>
      <c r="D3762">
        <v>7</v>
      </c>
      <c r="E3762">
        <v>20</v>
      </c>
      <c r="F3762">
        <v>3</v>
      </c>
      <c r="G3762">
        <v>60</v>
      </c>
      <c r="H3762">
        <v>98</v>
      </c>
      <c r="I3762">
        <v>0</v>
      </c>
      <c r="J3762">
        <v>1.19</v>
      </c>
      <c r="K3762">
        <v>71.400000000000006</v>
      </c>
    </row>
    <row r="3763" spans="1:11" x14ac:dyDescent="0.2">
      <c r="A3763">
        <v>38612</v>
      </c>
      <c r="B3763">
        <v>138048</v>
      </c>
      <c r="C3763" t="s">
        <v>7310</v>
      </c>
      <c r="D3763">
        <v>10</v>
      </c>
      <c r="E3763">
        <v>15</v>
      </c>
      <c r="F3763">
        <v>0</v>
      </c>
      <c r="G3763">
        <v>0</v>
      </c>
      <c r="H3763">
        <v>42</v>
      </c>
      <c r="I3763">
        <v>0</v>
      </c>
      <c r="J3763">
        <v>2.99</v>
      </c>
      <c r="K3763">
        <v>0</v>
      </c>
    </row>
    <row r="3764" spans="1:11" x14ac:dyDescent="0.2">
      <c r="A3764">
        <v>57645</v>
      </c>
      <c r="B3764">
        <v>138049</v>
      </c>
      <c r="C3764" t="s">
        <v>7311</v>
      </c>
      <c r="D3764">
        <v>10</v>
      </c>
      <c r="E3764">
        <v>15</v>
      </c>
      <c r="F3764">
        <v>1</v>
      </c>
      <c r="G3764">
        <v>21</v>
      </c>
      <c r="H3764">
        <v>42</v>
      </c>
      <c r="I3764">
        <v>0</v>
      </c>
      <c r="J3764">
        <v>2.99</v>
      </c>
      <c r="K3764">
        <v>62.79</v>
      </c>
    </row>
    <row r="3765" spans="1:11" x14ac:dyDescent="0.2">
      <c r="A3765">
        <v>57646</v>
      </c>
      <c r="B3765">
        <v>138050</v>
      </c>
      <c r="C3765" t="s">
        <v>7312</v>
      </c>
      <c r="D3765">
        <v>10</v>
      </c>
      <c r="E3765">
        <v>9</v>
      </c>
      <c r="F3765">
        <v>1</v>
      </c>
      <c r="G3765">
        <v>6</v>
      </c>
      <c r="H3765">
        <v>42</v>
      </c>
      <c r="I3765">
        <v>0</v>
      </c>
      <c r="J3765">
        <v>3.99</v>
      </c>
      <c r="K3765">
        <v>23.94</v>
      </c>
    </row>
    <row r="3766" spans="1:11" x14ac:dyDescent="0.2">
      <c r="A3766">
        <v>57647</v>
      </c>
      <c r="B3766">
        <v>138051</v>
      </c>
      <c r="C3766" t="s">
        <v>7313</v>
      </c>
      <c r="D3766">
        <v>10</v>
      </c>
      <c r="E3766">
        <v>7</v>
      </c>
      <c r="F3766">
        <v>1</v>
      </c>
      <c r="G3766">
        <v>6</v>
      </c>
      <c r="H3766">
        <v>42</v>
      </c>
      <c r="I3766">
        <v>0</v>
      </c>
      <c r="J3766">
        <v>1.49</v>
      </c>
      <c r="K3766">
        <v>8.94</v>
      </c>
    </row>
    <row r="3767" spans="1:11" x14ac:dyDescent="0.2">
      <c r="A3767">
        <v>57648</v>
      </c>
      <c r="B3767">
        <v>138052</v>
      </c>
      <c r="C3767" t="s">
        <v>7314</v>
      </c>
      <c r="D3767">
        <v>10</v>
      </c>
      <c r="E3767">
        <v>7</v>
      </c>
      <c r="F3767">
        <v>1</v>
      </c>
      <c r="G3767">
        <v>4</v>
      </c>
      <c r="H3767">
        <v>42</v>
      </c>
      <c r="I3767">
        <v>0</v>
      </c>
      <c r="J3767">
        <v>1.49</v>
      </c>
      <c r="K3767">
        <v>5.96</v>
      </c>
    </row>
    <row r="3768" spans="1:11" x14ac:dyDescent="0.2">
      <c r="A3768">
        <v>57649</v>
      </c>
      <c r="B3768">
        <v>138058</v>
      </c>
      <c r="C3768" t="s">
        <v>7315</v>
      </c>
      <c r="D3768">
        <v>10</v>
      </c>
      <c r="E3768">
        <v>7</v>
      </c>
      <c r="F3768">
        <v>1</v>
      </c>
      <c r="G3768">
        <v>6</v>
      </c>
      <c r="H3768">
        <v>42</v>
      </c>
      <c r="I3768">
        <v>0</v>
      </c>
      <c r="J3768">
        <v>0.99</v>
      </c>
      <c r="K3768">
        <v>5.94</v>
      </c>
    </row>
    <row r="3769" spans="1:11" x14ac:dyDescent="0.2">
      <c r="A3769">
        <v>95467</v>
      </c>
      <c r="B3769">
        <v>138159</v>
      </c>
      <c r="C3769" t="s">
        <v>7316</v>
      </c>
      <c r="D3769">
        <v>8</v>
      </c>
      <c r="E3769">
        <v>6</v>
      </c>
      <c r="F3769">
        <v>552</v>
      </c>
      <c r="G3769">
        <v>3312</v>
      </c>
      <c r="H3769">
        <v>64</v>
      </c>
      <c r="I3769">
        <v>8.6</v>
      </c>
      <c r="J3769">
        <v>0.99</v>
      </c>
      <c r="K3769">
        <v>3278.88</v>
      </c>
    </row>
    <row r="3770" spans="1:11" x14ac:dyDescent="0.2">
      <c r="A3770">
        <v>2510</v>
      </c>
      <c r="B3770">
        <v>138187</v>
      </c>
      <c r="C3770" t="s">
        <v>7317</v>
      </c>
      <c r="D3770">
        <v>6</v>
      </c>
      <c r="E3770">
        <v>8</v>
      </c>
      <c r="F3770">
        <v>0</v>
      </c>
      <c r="G3770">
        <v>0</v>
      </c>
      <c r="H3770">
        <v>100</v>
      </c>
      <c r="I3770">
        <v>0</v>
      </c>
      <c r="J3770">
        <v>1.99</v>
      </c>
      <c r="K3770">
        <v>0</v>
      </c>
    </row>
    <row r="3771" spans="1:11" x14ac:dyDescent="0.2">
      <c r="A3771">
        <v>2511</v>
      </c>
      <c r="B3771">
        <v>138188</v>
      </c>
      <c r="C3771" t="s">
        <v>7318</v>
      </c>
      <c r="D3771">
        <v>6</v>
      </c>
      <c r="E3771">
        <v>8</v>
      </c>
      <c r="F3771">
        <v>0</v>
      </c>
      <c r="G3771">
        <v>0</v>
      </c>
      <c r="H3771">
        <v>100</v>
      </c>
      <c r="I3771">
        <v>0</v>
      </c>
      <c r="J3771">
        <v>1.99</v>
      </c>
      <c r="K3771">
        <v>0</v>
      </c>
    </row>
    <row r="3772" spans="1:11" x14ac:dyDescent="0.2">
      <c r="A3772">
        <v>2512</v>
      </c>
      <c r="B3772">
        <v>138189</v>
      </c>
      <c r="C3772" t="s">
        <v>7319</v>
      </c>
      <c r="D3772">
        <v>6</v>
      </c>
      <c r="E3772">
        <v>8</v>
      </c>
      <c r="F3772">
        <v>2</v>
      </c>
      <c r="G3772">
        <v>16</v>
      </c>
      <c r="H3772">
        <v>100</v>
      </c>
      <c r="I3772">
        <v>0</v>
      </c>
      <c r="J3772">
        <v>1.99</v>
      </c>
      <c r="K3772">
        <v>31.84</v>
      </c>
    </row>
    <row r="3773" spans="1:11" x14ac:dyDescent="0.2">
      <c r="A3773">
        <v>2513</v>
      </c>
      <c r="B3773">
        <v>138190</v>
      </c>
      <c r="C3773" t="s">
        <v>7320</v>
      </c>
      <c r="D3773">
        <v>6</v>
      </c>
      <c r="E3773">
        <v>8</v>
      </c>
      <c r="F3773">
        <v>0</v>
      </c>
      <c r="G3773">
        <v>0</v>
      </c>
      <c r="H3773">
        <v>100</v>
      </c>
      <c r="I3773">
        <v>0</v>
      </c>
      <c r="J3773">
        <v>1.99</v>
      </c>
      <c r="K3773">
        <v>0</v>
      </c>
    </row>
    <row r="3774" spans="1:11" x14ac:dyDescent="0.2">
      <c r="A3774">
        <v>2514</v>
      </c>
      <c r="B3774">
        <v>138191</v>
      </c>
      <c r="C3774" t="s">
        <v>7321</v>
      </c>
      <c r="D3774">
        <v>6</v>
      </c>
      <c r="E3774">
        <v>8</v>
      </c>
      <c r="F3774">
        <v>0</v>
      </c>
      <c r="G3774">
        <v>0</v>
      </c>
      <c r="H3774">
        <v>100</v>
      </c>
      <c r="I3774">
        <v>0</v>
      </c>
      <c r="J3774">
        <v>1.99</v>
      </c>
      <c r="K3774">
        <v>0</v>
      </c>
    </row>
    <row r="3775" spans="1:11" x14ac:dyDescent="0.2">
      <c r="A3775">
        <v>52603</v>
      </c>
      <c r="B3775">
        <v>138195</v>
      </c>
      <c r="C3775" t="s">
        <v>7322</v>
      </c>
      <c r="D3775">
        <v>6</v>
      </c>
      <c r="E3775">
        <v>56</v>
      </c>
      <c r="F3775">
        <v>80</v>
      </c>
      <c r="G3775">
        <v>4480</v>
      </c>
      <c r="H3775">
        <v>4</v>
      </c>
      <c r="I3775">
        <v>20</v>
      </c>
      <c r="J3775">
        <v>1.29</v>
      </c>
      <c r="K3775">
        <v>5779.2</v>
      </c>
    </row>
    <row r="3776" spans="1:11" x14ac:dyDescent="0.2">
      <c r="A3776">
        <v>52602</v>
      </c>
      <c r="B3776">
        <v>138203</v>
      </c>
      <c r="C3776" t="s">
        <v>7323</v>
      </c>
      <c r="D3776">
        <v>6</v>
      </c>
      <c r="E3776">
        <v>40</v>
      </c>
      <c r="F3776">
        <v>80</v>
      </c>
      <c r="G3776">
        <v>3200</v>
      </c>
      <c r="H3776">
        <v>4</v>
      </c>
      <c r="I3776">
        <v>20</v>
      </c>
      <c r="J3776">
        <v>1.99</v>
      </c>
      <c r="K3776">
        <v>6368</v>
      </c>
    </row>
    <row r="3777" spans="1:11" x14ac:dyDescent="0.2">
      <c r="A3777">
        <v>52629</v>
      </c>
      <c r="B3777">
        <v>138207</v>
      </c>
      <c r="C3777" t="s">
        <v>7324</v>
      </c>
      <c r="D3777">
        <v>6</v>
      </c>
      <c r="E3777">
        <v>20</v>
      </c>
      <c r="F3777">
        <v>80</v>
      </c>
      <c r="G3777">
        <v>1600</v>
      </c>
      <c r="H3777">
        <v>4</v>
      </c>
      <c r="I3777">
        <v>20</v>
      </c>
      <c r="J3777">
        <v>2.99</v>
      </c>
      <c r="K3777">
        <v>4784</v>
      </c>
    </row>
    <row r="3778" spans="1:11" x14ac:dyDescent="0.2">
      <c r="A3778">
        <v>52601</v>
      </c>
      <c r="B3778">
        <v>138215</v>
      </c>
      <c r="C3778" t="s">
        <v>7325</v>
      </c>
      <c r="D3778">
        <v>6</v>
      </c>
      <c r="E3778">
        <v>24</v>
      </c>
      <c r="F3778">
        <v>80</v>
      </c>
      <c r="G3778">
        <v>1920</v>
      </c>
      <c r="H3778">
        <v>4</v>
      </c>
      <c r="I3778">
        <v>20</v>
      </c>
      <c r="J3778">
        <v>3.99</v>
      </c>
      <c r="K3778">
        <v>7660.8</v>
      </c>
    </row>
    <row r="3779" spans="1:11" x14ac:dyDescent="0.2">
      <c r="A3779">
        <v>71124</v>
      </c>
      <c r="B3779">
        <v>138222</v>
      </c>
      <c r="C3779" t="s">
        <v>7326</v>
      </c>
      <c r="D3779">
        <v>8</v>
      </c>
      <c r="E3779">
        <v>30</v>
      </c>
      <c r="F3779">
        <v>742</v>
      </c>
      <c r="G3779">
        <v>22262</v>
      </c>
      <c r="H3779">
        <v>50</v>
      </c>
      <c r="I3779">
        <v>14.8</v>
      </c>
      <c r="J3779">
        <v>0.45</v>
      </c>
      <c r="K3779">
        <v>10017.9</v>
      </c>
    </row>
    <row r="3780" spans="1:11" x14ac:dyDescent="0.2">
      <c r="A3780">
        <v>95405</v>
      </c>
      <c r="B3780">
        <v>138223</v>
      </c>
      <c r="C3780" t="s">
        <v>7327</v>
      </c>
      <c r="D3780">
        <v>8</v>
      </c>
      <c r="E3780">
        <v>6</v>
      </c>
      <c r="F3780">
        <v>2430</v>
      </c>
      <c r="G3780">
        <v>14580</v>
      </c>
      <c r="H3780">
        <v>64</v>
      </c>
      <c r="I3780">
        <v>38</v>
      </c>
      <c r="J3780">
        <v>0.85</v>
      </c>
      <c r="K3780">
        <v>12393</v>
      </c>
    </row>
    <row r="3781" spans="1:11" x14ac:dyDescent="0.2">
      <c r="B3781">
        <v>138264</v>
      </c>
      <c r="C3781" t="s">
        <v>7328</v>
      </c>
      <c r="D3781">
        <v>6</v>
      </c>
      <c r="E3781">
        <v>20</v>
      </c>
      <c r="F3781">
        <v>256</v>
      </c>
      <c r="G3781">
        <v>5120</v>
      </c>
      <c r="H3781">
        <v>128</v>
      </c>
      <c r="I3781">
        <v>2</v>
      </c>
      <c r="J3781">
        <v>1.99</v>
      </c>
      <c r="K3781">
        <v>10188.799999999999</v>
      </c>
    </row>
    <row r="3782" spans="1:11" x14ac:dyDescent="0.2">
      <c r="A3782">
        <v>45615</v>
      </c>
      <c r="B3782">
        <v>138285</v>
      </c>
      <c r="C3782" t="s">
        <v>7329</v>
      </c>
      <c r="D3782">
        <v>10</v>
      </c>
      <c r="E3782">
        <v>14</v>
      </c>
      <c r="F3782">
        <v>1</v>
      </c>
      <c r="G3782">
        <v>14</v>
      </c>
      <c r="H3782">
        <v>280</v>
      </c>
      <c r="I3782">
        <v>0</v>
      </c>
      <c r="J3782">
        <v>0.79</v>
      </c>
      <c r="K3782">
        <v>11.06</v>
      </c>
    </row>
    <row r="3783" spans="1:11" x14ac:dyDescent="0.2">
      <c r="A3783">
        <v>2658</v>
      </c>
      <c r="B3783">
        <v>138322</v>
      </c>
      <c r="C3783" t="s">
        <v>7330</v>
      </c>
      <c r="D3783">
        <v>6</v>
      </c>
      <c r="E3783">
        <v>16</v>
      </c>
      <c r="F3783">
        <v>0</v>
      </c>
      <c r="G3783">
        <v>0</v>
      </c>
      <c r="H3783">
        <v>42</v>
      </c>
      <c r="I3783">
        <v>0</v>
      </c>
      <c r="J3783">
        <v>1.39</v>
      </c>
      <c r="K3783">
        <v>0</v>
      </c>
    </row>
    <row r="3784" spans="1:11" x14ac:dyDescent="0.2">
      <c r="A3784">
        <v>91097</v>
      </c>
      <c r="B3784">
        <v>138485</v>
      </c>
      <c r="C3784" t="s">
        <v>7331</v>
      </c>
      <c r="D3784">
        <v>8</v>
      </c>
      <c r="E3784">
        <v>1</v>
      </c>
      <c r="F3784">
        <v>393</v>
      </c>
      <c r="G3784">
        <v>393</v>
      </c>
      <c r="H3784">
        <v>360</v>
      </c>
      <c r="I3784">
        <v>1.1000000000000001</v>
      </c>
      <c r="J3784">
        <v>9.99</v>
      </c>
      <c r="K3784">
        <v>3926.07</v>
      </c>
    </row>
    <row r="3785" spans="1:11" x14ac:dyDescent="0.2">
      <c r="A3785">
        <v>91110</v>
      </c>
      <c r="B3785">
        <v>138486</v>
      </c>
      <c r="C3785" t="s">
        <v>7332</v>
      </c>
      <c r="D3785">
        <v>8</v>
      </c>
      <c r="E3785">
        <v>1</v>
      </c>
      <c r="F3785">
        <v>515</v>
      </c>
      <c r="G3785">
        <v>515</v>
      </c>
      <c r="H3785">
        <v>720</v>
      </c>
      <c r="I3785">
        <v>0.7</v>
      </c>
      <c r="J3785">
        <v>3.79</v>
      </c>
      <c r="K3785">
        <v>1951.85</v>
      </c>
    </row>
    <row r="3786" spans="1:11" x14ac:dyDescent="0.2">
      <c r="B3786">
        <v>138490</v>
      </c>
      <c r="C3786" t="s">
        <v>7333</v>
      </c>
      <c r="D3786">
        <v>10</v>
      </c>
      <c r="E3786">
        <v>6</v>
      </c>
      <c r="F3786">
        <v>0</v>
      </c>
      <c r="G3786">
        <v>0</v>
      </c>
      <c r="H3786">
        <v>100</v>
      </c>
      <c r="I3786">
        <v>0</v>
      </c>
      <c r="J3786">
        <v>7.49</v>
      </c>
      <c r="K3786">
        <v>0</v>
      </c>
    </row>
    <row r="3787" spans="1:11" x14ac:dyDescent="0.2">
      <c r="A3787">
        <v>85186</v>
      </c>
      <c r="B3787">
        <v>138589</v>
      </c>
      <c r="C3787" t="s">
        <v>7334</v>
      </c>
      <c r="D3787">
        <v>9</v>
      </c>
      <c r="E3787">
        <v>8</v>
      </c>
      <c r="F3787">
        <v>121</v>
      </c>
      <c r="G3787">
        <v>968</v>
      </c>
      <c r="H3787">
        <v>120</v>
      </c>
      <c r="I3787">
        <v>1</v>
      </c>
      <c r="J3787">
        <v>3.99</v>
      </c>
      <c r="K3787">
        <v>3862.32</v>
      </c>
    </row>
    <row r="3788" spans="1:11" x14ac:dyDescent="0.2">
      <c r="A3788">
        <v>93039</v>
      </c>
      <c r="B3788">
        <v>138614</v>
      </c>
      <c r="C3788" t="s">
        <v>7335</v>
      </c>
      <c r="D3788">
        <v>10</v>
      </c>
      <c r="E3788">
        <v>30</v>
      </c>
      <c r="F3788">
        <v>0</v>
      </c>
      <c r="G3788">
        <v>0</v>
      </c>
      <c r="H3788">
        <v>48</v>
      </c>
      <c r="I3788">
        <v>0</v>
      </c>
      <c r="J3788">
        <v>1.79</v>
      </c>
      <c r="K3788">
        <v>0</v>
      </c>
    </row>
    <row r="3789" spans="1:11" x14ac:dyDescent="0.2">
      <c r="A3789">
        <v>93349</v>
      </c>
      <c r="B3789">
        <v>138619</v>
      </c>
      <c r="C3789" t="s">
        <v>7336</v>
      </c>
      <c r="D3789">
        <v>6</v>
      </c>
      <c r="E3789">
        <v>18</v>
      </c>
      <c r="F3789">
        <v>2</v>
      </c>
      <c r="G3789">
        <v>36</v>
      </c>
      <c r="H3789">
        <v>1</v>
      </c>
      <c r="I3789">
        <v>2</v>
      </c>
      <c r="J3789">
        <v>6.99</v>
      </c>
      <c r="K3789">
        <v>251.64</v>
      </c>
    </row>
    <row r="3790" spans="1:11" x14ac:dyDescent="0.2">
      <c r="A3790">
        <v>93381</v>
      </c>
      <c r="B3790">
        <v>138620</v>
      </c>
      <c r="C3790" t="s">
        <v>7337</v>
      </c>
      <c r="D3790">
        <v>10</v>
      </c>
      <c r="E3790">
        <v>8</v>
      </c>
      <c r="F3790">
        <v>-2</v>
      </c>
      <c r="G3790">
        <v>-16</v>
      </c>
      <c r="H3790">
        <v>12</v>
      </c>
      <c r="I3790">
        <v>-0.2</v>
      </c>
      <c r="J3790">
        <v>9.99</v>
      </c>
      <c r="K3790">
        <v>-159.84</v>
      </c>
    </row>
    <row r="3791" spans="1:11" x14ac:dyDescent="0.2">
      <c r="A3791">
        <v>93345</v>
      </c>
      <c r="B3791">
        <v>138628</v>
      </c>
      <c r="C3791" t="s">
        <v>7338</v>
      </c>
      <c r="D3791">
        <v>10</v>
      </c>
      <c r="E3791">
        <v>2</v>
      </c>
      <c r="F3791">
        <v>6</v>
      </c>
      <c r="G3791">
        <v>12</v>
      </c>
      <c r="H3791">
        <v>36</v>
      </c>
      <c r="I3791">
        <v>0.2</v>
      </c>
      <c r="J3791">
        <v>6.99</v>
      </c>
      <c r="K3791">
        <v>83.88</v>
      </c>
    </row>
    <row r="3792" spans="1:11" x14ac:dyDescent="0.2">
      <c r="A3792">
        <v>93382</v>
      </c>
      <c r="B3792">
        <v>138634</v>
      </c>
      <c r="C3792" t="s">
        <v>7339</v>
      </c>
      <c r="D3792">
        <v>10</v>
      </c>
      <c r="E3792">
        <v>6</v>
      </c>
      <c r="F3792">
        <v>-1</v>
      </c>
      <c r="G3792">
        <v>-6</v>
      </c>
      <c r="H3792">
        <v>20</v>
      </c>
      <c r="I3792">
        <v>-0.1</v>
      </c>
      <c r="K3792">
        <v>0</v>
      </c>
    </row>
    <row r="3793" spans="1:11" x14ac:dyDescent="0.2">
      <c r="A3793">
        <v>76063</v>
      </c>
      <c r="B3793">
        <v>138668</v>
      </c>
      <c r="C3793" t="s">
        <v>7340</v>
      </c>
      <c r="D3793">
        <v>8</v>
      </c>
      <c r="E3793">
        <v>14</v>
      </c>
      <c r="F3793">
        <v>145</v>
      </c>
      <c r="G3793">
        <v>2030</v>
      </c>
      <c r="H3793">
        <v>42</v>
      </c>
      <c r="I3793">
        <v>3.5</v>
      </c>
      <c r="J3793">
        <v>2.19</v>
      </c>
      <c r="K3793">
        <v>4445.7</v>
      </c>
    </row>
    <row r="3794" spans="1:11" x14ac:dyDescent="0.2">
      <c r="A3794">
        <v>81195</v>
      </c>
      <c r="B3794">
        <v>138671</v>
      </c>
      <c r="C3794" t="s">
        <v>6346</v>
      </c>
      <c r="D3794">
        <v>7</v>
      </c>
      <c r="E3794">
        <v>24</v>
      </c>
      <c r="F3794">
        <v>82</v>
      </c>
      <c r="G3794">
        <v>1968</v>
      </c>
      <c r="H3794">
        <v>72</v>
      </c>
      <c r="I3794">
        <v>1.1000000000000001</v>
      </c>
      <c r="J3794">
        <v>3.59</v>
      </c>
      <c r="K3794">
        <v>7065.12</v>
      </c>
    </row>
    <row r="3795" spans="1:11" x14ac:dyDescent="0.2">
      <c r="A3795">
        <v>57352</v>
      </c>
      <c r="B3795">
        <v>138767</v>
      </c>
      <c r="C3795" t="s">
        <v>7341</v>
      </c>
      <c r="D3795">
        <v>10</v>
      </c>
      <c r="E3795">
        <v>18</v>
      </c>
      <c r="F3795">
        <v>0</v>
      </c>
      <c r="G3795">
        <v>0</v>
      </c>
      <c r="H3795">
        <v>45</v>
      </c>
      <c r="I3795">
        <v>0</v>
      </c>
      <c r="J3795">
        <v>0.5</v>
      </c>
      <c r="K3795">
        <v>0</v>
      </c>
    </row>
    <row r="3796" spans="1:11" x14ac:dyDescent="0.2">
      <c r="A3796">
        <v>93906</v>
      </c>
      <c r="B3796">
        <v>138819</v>
      </c>
      <c r="C3796" t="s">
        <v>7342</v>
      </c>
      <c r="D3796">
        <v>10</v>
      </c>
      <c r="E3796">
        <v>16</v>
      </c>
      <c r="F3796">
        <v>1</v>
      </c>
      <c r="G3796">
        <v>16</v>
      </c>
      <c r="H3796">
        <v>32</v>
      </c>
      <c r="I3796">
        <v>0</v>
      </c>
      <c r="J3796">
        <v>2.19</v>
      </c>
      <c r="K3796">
        <v>35.04</v>
      </c>
    </row>
    <row r="3797" spans="1:11" x14ac:dyDescent="0.2">
      <c r="A3797">
        <v>93316</v>
      </c>
      <c r="B3797">
        <v>138859</v>
      </c>
      <c r="C3797" t="s">
        <v>7343</v>
      </c>
      <c r="D3797">
        <v>10</v>
      </c>
      <c r="E3797">
        <v>6</v>
      </c>
      <c r="F3797">
        <v>0</v>
      </c>
      <c r="G3797">
        <v>0</v>
      </c>
      <c r="H3797">
        <v>28</v>
      </c>
      <c r="I3797">
        <v>0</v>
      </c>
      <c r="J3797">
        <v>9.99</v>
      </c>
      <c r="K3797">
        <v>0</v>
      </c>
    </row>
    <row r="3798" spans="1:11" x14ac:dyDescent="0.2">
      <c r="A3798">
        <v>48607</v>
      </c>
      <c r="B3798">
        <v>138876</v>
      </c>
      <c r="C3798" t="s">
        <v>7344</v>
      </c>
      <c r="D3798">
        <v>10</v>
      </c>
      <c r="E3798">
        <v>18</v>
      </c>
      <c r="F3798">
        <v>0</v>
      </c>
      <c r="G3798">
        <v>0</v>
      </c>
      <c r="H3798">
        <v>56</v>
      </c>
      <c r="I3798">
        <v>0</v>
      </c>
      <c r="J3798">
        <v>1.69</v>
      </c>
      <c r="K3798">
        <v>0</v>
      </c>
    </row>
    <row r="3799" spans="1:11" x14ac:dyDescent="0.2">
      <c r="A3799">
        <v>73254</v>
      </c>
      <c r="B3799">
        <v>138919</v>
      </c>
      <c r="C3799" t="s">
        <v>7345</v>
      </c>
      <c r="D3799">
        <v>9</v>
      </c>
      <c r="E3799">
        <v>12</v>
      </c>
      <c r="F3799">
        <v>346</v>
      </c>
      <c r="G3799">
        <v>4152</v>
      </c>
      <c r="H3799">
        <v>310</v>
      </c>
      <c r="I3799">
        <v>1.1000000000000001</v>
      </c>
      <c r="J3799">
        <v>1.69</v>
      </c>
      <c r="K3799">
        <v>7016.88</v>
      </c>
    </row>
    <row r="3800" spans="1:11" x14ac:dyDescent="0.2">
      <c r="B3800">
        <v>138920</v>
      </c>
      <c r="C3800" t="s">
        <v>7346</v>
      </c>
      <c r="D3800">
        <v>10</v>
      </c>
      <c r="E3800">
        <v>12</v>
      </c>
      <c r="F3800">
        <v>5</v>
      </c>
      <c r="G3800">
        <v>56</v>
      </c>
      <c r="H3800">
        <v>310</v>
      </c>
      <c r="I3800">
        <v>0</v>
      </c>
      <c r="J3800">
        <v>1.69</v>
      </c>
      <c r="K3800">
        <v>94.64</v>
      </c>
    </row>
    <row r="3801" spans="1:11" x14ac:dyDescent="0.2">
      <c r="B3801">
        <v>138921</v>
      </c>
      <c r="C3801" t="s">
        <v>7347</v>
      </c>
      <c r="D3801">
        <v>10</v>
      </c>
      <c r="E3801">
        <v>12</v>
      </c>
      <c r="F3801">
        <v>-8</v>
      </c>
      <c r="G3801">
        <v>-101</v>
      </c>
      <c r="H3801">
        <v>310</v>
      </c>
      <c r="I3801">
        <v>0</v>
      </c>
      <c r="J3801">
        <v>1.69</v>
      </c>
      <c r="K3801">
        <v>-170.69</v>
      </c>
    </row>
    <row r="3802" spans="1:11" x14ac:dyDescent="0.2">
      <c r="B3802">
        <v>138922</v>
      </c>
      <c r="C3802" t="s">
        <v>7348</v>
      </c>
      <c r="D3802">
        <v>10</v>
      </c>
      <c r="E3802">
        <v>12</v>
      </c>
      <c r="F3802">
        <v>-29</v>
      </c>
      <c r="G3802">
        <v>-348</v>
      </c>
      <c r="H3802">
        <v>310</v>
      </c>
      <c r="I3802">
        <v>-0.1</v>
      </c>
      <c r="J3802">
        <v>1.69</v>
      </c>
      <c r="K3802">
        <v>-588.12</v>
      </c>
    </row>
    <row r="3803" spans="1:11" x14ac:dyDescent="0.2">
      <c r="B3803">
        <v>138923</v>
      </c>
      <c r="C3803" t="s">
        <v>7349</v>
      </c>
      <c r="D3803">
        <v>10</v>
      </c>
      <c r="E3803">
        <v>12</v>
      </c>
      <c r="F3803">
        <v>-48</v>
      </c>
      <c r="G3803">
        <v>-576</v>
      </c>
      <c r="H3803">
        <v>310</v>
      </c>
      <c r="I3803">
        <v>-0.2</v>
      </c>
      <c r="J3803">
        <v>1.69</v>
      </c>
      <c r="K3803">
        <v>-973.44</v>
      </c>
    </row>
    <row r="3804" spans="1:11" x14ac:dyDescent="0.2">
      <c r="A3804">
        <v>0</v>
      </c>
      <c r="B3804">
        <v>138924</v>
      </c>
      <c r="C3804" t="s">
        <v>7350</v>
      </c>
      <c r="D3804">
        <v>11</v>
      </c>
      <c r="E3804">
        <v>12</v>
      </c>
      <c r="F3804">
        <v>18</v>
      </c>
      <c r="G3804">
        <v>214</v>
      </c>
      <c r="H3804">
        <v>310</v>
      </c>
      <c r="I3804">
        <v>0.1</v>
      </c>
      <c r="J3804">
        <v>1.69</v>
      </c>
      <c r="K3804">
        <v>361.66</v>
      </c>
    </row>
    <row r="3805" spans="1:11" x14ac:dyDescent="0.2">
      <c r="A3805">
        <v>93241</v>
      </c>
      <c r="B3805">
        <v>138958</v>
      </c>
      <c r="C3805" t="s">
        <v>7351</v>
      </c>
      <c r="D3805">
        <v>10</v>
      </c>
      <c r="E3805">
        <v>12</v>
      </c>
      <c r="F3805">
        <v>0</v>
      </c>
      <c r="G3805">
        <v>0</v>
      </c>
      <c r="H3805">
        <v>36</v>
      </c>
      <c r="I3805">
        <v>0</v>
      </c>
      <c r="J3805">
        <v>4.99</v>
      </c>
      <c r="K3805">
        <v>0</v>
      </c>
    </row>
    <row r="3806" spans="1:11" x14ac:dyDescent="0.2">
      <c r="A3806">
        <v>88030</v>
      </c>
      <c r="B3806">
        <v>138960</v>
      </c>
      <c r="C3806" t="s">
        <v>7352</v>
      </c>
      <c r="D3806">
        <v>8</v>
      </c>
      <c r="E3806">
        <v>20</v>
      </c>
      <c r="F3806">
        <v>72</v>
      </c>
      <c r="G3806">
        <v>1440</v>
      </c>
      <c r="H3806">
        <v>72</v>
      </c>
      <c r="I3806">
        <v>1</v>
      </c>
      <c r="J3806">
        <v>1.99</v>
      </c>
      <c r="K3806">
        <v>2865.6</v>
      </c>
    </row>
    <row r="3807" spans="1:11" x14ac:dyDescent="0.2">
      <c r="A3807">
        <v>88027</v>
      </c>
      <c r="B3807">
        <v>138961</v>
      </c>
      <c r="C3807" t="s">
        <v>7353</v>
      </c>
      <c r="D3807">
        <v>8</v>
      </c>
      <c r="E3807">
        <v>20</v>
      </c>
      <c r="F3807">
        <v>0</v>
      </c>
      <c r="G3807">
        <v>0</v>
      </c>
      <c r="H3807">
        <v>72</v>
      </c>
      <c r="I3807">
        <v>0</v>
      </c>
      <c r="J3807">
        <v>1.99</v>
      </c>
      <c r="K3807">
        <v>0</v>
      </c>
    </row>
    <row r="3808" spans="1:11" x14ac:dyDescent="0.2">
      <c r="A3808">
        <v>57021</v>
      </c>
      <c r="B3808">
        <v>139017</v>
      </c>
      <c r="C3808" t="s">
        <v>7354</v>
      </c>
      <c r="D3808">
        <v>11</v>
      </c>
      <c r="E3808">
        <v>14</v>
      </c>
      <c r="F3808">
        <v>0</v>
      </c>
      <c r="G3808">
        <v>0</v>
      </c>
      <c r="H3808">
        <v>70</v>
      </c>
      <c r="I3808">
        <v>0</v>
      </c>
      <c r="J3808">
        <v>1.9</v>
      </c>
      <c r="K3808">
        <v>0</v>
      </c>
    </row>
    <row r="3809" spans="1:11" x14ac:dyDescent="0.2">
      <c r="A3809">
        <v>93800</v>
      </c>
      <c r="B3809">
        <v>139058</v>
      </c>
      <c r="C3809" t="s">
        <v>7355</v>
      </c>
      <c r="D3809">
        <v>10</v>
      </c>
      <c r="E3809">
        <v>8</v>
      </c>
      <c r="F3809">
        <v>0</v>
      </c>
      <c r="G3809">
        <v>0</v>
      </c>
      <c r="H3809">
        <v>16</v>
      </c>
      <c r="I3809">
        <v>0</v>
      </c>
      <c r="J3809">
        <v>2.99</v>
      </c>
      <c r="K3809">
        <v>0</v>
      </c>
    </row>
    <row r="3810" spans="1:11" x14ac:dyDescent="0.2">
      <c r="A3810">
        <v>4627</v>
      </c>
      <c r="B3810">
        <v>139147</v>
      </c>
      <c r="C3810" t="s">
        <v>7356</v>
      </c>
      <c r="D3810">
        <v>6</v>
      </c>
      <c r="E3810">
        <v>24</v>
      </c>
      <c r="F3810">
        <v>8</v>
      </c>
      <c r="G3810">
        <v>182</v>
      </c>
      <c r="H3810">
        <v>96</v>
      </c>
      <c r="I3810">
        <v>0.1</v>
      </c>
      <c r="J3810">
        <v>1.59</v>
      </c>
      <c r="K3810">
        <v>289.38</v>
      </c>
    </row>
    <row r="3811" spans="1:11" x14ac:dyDescent="0.2">
      <c r="A3811">
        <v>73158</v>
      </c>
      <c r="B3811">
        <v>139172</v>
      </c>
      <c r="C3811" t="s">
        <v>7357</v>
      </c>
      <c r="D3811">
        <v>8</v>
      </c>
      <c r="E3811">
        <v>4</v>
      </c>
      <c r="F3811">
        <v>951</v>
      </c>
      <c r="G3811">
        <v>3804</v>
      </c>
      <c r="H3811">
        <v>135</v>
      </c>
      <c r="I3811">
        <v>7</v>
      </c>
      <c r="J3811">
        <v>2.85</v>
      </c>
      <c r="K3811">
        <v>10841.4</v>
      </c>
    </row>
    <row r="3812" spans="1:11" x14ac:dyDescent="0.2">
      <c r="A3812">
        <v>65173</v>
      </c>
      <c r="B3812">
        <v>139234</v>
      </c>
      <c r="C3812" t="s">
        <v>7358</v>
      </c>
      <c r="D3812">
        <v>8</v>
      </c>
      <c r="E3812">
        <v>15</v>
      </c>
      <c r="F3812">
        <v>1245</v>
      </c>
      <c r="G3812">
        <v>18673</v>
      </c>
      <c r="H3812">
        <v>240</v>
      </c>
      <c r="I3812">
        <v>5.2</v>
      </c>
      <c r="J3812">
        <v>0.95</v>
      </c>
      <c r="K3812">
        <v>17739.349999999999</v>
      </c>
    </row>
    <row r="3813" spans="1:11" x14ac:dyDescent="0.2">
      <c r="A3813">
        <v>65193</v>
      </c>
      <c r="B3813">
        <v>139235</v>
      </c>
      <c r="C3813" t="s">
        <v>7359</v>
      </c>
      <c r="D3813">
        <v>8</v>
      </c>
      <c r="E3813">
        <v>15</v>
      </c>
      <c r="F3813">
        <v>1430</v>
      </c>
      <c r="G3813">
        <v>21450</v>
      </c>
      <c r="H3813">
        <v>240</v>
      </c>
      <c r="I3813">
        <v>6</v>
      </c>
      <c r="J3813">
        <v>0.85</v>
      </c>
      <c r="K3813">
        <v>18232.5</v>
      </c>
    </row>
    <row r="3814" spans="1:11" x14ac:dyDescent="0.2">
      <c r="A3814">
        <v>65186</v>
      </c>
      <c r="B3814">
        <v>139239</v>
      </c>
      <c r="C3814" t="s">
        <v>7360</v>
      </c>
      <c r="D3814">
        <v>8</v>
      </c>
      <c r="E3814">
        <v>24</v>
      </c>
      <c r="F3814">
        <v>572</v>
      </c>
      <c r="G3814">
        <v>13728</v>
      </c>
      <c r="H3814">
        <v>132</v>
      </c>
      <c r="I3814">
        <v>4.3</v>
      </c>
      <c r="J3814">
        <v>0.95</v>
      </c>
      <c r="K3814">
        <v>13041.6</v>
      </c>
    </row>
    <row r="3815" spans="1:11" x14ac:dyDescent="0.2">
      <c r="A3815">
        <v>52605</v>
      </c>
      <c r="B3815">
        <v>139291</v>
      </c>
      <c r="C3815" t="s">
        <v>7361</v>
      </c>
      <c r="D3815">
        <v>6</v>
      </c>
      <c r="E3815">
        <v>45</v>
      </c>
      <c r="F3815">
        <v>80</v>
      </c>
      <c r="G3815">
        <v>3600</v>
      </c>
      <c r="H3815">
        <v>4</v>
      </c>
      <c r="I3815">
        <v>20</v>
      </c>
      <c r="J3815">
        <v>1.99</v>
      </c>
      <c r="K3815">
        <v>7164</v>
      </c>
    </row>
    <row r="3816" spans="1:11" x14ac:dyDescent="0.2">
      <c r="A3816">
        <v>52604</v>
      </c>
      <c r="B3816">
        <v>139292</v>
      </c>
      <c r="C3816" t="s">
        <v>7362</v>
      </c>
      <c r="D3816">
        <v>6</v>
      </c>
      <c r="E3816">
        <v>25</v>
      </c>
      <c r="F3816">
        <v>80</v>
      </c>
      <c r="G3816">
        <v>2000</v>
      </c>
      <c r="H3816">
        <v>4</v>
      </c>
      <c r="I3816">
        <v>20</v>
      </c>
      <c r="J3816">
        <v>2.99</v>
      </c>
      <c r="K3816">
        <v>5980</v>
      </c>
    </row>
    <row r="3817" spans="1:11" x14ac:dyDescent="0.2">
      <c r="A3817">
        <v>93040</v>
      </c>
      <c r="B3817">
        <v>139318</v>
      </c>
      <c r="C3817" t="s">
        <v>7363</v>
      </c>
      <c r="D3817">
        <v>6</v>
      </c>
      <c r="E3817">
        <v>6</v>
      </c>
      <c r="F3817">
        <v>0</v>
      </c>
      <c r="G3817">
        <v>0</v>
      </c>
      <c r="H3817">
        <v>20</v>
      </c>
      <c r="I3817">
        <v>0</v>
      </c>
      <c r="J3817">
        <v>14.99</v>
      </c>
      <c r="K3817">
        <v>0</v>
      </c>
    </row>
    <row r="3818" spans="1:11" x14ac:dyDescent="0.2">
      <c r="A3818">
        <v>81148</v>
      </c>
      <c r="B3818">
        <v>139569</v>
      </c>
      <c r="C3818" t="s">
        <v>7364</v>
      </c>
      <c r="D3818">
        <v>8</v>
      </c>
      <c r="E3818">
        <v>15</v>
      </c>
      <c r="F3818">
        <v>90</v>
      </c>
      <c r="G3818">
        <v>1350</v>
      </c>
      <c r="H3818">
        <v>90</v>
      </c>
      <c r="I3818">
        <v>1</v>
      </c>
      <c r="J3818">
        <v>2.39</v>
      </c>
      <c r="K3818">
        <v>3226.5</v>
      </c>
    </row>
    <row r="3819" spans="1:11" x14ac:dyDescent="0.2">
      <c r="A3819">
        <v>48503</v>
      </c>
      <c r="B3819">
        <v>139637</v>
      </c>
      <c r="C3819" t="s">
        <v>7365</v>
      </c>
      <c r="D3819">
        <v>10</v>
      </c>
      <c r="E3819">
        <v>5</v>
      </c>
      <c r="F3819">
        <v>2</v>
      </c>
      <c r="G3819">
        <v>10</v>
      </c>
      <c r="H3819">
        <v>192</v>
      </c>
      <c r="I3819">
        <v>0</v>
      </c>
      <c r="J3819">
        <v>5.99</v>
      </c>
      <c r="K3819">
        <v>59.9</v>
      </c>
    </row>
    <row r="3820" spans="1:11" x14ac:dyDescent="0.2">
      <c r="A3820">
        <v>4649</v>
      </c>
      <c r="B3820">
        <v>139674</v>
      </c>
      <c r="C3820" t="s">
        <v>7366</v>
      </c>
      <c r="D3820">
        <v>6</v>
      </c>
      <c r="E3820">
        <v>14</v>
      </c>
      <c r="F3820">
        <v>5</v>
      </c>
      <c r="G3820">
        <v>70</v>
      </c>
      <c r="H3820">
        <v>48</v>
      </c>
      <c r="I3820">
        <v>0.1</v>
      </c>
      <c r="J3820">
        <v>1.19</v>
      </c>
      <c r="K3820">
        <v>83.3</v>
      </c>
    </row>
    <row r="3821" spans="1:11" x14ac:dyDescent="0.2">
      <c r="A3821">
        <v>82069</v>
      </c>
      <c r="B3821">
        <v>139872</v>
      </c>
      <c r="C3821" t="s">
        <v>7367</v>
      </c>
      <c r="D3821">
        <v>8</v>
      </c>
      <c r="E3821">
        <v>10</v>
      </c>
      <c r="F3821">
        <v>228</v>
      </c>
      <c r="G3821">
        <v>2280</v>
      </c>
      <c r="H3821">
        <v>360</v>
      </c>
      <c r="I3821">
        <v>0.6</v>
      </c>
      <c r="J3821">
        <v>0.99</v>
      </c>
      <c r="K3821">
        <v>2257.1999999999998</v>
      </c>
    </row>
    <row r="3822" spans="1:11" x14ac:dyDescent="0.2">
      <c r="A3822">
        <v>72153</v>
      </c>
      <c r="B3822">
        <v>139911</v>
      </c>
      <c r="C3822" t="s">
        <v>7368</v>
      </c>
      <c r="D3822">
        <v>8</v>
      </c>
      <c r="E3822">
        <v>36</v>
      </c>
      <c r="F3822">
        <v>160</v>
      </c>
      <c r="G3822">
        <v>5760</v>
      </c>
      <c r="H3822">
        <v>54</v>
      </c>
      <c r="I3822">
        <v>3</v>
      </c>
      <c r="J3822">
        <v>1.05</v>
      </c>
      <c r="K3822">
        <v>6048</v>
      </c>
    </row>
    <row r="3823" spans="1:11" x14ac:dyDescent="0.2">
      <c r="B3823">
        <v>139914</v>
      </c>
      <c r="C3823" t="s">
        <v>7369</v>
      </c>
      <c r="D3823">
        <v>6</v>
      </c>
      <c r="E3823">
        <v>20</v>
      </c>
      <c r="F3823">
        <v>528</v>
      </c>
      <c r="G3823">
        <v>10560</v>
      </c>
      <c r="H3823">
        <v>176</v>
      </c>
      <c r="I3823">
        <v>3</v>
      </c>
      <c r="J3823">
        <v>1.45</v>
      </c>
      <c r="K3823">
        <v>15312</v>
      </c>
    </row>
    <row r="3824" spans="1:11" x14ac:dyDescent="0.2">
      <c r="A3824">
        <v>93251</v>
      </c>
      <c r="B3824">
        <v>139962</v>
      </c>
      <c r="C3824" t="s">
        <v>7370</v>
      </c>
      <c r="D3824">
        <v>10</v>
      </c>
      <c r="E3824">
        <v>42</v>
      </c>
      <c r="F3824">
        <v>0</v>
      </c>
      <c r="G3824">
        <v>0</v>
      </c>
      <c r="H3824">
        <v>12</v>
      </c>
      <c r="I3824">
        <v>0</v>
      </c>
      <c r="J3824">
        <v>8.99</v>
      </c>
      <c r="K3824">
        <v>0</v>
      </c>
    </row>
    <row r="3825" spans="1:11" x14ac:dyDescent="0.2">
      <c r="A3825">
        <v>71160</v>
      </c>
      <c r="B3825">
        <v>140041</v>
      </c>
      <c r="C3825" t="s">
        <v>7371</v>
      </c>
      <c r="D3825">
        <v>8</v>
      </c>
      <c r="E3825">
        <v>6</v>
      </c>
      <c r="F3825">
        <v>766</v>
      </c>
      <c r="G3825">
        <v>4596</v>
      </c>
      <c r="H3825">
        <v>64</v>
      </c>
      <c r="I3825">
        <v>12</v>
      </c>
      <c r="J3825">
        <v>1.18</v>
      </c>
      <c r="K3825">
        <v>5423.28</v>
      </c>
    </row>
    <row r="3826" spans="1:11" x14ac:dyDescent="0.2">
      <c r="A3826">
        <v>71168</v>
      </c>
      <c r="B3826">
        <v>140042</v>
      </c>
      <c r="C3826" t="s">
        <v>7372</v>
      </c>
      <c r="D3826">
        <v>8</v>
      </c>
      <c r="E3826">
        <v>6</v>
      </c>
      <c r="F3826">
        <v>812</v>
      </c>
      <c r="G3826">
        <v>4872</v>
      </c>
      <c r="H3826">
        <v>64</v>
      </c>
      <c r="I3826">
        <v>12.7</v>
      </c>
      <c r="J3826">
        <v>1.05</v>
      </c>
      <c r="K3826">
        <v>5115.6000000000004</v>
      </c>
    </row>
    <row r="3827" spans="1:11" x14ac:dyDescent="0.2">
      <c r="A3827">
        <v>95444</v>
      </c>
      <c r="B3827">
        <v>140043</v>
      </c>
      <c r="C3827" t="s">
        <v>7373</v>
      </c>
      <c r="D3827">
        <v>8</v>
      </c>
      <c r="E3827">
        <v>6</v>
      </c>
      <c r="F3827">
        <v>2880</v>
      </c>
      <c r="G3827">
        <v>17280</v>
      </c>
      <c r="H3827">
        <v>64</v>
      </c>
      <c r="I3827">
        <v>45</v>
      </c>
      <c r="J3827">
        <v>0.86</v>
      </c>
      <c r="K3827">
        <v>14860.8</v>
      </c>
    </row>
    <row r="3828" spans="1:11" x14ac:dyDescent="0.2">
      <c r="A3828">
        <v>95204</v>
      </c>
      <c r="B3828">
        <v>140045</v>
      </c>
      <c r="C3828" t="s">
        <v>7374</v>
      </c>
      <c r="D3828">
        <v>8</v>
      </c>
      <c r="E3828">
        <v>6</v>
      </c>
      <c r="F3828">
        <v>1728</v>
      </c>
      <c r="G3828">
        <v>10368</v>
      </c>
      <c r="H3828">
        <v>72</v>
      </c>
      <c r="I3828">
        <v>24</v>
      </c>
      <c r="J3828">
        <v>1.1499999999999999</v>
      </c>
      <c r="K3828">
        <v>11923.2</v>
      </c>
    </row>
    <row r="3829" spans="1:11" x14ac:dyDescent="0.2">
      <c r="A3829">
        <v>73098</v>
      </c>
      <c r="B3829">
        <v>140050</v>
      </c>
      <c r="C3829" t="s">
        <v>7375</v>
      </c>
      <c r="D3829">
        <v>8</v>
      </c>
      <c r="E3829">
        <v>10</v>
      </c>
      <c r="F3829">
        <v>351</v>
      </c>
      <c r="G3829">
        <v>3510</v>
      </c>
      <c r="H3829">
        <v>56</v>
      </c>
      <c r="I3829">
        <v>6.3</v>
      </c>
      <c r="J3829">
        <v>2.19</v>
      </c>
      <c r="K3829">
        <v>7686.9</v>
      </c>
    </row>
    <row r="3830" spans="1:11" x14ac:dyDescent="0.2">
      <c r="A3830">
        <v>48600</v>
      </c>
      <c r="B3830">
        <v>140055</v>
      </c>
      <c r="C3830" t="s">
        <v>7376</v>
      </c>
      <c r="D3830">
        <v>10</v>
      </c>
      <c r="E3830">
        <v>21</v>
      </c>
      <c r="F3830">
        <v>0</v>
      </c>
      <c r="G3830">
        <v>0</v>
      </c>
      <c r="H3830">
        <v>42</v>
      </c>
      <c r="I3830">
        <v>0</v>
      </c>
      <c r="J3830">
        <v>5.99</v>
      </c>
      <c r="K3830">
        <v>0</v>
      </c>
    </row>
    <row r="3831" spans="1:11" x14ac:dyDescent="0.2">
      <c r="A3831">
        <v>71083</v>
      </c>
      <c r="B3831">
        <v>140063</v>
      </c>
      <c r="C3831" t="s">
        <v>7377</v>
      </c>
      <c r="D3831">
        <v>8</v>
      </c>
      <c r="E3831">
        <v>3</v>
      </c>
      <c r="F3831">
        <v>1511</v>
      </c>
      <c r="G3831">
        <v>4532</v>
      </c>
      <c r="H3831">
        <v>120</v>
      </c>
      <c r="I3831">
        <v>12.6</v>
      </c>
      <c r="J3831">
        <v>1.69</v>
      </c>
      <c r="K3831">
        <v>7659.08</v>
      </c>
    </row>
    <row r="3832" spans="1:11" x14ac:dyDescent="0.2">
      <c r="A3832">
        <v>76092</v>
      </c>
      <c r="B3832">
        <v>140121</v>
      </c>
      <c r="C3832" t="s">
        <v>7378</v>
      </c>
      <c r="D3832">
        <v>8</v>
      </c>
      <c r="E3832">
        <v>24</v>
      </c>
      <c r="F3832">
        <v>272</v>
      </c>
      <c r="G3832">
        <v>6528</v>
      </c>
      <c r="H3832">
        <v>72</v>
      </c>
      <c r="I3832">
        <v>3.8</v>
      </c>
      <c r="J3832">
        <v>1.29</v>
      </c>
      <c r="K3832">
        <v>8421.1200000000008</v>
      </c>
    </row>
    <row r="3833" spans="1:11" x14ac:dyDescent="0.2">
      <c r="A3833">
        <v>67065</v>
      </c>
      <c r="B3833">
        <v>140189</v>
      </c>
      <c r="C3833" t="s">
        <v>7379</v>
      </c>
      <c r="D3833">
        <v>8</v>
      </c>
      <c r="E3833">
        <v>10</v>
      </c>
      <c r="F3833">
        <v>1715</v>
      </c>
      <c r="G3833">
        <v>17152</v>
      </c>
      <c r="H3833">
        <v>90</v>
      </c>
      <c r="I3833">
        <v>19.100000000000001</v>
      </c>
      <c r="J3833">
        <v>0.49</v>
      </c>
      <c r="K3833">
        <v>8404.48</v>
      </c>
    </row>
    <row r="3834" spans="1:11" x14ac:dyDescent="0.2">
      <c r="A3834">
        <v>93302</v>
      </c>
      <c r="B3834">
        <v>140190</v>
      </c>
      <c r="C3834" t="s">
        <v>7380</v>
      </c>
      <c r="D3834">
        <v>10</v>
      </c>
      <c r="E3834">
        <v>20</v>
      </c>
      <c r="F3834">
        <v>0</v>
      </c>
      <c r="G3834">
        <v>0</v>
      </c>
      <c r="H3834">
        <v>20</v>
      </c>
      <c r="I3834">
        <v>0</v>
      </c>
      <c r="J3834">
        <v>19.989999999999998</v>
      </c>
      <c r="K3834">
        <v>0</v>
      </c>
    </row>
    <row r="3835" spans="1:11" x14ac:dyDescent="0.2">
      <c r="A3835">
        <v>45650</v>
      </c>
      <c r="B3835">
        <v>140192</v>
      </c>
      <c r="C3835" t="s">
        <v>7381</v>
      </c>
      <c r="D3835">
        <v>10</v>
      </c>
      <c r="E3835">
        <v>12</v>
      </c>
      <c r="F3835">
        <v>2</v>
      </c>
      <c r="G3835">
        <v>24</v>
      </c>
      <c r="H3835">
        <v>100</v>
      </c>
      <c r="I3835">
        <v>0</v>
      </c>
      <c r="J3835">
        <v>4.99</v>
      </c>
      <c r="K3835">
        <v>119.76</v>
      </c>
    </row>
    <row r="3836" spans="1:11" x14ac:dyDescent="0.2">
      <c r="A3836">
        <v>73104</v>
      </c>
      <c r="B3836">
        <v>140725</v>
      </c>
      <c r="C3836" t="s">
        <v>7382</v>
      </c>
      <c r="D3836">
        <v>8</v>
      </c>
      <c r="E3836">
        <v>12</v>
      </c>
      <c r="F3836">
        <v>286</v>
      </c>
      <c r="G3836">
        <v>3432</v>
      </c>
      <c r="H3836">
        <v>96</v>
      </c>
      <c r="I3836">
        <v>3</v>
      </c>
      <c r="J3836">
        <v>1.89</v>
      </c>
      <c r="K3836">
        <v>6486.48</v>
      </c>
    </row>
    <row r="3837" spans="1:11" x14ac:dyDescent="0.2">
      <c r="A3837">
        <v>95446</v>
      </c>
      <c r="B3837">
        <v>140779</v>
      </c>
      <c r="C3837" t="s">
        <v>7383</v>
      </c>
      <c r="D3837">
        <v>8</v>
      </c>
      <c r="E3837">
        <v>6</v>
      </c>
      <c r="F3837">
        <v>1692</v>
      </c>
      <c r="G3837">
        <v>10152</v>
      </c>
      <c r="H3837">
        <v>72</v>
      </c>
      <c r="I3837">
        <v>23.5</v>
      </c>
      <c r="J3837">
        <v>1.1100000000000001</v>
      </c>
      <c r="K3837">
        <v>11268.72</v>
      </c>
    </row>
    <row r="3838" spans="1:11" x14ac:dyDescent="0.2">
      <c r="A3838">
        <v>45674</v>
      </c>
      <c r="B3838">
        <v>140893</v>
      </c>
      <c r="C3838" t="s">
        <v>7384</v>
      </c>
      <c r="D3838">
        <v>10</v>
      </c>
      <c r="E3838">
        <v>1</v>
      </c>
      <c r="F3838">
        <v>0</v>
      </c>
      <c r="G3838">
        <v>0</v>
      </c>
      <c r="H3838">
        <v>40</v>
      </c>
      <c r="I3838">
        <v>0</v>
      </c>
      <c r="J3838">
        <v>22.99</v>
      </c>
      <c r="K3838">
        <v>0</v>
      </c>
    </row>
    <row r="3839" spans="1:11" x14ac:dyDescent="0.2">
      <c r="A3839">
        <v>95250</v>
      </c>
      <c r="B3839">
        <v>140934</v>
      </c>
      <c r="C3839" t="s">
        <v>7385</v>
      </c>
      <c r="D3839">
        <v>7</v>
      </c>
      <c r="E3839">
        <v>12</v>
      </c>
      <c r="F3839">
        <v>64</v>
      </c>
      <c r="G3839">
        <v>768</v>
      </c>
      <c r="H3839">
        <v>16</v>
      </c>
      <c r="I3839">
        <v>4</v>
      </c>
      <c r="J3839">
        <v>3.99</v>
      </c>
      <c r="K3839">
        <v>3064.32</v>
      </c>
    </row>
    <row r="3840" spans="1:11" x14ac:dyDescent="0.2">
      <c r="A3840">
        <v>95240</v>
      </c>
      <c r="B3840">
        <v>140952</v>
      </c>
      <c r="C3840" t="s">
        <v>7386</v>
      </c>
      <c r="D3840">
        <v>8</v>
      </c>
      <c r="E3840">
        <v>12</v>
      </c>
      <c r="F3840">
        <v>1120</v>
      </c>
      <c r="G3840">
        <v>13440</v>
      </c>
      <c r="H3840">
        <v>16</v>
      </c>
      <c r="I3840">
        <v>70</v>
      </c>
      <c r="J3840">
        <v>4.3899999999999997</v>
      </c>
      <c r="K3840">
        <v>59001.599999999999</v>
      </c>
    </row>
    <row r="3841" spans="1:11" x14ac:dyDescent="0.2">
      <c r="A3841">
        <v>73252</v>
      </c>
      <c r="B3841">
        <v>141126</v>
      </c>
      <c r="C3841" t="s">
        <v>7387</v>
      </c>
      <c r="D3841">
        <v>8</v>
      </c>
      <c r="E3841">
        <v>12</v>
      </c>
      <c r="F3841">
        <v>2480</v>
      </c>
      <c r="G3841">
        <v>29760</v>
      </c>
      <c r="H3841">
        <v>310</v>
      </c>
      <c r="I3841">
        <v>8</v>
      </c>
      <c r="J3841">
        <v>1.69</v>
      </c>
      <c r="K3841">
        <v>50294.400000000001</v>
      </c>
    </row>
    <row r="3842" spans="1:11" x14ac:dyDescent="0.2">
      <c r="A3842">
        <v>73247</v>
      </c>
      <c r="B3842">
        <v>141127</v>
      </c>
      <c r="C3842" t="s">
        <v>7388</v>
      </c>
      <c r="D3842">
        <v>8</v>
      </c>
      <c r="E3842">
        <v>12</v>
      </c>
      <c r="F3842">
        <v>2174</v>
      </c>
      <c r="G3842">
        <v>26088</v>
      </c>
      <c r="H3842">
        <v>310</v>
      </c>
      <c r="I3842">
        <v>7</v>
      </c>
      <c r="J3842">
        <v>1.69</v>
      </c>
      <c r="K3842">
        <v>44088.72</v>
      </c>
    </row>
    <row r="3843" spans="1:11" x14ac:dyDescent="0.2">
      <c r="A3843">
        <v>73248</v>
      </c>
      <c r="B3843">
        <v>141128</v>
      </c>
      <c r="C3843" t="s">
        <v>7389</v>
      </c>
      <c r="D3843">
        <v>8</v>
      </c>
      <c r="E3843">
        <v>12</v>
      </c>
      <c r="F3843">
        <v>1055</v>
      </c>
      <c r="G3843">
        <v>12660</v>
      </c>
      <c r="H3843">
        <v>310</v>
      </c>
      <c r="I3843">
        <v>3.4</v>
      </c>
      <c r="J3843">
        <v>1.69</v>
      </c>
      <c r="K3843">
        <v>21395.4</v>
      </c>
    </row>
    <row r="3844" spans="1:11" x14ac:dyDescent="0.2">
      <c r="B3844">
        <v>141129</v>
      </c>
      <c r="C3844" t="s">
        <v>7390</v>
      </c>
      <c r="D3844">
        <v>6</v>
      </c>
      <c r="E3844">
        <v>12</v>
      </c>
      <c r="F3844">
        <v>930</v>
      </c>
      <c r="G3844">
        <v>11160</v>
      </c>
      <c r="H3844">
        <v>310</v>
      </c>
      <c r="I3844">
        <v>3</v>
      </c>
      <c r="J3844">
        <v>1.69</v>
      </c>
      <c r="K3844">
        <v>18860.400000000001</v>
      </c>
    </row>
    <row r="3845" spans="1:11" x14ac:dyDescent="0.2">
      <c r="A3845">
        <v>73256</v>
      </c>
      <c r="B3845">
        <v>141130</v>
      </c>
      <c r="C3845" t="s">
        <v>7391</v>
      </c>
      <c r="D3845">
        <v>8</v>
      </c>
      <c r="E3845">
        <v>12</v>
      </c>
      <c r="F3845">
        <v>1062</v>
      </c>
      <c r="G3845">
        <v>12744</v>
      </c>
      <c r="H3845">
        <v>310</v>
      </c>
      <c r="I3845">
        <v>3.4</v>
      </c>
      <c r="J3845">
        <v>1.69</v>
      </c>
      <c r="K3845">
        <v>21537.360000000001</v>
      </c>
    </row>
    <row r="3846" spans="1:11" x14ac:dyDescent="0.2">
      <c r="A3846">
        <v>73250</v>
      </c>
      <c r="B3846">
        <v>141131</v>
      </c>
      <c r="C3846" t="s">
        <v>7392</v>
      </c>
      <c r="D3846">
        <v>8</v>
      </c>
      <c r="E3846">
        <v>12</v>
      </c>
      <c r="F3846">
        <v>818</v>
      </c>
      <c r="G3846">
        <v>9816</v>
      </c>
      <c r="H3846">
        <v>310</v>
      </c>
      <c r="I3846">
        <v>2.6</v>
      </c>
      <c r="J3846">
        <v>1.69</v>
      </c>
      <c r="K3846">
        <v>16589.04</v>
      </c>
    </row>
    <row r="3847" spans="1:11" x14ac:dyDescent="0.2">
      <c r="A3847">
        <v>71248</v>
      </c>
      <c r="B3847">
        <v>141340</v>
      </c>
      <c r="C3847" t="s">
        <v>7393</v>
      </c>
      <c r="D3847">
        <v>8</v>
      </c>
      <c r="E3847">
        <v>8</v>
      </c>
      <c r="F3847">
        <v>826</v>
      </c>
      <c r="G3847">
        <v>6608</v>
      </c>
      <c r="H3847">
        <v>100</v>
      </c>
      <c r="I3847">
        <v>8.3000000000000007</v>
      </c>
      <c r="J3847">
        <v>0.99</v>
      </c>
      <c r="K3847">
        <v>6541.92</v>
      </c>
    </row>
    <row r="3848" spans="1:11" x14ac:dyDescent="0.2">
      <c r="A3848">
        <v>71237</v>
      </c>
      <c r="B3848">
        <v>141342</v>
      </c>
      <c r="C3848" t="s">
        <v>7394</v>
      </c>
      <c r="D3848">
        <v>8</v>
      </c>
      <c r="E3848">
        <v>8</v>
      </c>
      <c r="F3848">
        <v>1011</v>
      </c>
      <c r="G3848">
        <v>8088</v>
      </c>
      <c r="H3848">
        <v>100</v>
      </c>
      <c r="I3848">
        <v>10.1</v>
      </c>
      <c r="J3848">
        <v>0.99</v>
      </c>
      <c r="K3848">
        <v>8007.12</v>
      </c>
    </row>
    <row r="3849" spans="1:11" x14ac:dyDescent="0.2">
      <c r="A3849">
        <v>45624</v>
      </c>
      <c r="B3849">
        <v>141381</v>
      </c>
      <c r="C3849" t="s">
        <v>7395</v>
      </c>
      <c r="D3849">
        <v>10</v>
      </c>
      <c r="E3849">
        <v>42</v>
      </c>
      <c r="F3849">
        <v>0</v>
      </c>
      <c r="G3849">
        <v>0</v>
      </c>
      <c r="H3849">
        <v>4</v>
      </c>
      <c r="I3849">
        <v>0</v>
      </c>
      <c r="J3849">
        <v>3</v>
      </c>
      <c r="K3849">
        <v>0</v>
      </c>
    </row>
    <row r="3850" spans="1:11" x14ac:dyDescent="0.2">
      <c r="A3850">
        <v>85032</v>
      </c>
      <c r="B3850">
        <v>141559</v>
      </c>
      <c r="C3850" t="s">
        <v>7396</v>
      </c>
      <c r="D3850">
        <v>8</v>
      </c>
      <c r="E3850">
        <v>6</v>
      </c>
      <c r="F3850">
        <v>222</v>
      </c>
      <c r="G3850">
        <v>1332</v>
      </c>
      <c r="H3850">
        <v>105</v>
      </c>
      <c r="I3850">
        <v>2.1</v>
      </c>
      <c r="J3850">
        <v>1.67</v>
      </c>
      <c r="K3850">
        <v>2224.44</v>
      </c>
    </row>
    <row r="3851" spans="1:11" x14ac:dyDescent="0.2">
      <c r="A3851">
        <v>85038</v>
      </c>
      <c r="B3851">
        <v>141560</v>
      </c>
      <c r="C3851" t="s">
        <v>7397</v>
      </c>
      <c r="D3851">
        <v>8</v>
      </c>
      <c r="E3851">
        <v>6</v>
      </c>
      <c r="F3851">
        <v>55</v>
      </c>
      <c r="G3851">
        <v>330</v>
      </c>
      <c r="H3851">
        <v>105</v>
      </c>
      <c r="I3851">
        <v>0.5</v>
      </c>
      <c r="J3851">
        <v>1.66</v>
      </c>
      <c r="K3851">
        <v>547.79999999999995</v>
      </c>
    </row>
    <row r="3852" spans="1:11" x14ac:dyDescent="0.2">
      <c r="A3852">
        <v>48631</v>
      </c>
      <c r="B3852">
        <v>142081</v>
      </c>
      <c r="C3852" t="s">
        <v>7398</v>
      </c>
      <c r="D3852">
        <v>10</v>
      </c>
      <c r="E3852">
        <v>6</v>
      </c>
      <c r="F3852">
        <v>0</v>
      </c>
      <c r="G3852">
        <v>0</v>
      </c>
      <c r="H3852">
        <v>68</v>
      </c>
      <c r="I3852">
        <v>0</v>
      </c>
      <c r="J3852">
        <v>39.99</v>
      </c>
      <c r="K3852">
        <v>0</v>
      </c>
    </row>
    <row r="3853" spans="1:11" x14ac:dyDescent="0.2">
      <c r="A3853">
        <v>48632</v>
      </c>
      <c r="B3853">
        <v>142082</v>
      </c>
      <c r="C3853" t="s">
        <v>7399</v>
      </c>
      <c r="D3853">
        <v>10</v>
      </c>
      <c r="E3853">
        <v>6</v>
      </c>
      <c r="F3853">
        <v>4</v>
      </c>
      <c r="G3853">
        <v>24</v>
      </c>
      <c r="H3853">
        <v>76</v>
      </c>
      <c r="I3853">
        <v>0.1</v>
      </c>
      <c r="J3853">
        <v>34.99</v>
      </c>
      <c r="K3853">
        <v>839.76</v>
      </c>
    </row>
    <row r="3854" spans="1:11" x14ac:dyDescent="0.2">
      <c r="A3854">
        <v>47609</v>
      </c>
      <c r="B3854">
        <v>142511</v>
      </c>
      <c r="C3854" t="s">
        <v>7400</v>
      </c>
      <c r="D3854">
        <v>10</v>
      </c>
      <c r="E3854">
        <v>6</v>
      </c>
      <c r="F3854">
        <v>7</v>
      </c>
      <c r="G3854">
        <v>42</v>
      </c>
      <c r="H3854">
        <v>96</v>
      </c>
      <c r="I3854">
        <v>0.1</v>
      </c>
      <c r="J3854">
        <v>2.19</v>
      </c>
      <c r="K3854">
        <v>91.98</v>
      </c>
    </row>
    <row r="3855" spans="1:11" x14ac:dyDescent="0.2">
      <c r="B3855">
        <v>142514</v>
      </c>
      <c r="C3855" t="s">
        <v>7401</v>
      </c>
      <c r="D3855">
        <v>11</v>
      </c>
      <c r="E3855">
        <v>6</v>
      </c>
      <c r="F3855">
        <v>-3</v>
      </c>
      <c r="G3855">
        <v>-18</v>
      </c>
      <c r="H3855">
        <v>105</v>
      </c>
      <c r="I3855">
        <v>0</v>
      </c>
      <c r="J3855">
        <v>2</v>
      </c>
      <c r="K3855">
        <v>-36</v>
      </c>
    </row>
    <row r="3856" spans="1:11" x14ac:dyDescent="0.2">
      <c r="A3856">
        <v>76083</v>
      </c>
      <c r="B3856">
        <v>142515</v>
      </c>
      <c r="C3856" t="s">
        <v>7402</v>
      </c>
      <c r="D3856">
        <v>8</v>
      </c>
      <c r="E3856">
        <v>12</v>
      </c>
      <c r="F3856">
        <v>226</v>
      </c>
      <c r="G3856">
        <v>2712</v>
      </c>
      <c r="H3856">
        <v>28</v>
      </c>
      <c r="I3856">
        <v>8.1</v>
      </c>
      <c r="J3856">
        <v>2.79</v>
      </c>
      <c r="K3856">
        <v>7566.48</v>
      </c>
    </row>
    <row r="3857" spans="1:12" x14ac:dyDescent="0.2">
      <c r="A3857">
        <v>2603</v>
      </c>
      <c r="B3857">
        <v>142518</v>
      </c>
      <c r="C3857" t="s">
        <v>7403</v>
      </c>
      <c r="D3857">
        <v>6</v>
      </c>
      <c r="E3857">
        <v>21</v>
      </c>
      <c r="F3857">
        <v>80</v>
      </c>
      <c r="G3857">
        <v>1680</v>
      </c>
      <c r="H3857">
        <v>2</v>
      </c>
      <c r="I3857">
        <v>40</v>
      </c>
      <c r="J3857">
        <v>2.4900000000000002</v>
      </c>
      <c r="K3857">
        <v>4183.2</v>
      </c>
    </row>
    <row r="3858" spans="1:12" x14ac:dyDescent="0.2">
      <c r="A3858">
        <v>2604</v>
      </c>
      <c r="B3858">
        <v>142519</v>
      </c>
      <c r="C3858" t="s">
        <v>7404</v>
      </c>
      <c r="D3858">
        <v>6</v>
      </c>
      <c r="E3858">
        <v>10</v>
      </c>
      <c r="F3858">
        <v>80</v>
      </c>
      <c r="G3858">
        <v>800</v>
      </c>
      <c r="H3858">
        <v>2</v>
      </c>
      <c r="I3858">
        <v>40</v>
      </c>
      <c r="J3858">
        <v>2.15</v>
      </c>
      <c r="K3858">
        <v>1720</v>
      </c>
    </row>
    <row r="3859" spans="1:12" x14ac:dyDescent="0.2">
      <c r="A3859">
        <v>2605</v>
      </c>
      <c r="B3859">
        <v>142520</v>
      </c>
      <c r="C3859" t="s">
        <v>7405</v>
      </c>
      <c r="D3859">
        <v>6</v>
      </c>
      <c r="E3859">
        <v>15</v>
      </c>
      <c r="F3859">
        <v>80</v>
      </c>
      <c r="G3859">
        <v>1200</v>
      </c>
      <c r="H3859">
        <v>2</v>
      </c>
      <c r="I3859">
        <v>40</v>
      </c>
      <c r="J3859">
        <v>2.4900000000000002</v>
      </c>
      <c r="K3859">
        <v>2988</v>
      </c>
    </row>
    <row r="3860" spans="1:12" x14ac:dyDescent="0.2">
      <c r="A3860">
        <v>2606</v>
      </c>
      <c r="B3860">
        <v>142521</v>
      </c>
      <c r="C3860" t="s">
        <v>7406</v>
      </c>
      <c r="D3860">
        <v>6</v>
      </c>
      <c r="E3860">
        <v>15</v>
      </c>
      <c r="F3860">
        <v>80</v>
      </c>
      <c r="G3860">
        <v>1200</v>
      </c>
      <c r="H3860">
        <v>2</v>
      </c>
      <c r="I3860">
        <v>40</v>
      </c>
      <c r="J3860">
        <v>2.4900000000000002</v>
      </c>
      <c r="K3860">
        <v>2988</v>
      </c>
    </row>
    <row r="3861" spans="1:12" x14ac:dyDescent="0.2">
      <c r="A3861">
        <v>2607</v>
      </c>
      <c r="B3861">
        <v>142522</v>
      </c>
      <c r="C3861" t="s">
        <v>7407</v>
      </c>
      <c r="D3861">
        <v>6</v>
      </c>
      <c r="E3861">
        <v>21</v>
      </c>
      <c r="F3861">
        <v>80</v>
      </c>
      <c r="G3861">
        <v>1680</v>
      </c>
      <c r="H3861">
        <v>2</v>
      </c>
      <c r="I3861">
        <v>40</v>
      </c>
      <c r="J3861">
        <v>2.4900000000000002</v>
      </c>
      <c r="K3861">
        <v>4183.2</v>
      </c>
    </row>
    <row r="3862" spans="1:12" x14ac:dyDescent="0.2">
      <c r="A3862">
        <v>2608</v>
      </c>
      <c r="B3862">
        <v>142523</v>
      </c>
      <c r="C3862" t="s">
        <v>7408</v>
      </c>
      <c r="D3862">
        <v>6</v>
      </c>
      <c r="E3862">
        <v>14</v>
      </c>
      <c r="F3862">
        <v>80</v>
      </c>
      <c r="G3862">
        <v>1120</v>
      </c>
      <c r="H3862">
        <v>2</v>
      </c>
      <c r="I3862">
        <v>40</v>
      </c>
      <c r="J3862">
        <v>2.4900000000000002</v>
      </c>
      <c r="K3862">
        <v>2788.8</v>
      </c>
    </row>
    <row r="3863" spans="1:12" x14ac:dyDescent="0.2">
      <c r="A3863">
        <v>46660</v>
      </c>
      <c r="B3863">
        <v>142551</v>
      </c>
      <c r="C3863" t="s">
        <v>7409</v>
      </c>
      <c r="D3863">
        <v>10</v>
      </c>
      <c r="E3863">
        <v>6</v>
      </c>
      <c r="F3863">
        <v>0</v>
      </c>
      <c r="G3863">
        <v>0</v>
      </c>
      <c r="H3863">
        <v>105</v>
      </c>
      <c r="I3863">
        <v>0</v>
      </c>
      <c r="J3863">
        <v>3</v>
      </c>
      <c r="K3863">
        <v>0</v>
      </c>
    </row>
    <row r="3864" spans="1:12" x14ac:dyDescent="0.2">
      <c r="A3864">
        <v>72151</v>
      </c>
      <c r="B3864">
        <v>142589</v>
      </c>
      <c r="C3864" t="s">
        <v>7410</v>
      </c>
      <c r="D3864">
        <v>8</v>
      </c>
      <c r="E3864">
        <v>9</v>
      </c>
      <c r="F3864">
        <v>778</v>
      </c>
      <c r="G3864">
        <v>7002</v>
      </c>
      <c r="H3864">
        <v>104</v>
      </c>
      <c r="I3864">
        <v>7.5</v>
      </c>
      <c r="J3864">
        <v>0.85</v>
      </c>
      <c r="K3864">
        <v>5951.7</v>
      </c>
    </row>
    <row r="3865" spans="1:12" x14ac:dyDescent="0.2">
      <c r="A3865">
        <v>95242</v>
      </c>
      <c r="B3865">
        <v>142590</v>
      </c>
      <c r="C3865" t="s">
        <v>7411</v>
      </c>
      <c r="D3865">
        <v>8</v>
      </c>
      <c r="E3865">
        <v>1</v>
      </c>
      <c r="F3865">
        <v>23293</v>
      </c>
      <c r="G3865">
        <v>23293</v>
      </c>
      <c r="H3865">
        <v>725</v>
      </c>
      <c r="I3865">
        <v>32.1</v>
      </c>
      <c r="J3865">
        <v>0.49</v>
      </c>
      <c r="K3865">
        <v>11413.57</v>
      </c>
    </row>
    <row r="3866" spans="1:12" x14ac:dyDescent="0.2">
      <c r="A3866">
        <v>62164</v>
      </c>
      <c r="B3866">
        <v>142859</v>
      </c>
      <c r="C3866" t="s">
        <v>7412</v>
      </c>
      <c r="D3866">
        <v>8</v>
      </c>
      <c r="E3866">
        <v>1</v>
      </c>
      <c r="F3866">
        <v>810</v>
      </c>
      <c r="G3866">
        <v>810</v>
      </c>
      <c r="H3866">
        <v>90</v>
      </c>
      <c r="I3866">
        <v>9</v>
      </c>
      <c r="J3866">
        <v>6.49</v>
      </c>
      <c r="K3866">
        <v>5256.9</v>
      </c>
    </row>
    <row r="3867" spans="1:12" x14ac:dyDescent="0.2">
      <c r="A3867">
        <v>95040</v>
      </c>
      <c r="B3867">
        <v>142947</v>
      </c>
      <c r="C3867" t="s">
        <v>7413</v>
      </c>
      <c r="D3867">
        <v>8</v>
      </c>
      <c r="E3867">
        <v>1</v>
      </c>
      <c r="F3867">
        <v>14798</v>
      </c>
      <c r="G3867">
        <v>14798</v>
      </c>
      <c r="H3867">
        <v>200</v>
      </c>
      <c r="I3867">
        <v>74</v>
      </c>
      <c r="J3867">
        <v>2.0499999999999998</v>
      </c>
      <c r="K3867">
        <v>30335.9</v>
      </c>
    </row>
    <row r="3868" spans="1:12" x14ac:dyDescent="0.2">
      <c r="B3868">
        <v>270079</v>
      </c>
      <c r="C3868" t="s">
        <v>7414</v>
      </c>
      <c r="D3868">
        <v>11</v>
      </c>
      <c r="E3868">
        <v>4</v>
      </c>
      <c r="F3868">
        <v>0</v>
      </c>
      <c r="G3868">
        <v>0</v>
      </c>
      <c r="H3868">
        <v>40</v>
      </c>
      <c r="I3868">
        <v>0</v>
      </c>
      <c r="J3868">
        <v>26.99</v>
      </c>
      <c r="K3868">
        <v>0</v>
      </c>
      <c r="L3868" t="s">
        <v>3699</v>
      </c>
    </row>
    <row r="3869" spans="1:12" x14ac:dyDescent="0.2">
      <c r="A3869">
        <v>35812</v>
      </c>
      <c r="B3869">
        <v>270258</v>
      </c>
      <c r="C3869" t="s">
        <v>7415</v>
      </c>
      <c r="D3869">
        <v>10</v>
      </c>
      <c r="E3869">
        <v>20</v>
      </c>
      <c r="F3869">
        <v>0</v>
      </c>
      <c r="G3869">
        <v>0</v>
      </c>
      <c r="H3869">
        <v>120</v>
      </c>
      <c r="I3869">
        <v>0</v>
      </c>
      <c r="J3869">
        <v>1.0900000000000001</v>
      </c>
      <c r="K3869">
        <v>0</v>
      </c>
    </row>
    <row r="3870" spans="1:12" x14ac:dyDescent="0.2">
      <c r="A3870">
        <v>43800</v>
      </c>
      <c r="B3870">
        <v>270356</v>
      </c>
      <c r="C3870" t="s">
        <v>7416</v>
      </c>
      <c r="D3870">
        <v>10</v>
      </c>
      <c r="E3870">
        <v>1</v>
      </c>
      <c r="F3870">
        <v>2</v>
      </c>
      <c r="G3870">
        <v>2</v>
      </c>
      <c r="H3870">
        <v>30</v>
      </c>
      <c r="I3870">
        <v>0.1</v>
      </c>
      <c r="J3870">
        <v>42.99</v>
      </c>
      <c r="K3870">
        <v>85.98</v>
      </c>
    </row>
    <row r="3871" spans="1:12" x14ac:dyDescent="0.2">
      <c r="A3871">
        <v>26800</v>
      </c>
      <c r="B3871">
        <v>270750</v>
      </c>
      <c r="C3871" t="s">
        <v>7417</v>
      </c>
      <c r="D3871">
        <v>10</v>
      </c>
      <c r="E3871">
        <v>6</v>
      </c>
      <c r="F3871">
        <v>0</v>
      </c>
      <c r="G3871">
        <v>0</v>
      </c>
      <c r="H3871">
        <v>112</v>
      </c>
      <c r="I3871">
        <v>0</v>
      </c>
      <c r="J3871">
        <v>14.99</v>
      </c>
      <c r="K3871">
        <v>0</v>
      </c>
    </row>
    <row r="3872" spans="1:12" x14ac:dyDescent="0.2">
      <c r="A3872">
        <v>49800</v>
      </c>
      <c r="B3872">
        <v>271513</v>
      </c>
      <c r="C3872" t="s">
        <v>7418</v>
      </c>
      <c r="D3872">
        <v>11</v>
      </c>
      <c r="E3872">
        <v>1</v>
      </c>
      <c r="F3872">
        <v>0</v>
      </c>
      <c r="G3872">
        <v>0</v>
      </c>
      <c r="H3872">
        <v>24</v>
      </c>
      <c r="I3872">
        <v>0</v>
      </c>
      <c r="J3872">
        <v>159</v>
      </c>
      <c r="K3872">
        <v>0</v>
      </c>
    </row>
    <row r="3873" spans="1:11" x14ac:dyDescent="0.2">
      <c r="A3873">
        <v>45437</v>
      </c>
      <c r="B3873">
        <v>271515</v>
      </c>
      <c r="C3873" t="s">
        <v>7418</v>
      </c>
      <c r="D3873">
        <v>10</v>
      </c>
      <c r="E3873">
        <v>1</v>
      </c>
      <c r="F3873">
        <v>1</v>
      </c>
      <c r="G3873">
        <v>1</v>
      </c>
      <c r="H3873">
        <v>30</v>
      </c>
      <c r="I3873">
        <v>0</v>
      </c>
      <c r="J3873">
        <v>159</v>
      </c>
      <c r="K3873">
        <v>159</v>
      </c>
    </row>
    <row r="3874" spans="1:11" x14ac:dyDescent="0.2">
      <c r="A3874">
        <v>25915</v>
      </c>
      <c r="B3874">
        <v>271952</v>
      </c>
      <c r="C3874" t="s">
        <v>7419</v>
      </c>
      <c r="D3874">
        <v>10</v>
      </c>
      <c r="E3874">
        <v>12</v>
      </c>
      <c r="F3874">
        <v>0</v>
      </c>
      <c r="G3874">
        <v>0</v>
      </c>
      <c r="H3874">
        <v>66</v>
      </c>
      <c r="I3874">
        <v>0</v>
      </c>
      <c r="J3874">
        <v>1</v>
      </c>
      <c r="K3874">
        <v>0</v>
      </c>
    </row>
    <row r="3875" spans="1:11" x14ac:dyDescent="0.2">
      <c r="A3875">
        <v>50302</v>
      </c>
      <c r="B3875">
        <v>272203</v>
      </c>
      <c r="C3875" t="s">
        <v>7420</v>
      </c>
      <c r="D3875">
        <v>10</v>
      </c>
      <c r="E3875">
        <v>10</v>
      </c>
      <c r="F3875">
        <v>0</v>
      </c>
      <c r="G3875">
        <v>0</v>
      </c>
      <c r="H3875">
        <v>168</v>
      </c>
      <c r="I3875">
        <v>0</v>
      </c>
      <c r="J3875">
        <v>3.49</v>
      </c>
      <c r="K3875">
        <v>0</v>
      </c>
    </row>
    <row r="3876" spans="1:11" x14ac:dyDescent="0.2">
      <c r="A3876">
        <v>35813</v>
      </c>
      <c r="B3876">
        <v>272400</v>
      </c>
      <c r="C3876" t="s">
        <v>7421</v>
      </c>
      <c r="D3876">
        <v>10</v>
      </c>
      <c r="E3876">
        <v>10</v>
      </c>
      <c r="F3876">
        <v>0</v>
      </c>
      <c r="G3876">
        <v>0</v>
      </c>
      <c r="H3876">
        <v>36</v>
      </c>
      <c r="I3876">
        <v>0</v>
      </c>
      <c r="J3876">
        <v>7.99</v>
      </c>
      <c r="K3876">
        <v>0</v>
      </c>
    </row>
    <row r="3877" spans="1:11" x14ac:dyDescent="0.2">
      <c r="A3877">
        <v>56377</v>
      </c>
      <c r="B3877">
        <v>272967</v>
      </c>
      <c r="C3877" t="s">
        <v>7422</v>
      </c>
      <c r="D3877">
        <v>10</v>
      </c>
      <c r="E3877">
        <v>7</v>
      </c>
      <c r="F3877">
        <v>33</v>
      </c>
      <c r="G3877">
        <v>231</v>
      </c>
      <c r="H3877">
        <v>64</v>
      </c>
      <c r="I3877">
        <v>0.5</v>
      </c>
      <c r="J3877">
        <v>7.99</v>
      </c>
      <c r="K3877">
        <v>1845.69</v>
      </c>
    </row>
    <row r="3878" spans="1:11" x14ac:dyDescent="0.2">
      <c r="A3878">
        <v>38801</v>
      </c>
      <c r="B3878">
        <v>273039</v>
      </c>
      <c r="C3878" t="s">
        <v>7423</v>
      </c>
      <c r="D3878">
        <v>10</v>
      </c>
      <c r="E3878">
        <v>2</v>
      </c>
      <c r="F3878">
        <v>0</v>
      </c>
      <c r="G3878">
        <v>0</v>
      </c>
      <c r="H3878">
        <v>36</v>
      </c>
      <c r="I3878">
        <v>0</v>
      </c>
      <c r="J3878">
        <v>54.99</v>
      </c>
      <c r="K3878">
        <v>0</v>
      </c>
    </row>
    <row r="3879" spans="1:11" x14ac:dyDescent="0.2">
      <c r="B3879">
        <v>273040</v>
      </c>
      <c r="C3879" t="s">
        <v>7424</v>
      </c>
      <c r="D3879">
        <v>11</v>
      </c>
      <c r="E3879">
        <v>1</v>
      </c>
      <c r="F3879">
        <v>0</v>
      </c>
      <c r="G3879">
        <v>0</v>
      </c>
      <c r="H3879">
        <v>32</v>
      </c>
      <c r="I3879">
        <v>0</v>
      </c>
      <c r="J3879">
        <v>46.99</v>
      </c>
      <c r="K3879">
        <v>0</v>
      </c>
    </row>
    <row r="3880" spans="1:11" x14ac:dyDescent="0.2">
      <c r="A3880">
        <v>27407</v>
      </c>
      <c r="B3880">
        <v>273046</v>
      </c>
      <c r="C3880" t="s">
        <v>7425</v>
      </c>
      <c r="D3880">
        <v>10</v>
      </c>
      <c r="E3880">
        <v>2</v>
      </c>
      <c r="F3880">
        <v>0</v>
      </c>
      <c r="G3880">
        <v>0</v>
      </c>
      <c r="H3880">
        <v>25</v>
      </c>
      <c r="I3880">
        <v>0</v>
      </c>
      <c r="J3880">
        <v>59.99</v>
      </c>
      <c r="K3880">
        <v>0</v>
      </c>
    </row>
    <row r="3881" spans="1:11" x14ac:dyDescent="0.2">
      <c r="A3881">
        <v>35814</v>
      </c>
      <c r="B3881">
        <v>273279</v>
      </c>
      <c r="C3881" t="s">
        <v>7426</v>
      </c>
      <c r="D3881">
        <v>10</v>
      </c>
      <c r="E3881">
        <v>1</v>
      </c>
      <c r="F3881">
        <v>0</v>
      </c>
      <c r="G3881">
        <v>0</v>
      </c>
      <c r="H3881">
        <v>12</v>
      </c>
      <c r="I3881">
        <v>0</v>
      </c>
      <c r="J3881">
        <v>229</v>
      </c>
      <c r="K3881">
        <v>0</v>
      </c>
    </row>
    <row r="3882" spans="1:11" x14ac:dyDescent="0.2">
      <c r="B3882">
        <v>273352</v>
      </c>
      <c r="C3882" t="s">
        <v>7427</v>
      </c>
      <c r="D3882">
        <v>11</v>
      </c>
      <c r="E3882">
        <v>6</v>
      </c>
      <c r="F3882">
        <v>0</v>
      </c>
      <c r="G3882">
        <v>0</v>
      </c>
      <c r="H3882">
        <v>117</v>
      </c>
      <c r="I3882">
        <v>0</v>
      </c>
      <c r="J3882">
        <v>13.99</v>
      </c>
      <c r="K3882">
        <v>0</v>
      </c>
    </row>
    <row r="3883" spans="1:11" x14ac:dyDescent="0.2">
      <c r="A3883">
        <v>50304</v>
      </c>
      <c r="B3883">
        <v>273394</v>
      </c>
      <c r="C3883" t="s">
        <v>7428</v>
      </c>
      <c r="D3883">
        <v>10</v>
      </c>
      <c r="E3883">
        <v>4</v>
      </c>
      <c r="F3883">
        <v>0</v>
      </c>
      <c r="G3883">
        <v>0</v>
      </c>
      <c r="H3883">
        <v>24</v>
      </c>
      <c r="I3883">
        <v>0</v>
      </c>
      <c r="J3883">
        <v>19.989999999999998</v>
      </c>
      <c r="K3883">
        <v>0</v>
      </c>
    </row>
    <row r="3884" spans="1:11" x14ac:dyDescent="0.2">
      <c r="A3884">
        <v>35815</v>
      </c>
      <c r="B3884">
        <v>273425</v>
      </c>
      <c r="C3884" t="s">
        <v>7429</v>
      </c>
      <c r="D3884">
        <v>10</v>
      </c>
      <c r="E3884">
        <v>4</v>
      </c>
      <c r="F3884">
        <v>0</v>
      </c>
      <c r="G3884">
        <v>0</v>
      </c>
      <c r="H3884">
        <v>30</v>
      </c>
      <c r="I3884">
        <v>0</v>
      </c>
      <c r="J3884">
        <v>14</v>
      </c>
      <c r="K3884">
        <v>0</v>
      </c>
    </row>
    <row r="3885" spans="1:11" x14ac:dyDescent="0.2">
      <c r="B3885">
        <v>273624</v>
      </c>
      <c r="C3885" t="s">
        <v>7430</v>
      </c>
      <c r="D3885">
        <v>11</v>
      </c>
      <c r="E3885">
        <v>6</v>
      </c>
      <c r="F3885">
        <v>0</v>
      </c>
      <c r="G3885">
        <v>0</v>
      </c>
      <c r="H3885">
        <v>144</v>
      </c>
      <c r="I3885">
        <v>0</v>
      </c>
      <c r="J3885">
        <v>19.989999999999998</v>
      </c>
      <c r="K3885">
        <v>0</v>
      </c>
    </row>
    <row r="3886" spans="1:11" x14ac:dyDescent="0.2">
      <c r="A3886">
        <v>35816</v>
      </c>
      <c r="B3886">
        <v>274311</v>
      </c>
      <c r="C3886" t="s">
        <v>7431</v>
      </c>
      <c r="D3886">
        <v>10</v>
      </c>
      <c r="E3886">
        <v>2</v>
      </c>
      <c r="F3886">
        <v>0</v>
      </c>
      <c r="G3886">
        <v>0</v>
      </c>
      <c r="H3886">
        <v>48</v>
      </c>
      <c r="I3886">
        <v>0</v>
      </c>
      <c r="J3886">
        <v>19.989999999999998</v>
      </c>
      <c r="K3886">
        <v>0</v>
      </c>
    </row>
    <row r="3887" spans="1:11" x14ac:dyDescent="0.2">
      <c r="A3887">
        <v>35817</v>
      </c>
      <c r="B3887">
        <v>274332</v>
      </c>
      <c r="C3887" t="s">
        <v>7432</v>
      </c>
      <c r="D3887">
        <v>10</v>
      </c>
      <c r="E3887">
        <v>1</v>
      </c>
      <c r="F3887">
        <v>0</v>
      </c>
      <c r="G3887">
        <v>0</v>
      </c>
      <c r="H3887">
        <v>24</v>
      </c>
      <c r="I3887">
        <v>0</v>
      </c>
      <c r="J3887">
        <v>39.99</v>
      </c>
      <c r="K3887">
        <v>0</v>
      </c>
    </row>
    <row r="3888" spans="1:11" x14ac:dyDescent="0.2">
      <c r="A3888">
        <v>35818</v>
      </c>
      <c r="B3888">
        <v>274368</v>
      </c>
      <c r="C3888" t="s">
        <v>7433</v>
      </c>
      <c r="D3888">
        <v>10</v>
      </c>
      <c r="E3888">
        <v>1</v>
      </c>
      <c r="F3888">
        <v>0</v>
      </c>
      <c r="G3888">
        <v>0</v>
      </c>
      <c r="H3888">
        <v>60</v>
      </c>
      <c r="I3888">
        <v>0</v>
      </c>
      <c r="J3888">
        <v>74.989999999999995</v>
      </c>
      <c r="K3888">
        <v>0</v>
      </c>
    </row>
    <row r="3889" spans="1:11" x14ac:dyDescent="0.2">
      <c r="A3889">
        <v>50305</v>
      </c>
      <c r="B3889">
        <v>274410</v>
      </c>
      <c r="C3889" t="s">
        <v>7434</v>
      </c>
      <c r="D3889">
        <v>10</v>
      </c>
      <c r="E3889">
        <v>4</v>
      </c>
      <c r="F3889">
        <v>0</v>
      </c>
      <c r="G3889">
        <v>0</v>
      </c>
      <c r="H3889">
        <v>12</v>
      </c>
      <c r="I3889">
        <v>0</v>
      </c>
      <c r="J3889">
        <v>59.99</v>
      </c>
      <c r="K3889">
        <v>0</v>
      </c>
    </row>
    <row r="3890" spans="1:11" x14ac:dyDescent="0.2">
      <c r="A3890">
        <v>38803</v>
      </c>
      <c r="B3890">
        <v>274498</v>
      </c>
      <c r="C3890" t="s">
        <v>7435</v>
      </c>
      <c r="D3890">
        <v>10</v>
      </c>
      <c r="E3890">
        <v>1</v>
      </c>
      <c r="F3890">
        <v>0</v>
      </c>
      <c r="G3890">
        <v>0</v>
      </c>
      <c r="H3890">
        <v>20</v>
      </c>
      <c r="I3890">
        <v>0</v>
      </c>
      <c r="J3890">
        <v>56.99</v>
      </c>
      <c r="K3890">
        <v>0</v>
      </c>
    </row>
    <row r="3891" spans="1:11" x14ac:dyDescent="0.2">
      <c r="A3891">
        <v>50306</v>
      </c>
      <c r="B3891">
        <v>274511</v>
      </c>
      <c r="C3891" t="s">
        <v>7436</v>
      </c>
      <c r="D3891">
        <v>10</v>
      </c>
      <c r="E3891">
        <v>4</v>
      </c>
      <c r="F3891">
        <v>0</v>
      </c>
      <c r="G3891">
        <v>0</v>
      </c>
      <c r="H3891">
        <v>24</v>
      </c>
      <c r="I3891">
        <v>0</v>
      </c>
      <c r="J3891">
        <v>34.99</v>
      </c>
      <c r="K3891">
        <v>0</v>
      </c>
    </row>
    <row r="3892" spans="1:11" x14ac:dyDescent="0.2">
      <c r="A3892">
        <v>35820</v>
      </c>
      <c r="B3892">
        <v>274570</v>
      </c>
      <c r="C3892" t="s">
        <v>7437</v>
      </c>
      <c r="D3892">
        <v>10</v>
      </c>
      <c r="E3892">
        <v>12</v>
      </c>
      <c r="F3892">
        <v>0</v>
      </c>
      <c r="G3892">
        <v>0</v>
      </c>
      <c r="H3892">
        <v>12</v>
      </c>
      <c r="I3892">
        <v>0</v>
      </c>
      <c r="J3892">
        <v>6.99</v>
      </c>
      <c r="K3892">
        <v>0</v>
      </c>
    </row>
    <row r="3893" spans="1:11" x14ac:dyDescent="0.2">
      <c r="A3893">
        <v>47800</v>
      </c>
      <c r="B3893">
        <v>274851</v>
      </c>
      <c r="C3893" t="s">
        <v>7438</v>
      </c>
      <c r="D3893">
        <v>10</v>
      </c>
      <c r="E3893">
        <v>4</v>
      </c>
      <c r="F3893">
        <v>0</v>
      </c>
      <c r="G3893">
        <v>0</v>
      </c>
      <c r="H3893">
        <v>85</v>
      </c>
      <c r="I3893">
        <v>0</v>
      </c>
      <c r="J3893">
        <v>6.99</v>
      </c>
      <c r="K3893">
        <v>0</v>
      </c>
    </row>
    <row r="3894" spans="1:11" x14ac:dyDescent="0.2">
      <c r="A3894">
        <v>35821</v>
      </c>
      <c r="B3894">
        <v>274980</v>
      </c>
      <c r="C3894" t="s">
        <v>7439</v>
      </c>
      <c r="D3894">
        <v>10</v>
      </c>
      <c r="E3894">
        <v>6</v>
      </c>
      <c r="F3894">
        <v>0</v>
      </c>
      <c r="G3894">
        <v>0</v>
      </c>
      <c r="H3894">
        <v>24</v>
      </c>
      <c r="I3894">
        <v>0</v>
      </c>
      <c r="J3894">
        <v>9.99</v>
      </c>
      <c r="K3894">
        <v>0</v>
      </c>
    </row>
    <row r="3895" spans="1:11" x14ac:dyDescent="0.2">
      <c r="B3895">
        <v>275147</v>
      </c>
      <c r="C3895" t="s">
        <v>7440</v>
      </c>
      <c r="D3895">
        <v>11</v>
      </c>
      <c r="E3895">
        <v>6</v>
      </c>
      <c r="F3895">
        <v>0</v>
      </c>
      <c r="G3895">
        <v>0</v>
      </c>
      <c r="H3895">
        <v>48</v>
      </c>
      <c r="I3895">
        <v>0</v>
      </c>
      <c r="J3895">
        <v>12.99</v>
      </c>
      <c r="K3895">
        <v>0</v>
      </c>
    </row>
    <row r="3896" spans="1:11" x14ac:dyDescent="0.2">
      <c r="A3896">
        <v>35822</v>
      </c>
      <c r="B3896">
        <v>275440</v>
      </c>
      <c r="C3896" t="s">
        <v>7441</v>
      </c>
      <c r="D3896">
        <v>10</v>
      </c>
      <c r="E3896">
        <v>2</v>
      </c>
      <c r="F3896">
        <v>0</v>
      </c>
      <c r="G3896">
        <v>0</v>
      </c>
      <c r="H3896">
        <v>198</v>
      </c>
      <c r="I3896">
        <v>0</v>
      </c>
      <c r="J3896">
        <v>89.99</v>
      </c>
      <c r="K3896">
        <v>0</v>
      </c>
    </row>
    <row r="3897" spans="1:11" x14ac:dyDescent="0.2">
      <c r="B3897">
        <v>275656</v>
      </c>
      <c r="C3897" t="s">
        <v>7442</v>
      </c>
      <c r="D3897">
        <v>12</v>
      </c>
      <c r="E3897">
        <v>2</v>
      </c>
      <c r="F3897">
        <v>0</v>
      </c>
      <c r="G3897">
        <v>0</v>
      </c>
      <c r="H3897">
        <v>19</v>
      </c>
      <c r="I3897">
        <v>0</v>
      </c>
      <c r="J3897">
        <v>63.99</v>
      </c>
      <c r="K3897">
        <v>0</v>
      </c>
    </row>
    <row r="3898" spans="1:11" x14ac:dyDescent="0.2">
      <c r="A3898">
        <v>40801</v>
      </c>
      <c r="B3898">
        <v>275666</v>
      </c>
      <c r="C3898" t="s">
        <v>7443</v>
      </c>
      <c r="D3898">
        <v>10</v>
      </c>
      <c r="E3898">
        <v>4</v>
      </c>
      <c r="F3898">
        <v>0</v>
      </c>
      <c r="G3898">
        <v>0</v>
      </c>
      <c r="H3898">
        <v>36</v>
      </c>
      <c r="I3898">
        <v>0</v>
      </c>
      <c r="J3898">
        <v>44.99</v>
      </c>
      <c r="K3898">
        <v>0</v>
      </c>
    </row>
    <row r="3899" spans="1:11" x14ac:dyDescent="0.2">
      <c r="B3899">
        <v>275689</v>
      </c>
      <c r="C3899" t="s">
        <v>7444</v>
      </c>
      <c r="D3899">
        <v>12</v>
      </c>
      <c r="E3899">
        <v>4</v>
      </c>
      <c r="F3899">
        <v>0</v>
      </c>
      <c r="G3899">
        <v>0</v>
      </c>
      <c r="H3899">
        <v>72</v>
      </c>
      <c r="I3899">
        <v>0</v>
      </c>
      <c r="J3899">
        <v>19.989999999999998</v>
      </c>
      <c r="K3899">
        <v>0</v>
      </c>
    </row>
    <row r="3900" spans="1:11" x14ac:dyDescent="0.2">
      <c r="A3900">
        <v>35823</v>
      </c>
      <c r="B3900">
        <v>275717</v>
      </c>
      <c r="C3900" t="s">
        <v>7445</v>
      </c>
      <c r="D3900">
        <v>10</v>
      </c>
      <c r="E3900">
        <v>15</v>
      </c>
      <c r="F3900">
        <v>0</v>
      </c>
      <c r="G3900">
        <v>0</v>
      </c>
      <c r="H3900">
        <v>36</v>
      </c>
      <c r="I3900">
        <v>0</v>
      </c>
      <c r="J3900">
        <v>4.49</v>
      </c>
      <c r="K3900">
        <v>0</v>
      </c>
    </row>
    <row r="3901" spans="1:11" x14ac:dyDescent="0.2">
      <c r="B3901">
        <v>275728</v>
      </c>
      <c r="C3901" t="s">
        <v>7446</v>
      </c>
      <c r="D3901">
        <v>10</v>
      </c>
      <c r="E3901">
        <v>20</v>
      </c>
      <c r="F3901">
        <v>0</v>
      </c>
      <c r="G3901">
        <v>0</v>
      </c>
      <c r="H3901">
        <v>63</v>
      </c>
      <c r="I3901">
        <v>0</v>
      </c>
      <c r="J3901">
        <v>4.99</v>
      </c>
      <c r="K3901">
        <v>0</v>
      </c>
    </row>
    <row r="3902" spans="1:11" x14ac:dyDescent="0.2">
      <c r="A3902">
        <v>50307</v>
      </c>
      <c r="B3902">
        <v>275829</v>
      </c>
      <c r="C3902" t="s">
        <v>7447</v>
      </c>
      <c r="D3902">
        <v>10</v>
      </c>
      <c r="E3902">
        <v>20</v>
      </c>
      <c r="F3902">
        <v>0</v>
      </c>
      <c r="G3902">
        <v>0</v>
      </c>
      <c r="H3902">
        <v>36</v>
      </c>
      <c r="I3902">
        <v>0</v>
      </c>
      <c r="J3902">
        <v>3.49</v>
      </c>
      <c r="K3902">
        <v>0</v>
      </c>
    </row>
    <row r="3903" spans="1:11" x14ac:dyDescent="0.2">
      <c r="B3903">
        <v>276342</v>
      </c>
      <c r="C3903" t="s">
        <v>7448</v>
      </c>
      <c r="D3903">
        <v>10</v>
      </c>
      <c r="E3903">
        <v>8</v>
      </c>
      <c r="F3903">
        <v>0</v>
      </c>
      <c r="G3903">
        <v>0</v>
      </c>
      <c r="H3903">
        <v>36</v>
      </c>
      <c r="I3903">
        <v>0</v>
      </c>
      <c r="J3903">
        <v>12.99</v>
      </c>
      <c r="K3903">
        <v>0</v>
      </c>
    </row>
    <row r="3904" spans="1:11" x14ac:dyDescent="0.2">
      <c r="A3904">
        <v>35824</v>
      </c>
      <c r="B3904">
        <v>276474</v>
      </c>
      <c r="C3904" t="s">
        <v>7449</v>
      </c>
      <c r="D3904">
        <v>10</v>
      </c>
      <c r="E3904">
        <v>8</v>
      </c>
      <c r="F3904">
        <v>0</v>
      </c>
      <c r="G3904">
        <v>0</v>
      </c>
      <c r="H3904">
        <v>100</v>
      </c>
      <c r="I3904">
        <v>0</v>
      </c>
      <c r="J3904">
        <v>7.99</v>
      </c>
      <c r="K3904">
        <v>0</v>
      </c>
    </row>
    <row r="3905" spans="1:11" x14ac:dyDescent="0.2">
      <c r="A3905">
        <v>32935</v>
      </c>
      <c r="B3905">
        <v>276775</v>
      </c>
      <c r="C3905" t="s">
        <v>7450</v>
      </c>
      <c r="D3905">
        <v>10</v>
      </c>
      <c r="E3905">
        <v>12</v>
      </c>
      <c r="F3905">
        <v>0</v>
      </c>
      <c r="G3905">
        <v>0</v>
      </c>
      <c r="H3905">
        <v>12</v>
      </c>
      <c r="I3905">
        <v>0</v>
      </c>
      <c r="J3905">
        <v>1</v>
      </c>
      <c r="K3905">
        <v>0</v>
      </c>
    </row>
    <row r="3906" spans="1:11" x14ac:dyDescent="0.2">
      <c r="A3906">
        <v>35825</v>
      </c>
      <c r="B3906">
        <v>277056</v>
      </c>
      <c r="C3906" t="s">
        <v>7451</v>
      </c>
      <c r="D3906">
        <v>10</v>
      </c>
      <c r="E3906">
        <v>1</v>
      </c>
      <c r="F3906">
        <v>0</v>
      </c>
      <c r="G3906">
        <v>0</v>
      </c>
      <c r="H3906">
        <v>45</v>
      </c>
      <c r="I3906">
        <v>0</v>
      </c>
      <c r="J3906">
        <v>89</v>
      </c>
      <c r="K3906">
        <v>0</v>
      </c>
    </row>
    <row r="3907" spans="1:11" x14ac:dyDescent="0.2">
      <c r="B3907">
        <v>277069</v>
      </c>
      <c r="C3907" t="s">
        <v>7452</v>
      </c>
      <c r="D3907">
        <v>11</v>
      </c>
      <c r="E3907">
        <v>3</v>
      </c>
      <c r="F3907">
        <v>0</v>
      </c>
      <c r="G3907">
        <v>0</v>
      </c>
      <c r="H3907">
        <v>30</v>
      </c>
      <c r="I3907">
        <v>0</v>
      </c>
      <c r="J3907">
        <v>19.989999999999998</v>
      </c>
      <c r="K3907">
        <v>0</v>
      </c>
    </row>
    <row r="3908" spans="1:11" x14ac:dyDescent="0.2">
      <c r="B3908">
        <v>277079</v>
      </c>
      <c r="C3908" t="s">
        <v>7453</v>
      </c>
      <c r="D3908">
        <v>10</v>
      </c>
      <c r="E3908">
        <v>8</v>
      </c>
      <c r="F3908">
        <v>0</v>
      </c>
      <c r="G3908">
        <v>0</v>
      </c>
      <c r="H3908">
        <v>18</v>
      </c>
      <c r="I3908">
        <v>0</v>
      </c>
      <c r="J3908">
        <v>9.99</v>
      </c>
      <c r="K3908">
        <v>0</v>
      </c>
    </row>
    <row r="3909" spans="1:11" x14ac:dyDescent="0.2">
      <c r="B3909">
        <v>277384</v>
      </c>
      <c r="C3909" t="s">
        <v>7454</v>
      </c>
      <c r="D3909">
        <v>10</v>
      </c>
      <c r="E3909">
        <v>20</v>
      </c>
      <c r="F3909">
        <v>0</v>
      </c>
      <c r="G3909">
        <v>0</v>
      </c>
      <c r="H3909">
        <v>80</v>
      </c>
      <c r="I3909">
        <v>0</v>
      </c>
      <c r="J3909">
        <v>2.99</v>
      </c>
      <c r="K3909">
        <v>0</v>
      </c>
    </row>
    <row r="3910" spans="1:11" x14ac:dyDescent="0.2">
      <c r="A3910">
        <v>50308</v>
      </c>
      <c r="B3910">
        <v>277495</v>
      </c>
      <c r="C3910" t="s">
        <v>7455</v>
      </c>
      <c r="D3910">
        <v>10</v>
      </c>
      <c r="E3910">
        <v>10</v>
      </c>
      <c r="F3910">
        <v>0</v>
      </c>
      <c r="G3910">
        <v>0</v>
      </c>
      <c r="H3910">
        <v>100</v>
      </c>
      <c r="I3910">
        <v>0</v>
      </c>
      <c r="J3910">
        <v>4.99</v>
      </c>
      <c r="K3910">
        <v>0</v>
      </c>
    </row>
    <row r="3911" spans="1:11" x14ac:dyDescent="0.2">
      <c r="A3911">
        <v>48142</v>
      </c>
      <c r="B3911">
        <v>277630</v>
      </c>
      <c r="C3911" t="s">
        <v>7456</v>
      </c>
      <c r="D3911">
        <v>10</v>
      </c>
      <c r="E3911">
        <v>1</v>
      </c>
      <c r="F3911">
        <v>2</v>
      </c>
      <c r="G3911">
        <v>2</v>
      </c>
      <c r="H3911">
        <v>24</v>
      </c>
      <c r="I3911">
        <v>0.1</v>
      </c>
      <c r="J3911">
        <v>34.99</v>
      </c>
      <c r="K3911">
        <v>69.98</v>
      </c>
    </row>
    <row r="3912" spans="1:11" x14ac:dyDescent="0.2">
      <c r="B3912">
        <v>277748</v>
      </c>
      <c r="C3912" t="s">
        <v>7457</v>
      </c>
      <c r="D3912">
        <v>10</v>
      </c>
      <c r="E3912">
        <v>8</v>
      </c>
      <c r="F3912">
        <v>0</v>
      </c>
      <c r="G3912">
        <v>0</v>
      </c>
      <c r="H3912">
        <v>96</v>
      </c>
      <c r="I3912">
        <v>0</v>
      </c>
      <c r="J3912">
        <v>6.99</v>
      </c>
      <c r="K3912">
        <v>0</v>
      </c>
    </row>
    <row r="3913" spans="1:11" x14ac:dyDescent="0.2">
      <c r="B3913">
        <v>277782</v>
      </c>
      <c r="C3913" t="s">
        <v>7458</v>
      </c>
      <c r="D3913">
        <v>12</v>
      </c>
      <c r="E3913">
        <v>10</v>
      </c>
      <c r="F3913">
        <v>0</v>
      </c>
      <c r="G3913">
        <v>0</v>
      </c>
      <c r="H3913">
        <v>54</v>
      </c>
      <c r="I3913">
        <v>0</v>
      </c>
      <c r="J3913">
        <v>5.99</v>
      </c>
      <c r="K3913">
        <v>0</v>
      </c>
    </row>
    <row r="3914" spans="1:11" x14ac:dyDescent="0.2">
      <c r="A3914">
        <v>35826</v>
      </c>
      <c r="B3914">
        <v>278007</v>
      </c>
      <c r="C3914" t="s">
        <v>7459</v>
      </c>
      <c r="D3914">
        <v>10</v>
      </c>
      <c r="E3914">
        <v>8</v>
      </c>
      <c r="F3914">
        <v>0</v>
      </c>
      <c r="G3914">
        <v>0</v>
      </c>
      <c r="H3914">
        <v>55</v>
      </c>
      <c r="I3914">
        <v>0</v>
      </c>
      <c r="J3914">
        <v>9.99</v>
      </c>
      <c r="K3914">
        <v>0</v>
      </c>
    </row>
    <row r="3915" spans="1:11" x14ac:dyDescent="0.2">
      <c r="A3915">
        <v>50309</v>
      </c>
      <c r="B3915">
        <v>278036</v>
      </c>
      <c r="C3915" t="s">
        <v>7460</v>
      </c>
      <c r="D3915">
        <v>10</v>
      </c>
      <c r="E3915">
        <v>4</v>
      </c>
      <c r="F3915">
        <v>0</v>
      </c>
      <c r="G3915">
        <v>0</v>
      </c>
      <c r="H3915">
        <v>112</v>
      </c>
      <c r="I3915">
        <v>0</v>
      </c>
      <c r="J3915">
        <v>6.99</v>
      </c>
      <c r="K3915">
        <v>0</v>
      </c>
    </row>
    <row r="3916" spans="1:11" x14ac:dyDescent="0.2">
      <c r="A3916">
        <v>35827</v>
      </c>
      <c r="B3916">
        <v>278081</v>
      </c>
      <c r="C3916" t="s">
        <v>7461</v>
      </c>
      <c r="D3916">
        <v>10</v>
      </c>
      <c r="E3916">
        <v>6</v>
      </c>
      <c r="F3916">
        <v>0</v>
      </c>
      <c r="G3916">
        <v>0</v>
      </c>
      <c r="H3916">
        <v>54</v>
      </c>
      <c r="I3916">
        <v>0</v>
      </c>
      <c r="J3916">
        <v>5.99</v>
      </c>
      <c r="K3916">
        <v>0</v>
      </c>
    </row>
    <row r="3917" spans="1:11" x14ac:dyDescent="0.2">
      <c r="A3917">
        <v>50310</v>
      </c>
      <c r="B3917">
        <v>278168</v>
      </c>
      <c r="C3917" t="s">
        <v>7462</v>
      </c>
      <c r="D3917">
        <v>10</v>
      </c>
      <c r="E3917">
        <v>4</v>
      </c>
      <c r="F3917">
        <v>0</v>
      </c>
      <c r="G3917">
        <v>0</v>
      </c>
      <c r="H3917">
        <v>48</v>
      </c>
      <c r="I3917">
        <v>0</v>
      </c>
      <c r="J3917">
        <v>21.99</v>
      </c>
      <c r="K3917">
        <v>0</v>
      </c>
    </row>
    <row r="3918" spans="1:11" x14ac:dyDescent="0.2">
      <c r="A3918">
        <v>35828</v>
      </c>
      <c r="B3918">
        <v>278224</v>
      </c>
      <c r="C3918" t="s">
        <v>7463</v>
      </c>
      <c r="D3918">
        <v>10</v>
      </c>
      <c r="E3918">
        <v>4</v>
      </c>
      <c r="F3918">
        <v>0</v>
      </c>
      <c r="G3918">
        <v>0</v>
      </c>
      <c r="H3918">
        <v>120</v>
      </c>
      <c r="I3918">
        <v>0</v>
      </c>
      <c r="J3918">
        <v>24.99</v>
      </c>
      <c r="K3918">
        <v>0</v>
      </c>
    </row>
    <row r="3919" spans="1:11" x14ac:dyDescent="0.2">
      <c r="B3919">
        <v>278324</v>
      </c>
      <c r="C3919" t="s">
        <v>7464</v>
      </c>
      <c r="D3919">
        <v>11</v>
      </c>
      <c r="E3919">
        <v>2</v>
      </c>
      <c r="F3919">
        <v>0</v>
      </c>
      <c r="G3919">
        <v>0</v>
      </c>
      <c r="H3919">
        <v>22</v>
      </c>
      <c r="I3919">
        <v>0</v>
      </c>
      <c r="J3919">
        <v>19.989999999999998</v>
      </c>
      <c r="K3919">
        <v>0</v>
      </c>
    </row>
    <row r="3920" spans="1:11" x14ac:dyDescent="0.2">
      <c r="A3920">
        <v>48027</v>
      </c>
      <c r="B3920">
        <v>278664</v>
      </c>
      <c r="C3920" t="s">
        <v>7465</v>
      </c>
      <c r="D3920">
        <v>10</v>
      </c>
      <c r="E3920">
        <v>16</v>
      </c>
      <c r="F3920">
        <v>-2</v>
      </c>
      <c r="G3920">
        <v>-32</v>
      </c>
      <c r="H3920">
        <v>182</v>
      </c>
      <c r="I3920">
        <v>0</v>
      </c>
      <c r="J3920">
        <v>1</v>
      </c>
      <c r="K3920">
        <v>-32</v>
      </c>
    </row>
    <row r="3921" spans="1:11" x14ac:dyDescent="0.2">
      <c r="A3921">
        <v>35829</v>
      </c>
      <c r="B3921">
        <v>278687</v>
      </c>
      <c r="C3921" t="s">
        <v>7466</v>
      </c>
      <c r="D3921">
        <v>10</v>
      </c>
      <c r="E3921">
        <v>8</v>
      </c>
      <c r="F3921">
        <v>0</v>
      </c>
      <c r="G3921">
        <v>0</v>
      </c>
      <c r="H3921">
        <v>48</v>
      </c>
      <c r="I3921">
        <v>0</v>
      </c>
      <c r="J3921">
        <v>11.99</v>
      </c>
      <c r="K3921">
        <v>0</v>
      </c>
    </row>
    <row r="3922" spans="1:11" x14ac:dyDescent="0.2">
      <c r="B3922">
        <v>278853</v>
      </c>
      <c r="C3922" t="s">
        <v>7467</v>
      </c>
      <c r="D3922">
        <v>6</v>
      </c>
      <c r="E3922">
        <v>8</v>
      </c>
      <c r="F3922">
        <v>0</v>
      </c>
      <c r="G3922">
        <v>0</v>
      </c>
      <c r="H3922">
        <v>15</v>
      </c>
      <c r="I3922">
        <v>0</v>
      </c>
      <c r="J3922">
        <v>19.989999999999998</v>
      </c>
      <c r="K3922">
        <v>0</v>
      </c>
    </row>
    <row r="3923" spans="1:11" x14ac:dyDescent="0.2">
      <c r="A3923">
        <v>43801</v>
      </c>
      <c r="B3923">
        <v>278855</v>
      </c>
      <c r="C3923" t="s">
        <v>7416</v>
      </c>
      <c r="D3923">
        <v>10</v>
      </c>
      <c r="E3923">
        <v>1</v>
      </c>
      <c r="F3923">
        <v>0</v>
      </c>
      <c r="G3923">
        <v>0</v>
      </c>
      <c r="H3923">
        <v>30</v>
      </c>
      <c r="I3923">
        <v>0</v>
      </c>
      <c r="J3923">
        <v>42.99</v>
      </c>
      <c r="K3923">
        <v>0</v>
      </c>
    </row>
    <row r="3924" spans="1:11" x14ac:dyDescent="0.2">
      <c r="A3924">
        <v>35830</v>
      </c>
      <c r="B3924">
        <v>278895</v>
      </c>
      <c r="C3924" t="s">
        <v>7468</v>
      </c>
      <c r="D3924">
        <v>10</v>
      </c>
      <c r="E3924">
        <v>6</v>
      </c>
      <c r="F3924">
        <v>0</v>
      </c>
      <c r="G3924">
        <v>0</v>
      </c>
      <c r="H3924">
        <v>14</v>
      </c>
      <c r="I3924">
        <v>0</v>
      </c>
      <c r="J3924">
        <v>17.989999999999998</v>
      </c>
      <c r="K3924">
        <v>0</v>
      </c>
    </row>
    <row r="3925" spans="1:11" x14ac:dyDescent="0.2">
      <c r="A3925">
        <v>35831</v>
      </c>
      <c r="B3925">
        <v>278949</v>
      </c>
      <c r="C3925" t="s">
        <v>7469</v>
      </c>
      <c r="D3925">
        <v>10</v>
      </c>
      <c r="E3925">
        <v>4</v>
      </c>
      <c r="F3925">
        <v>0</v>
      </c>
      <c r="G3925">
        <v>0</v>
      </c>
      <c r="H3925">
        <v>80</v>
      </c>
      <c r="I3925">
        <v>0</v>
      </c>
      <c r="J3925">
        <v>9.99</v>
      </c>
      <c r="K3925">
        <v>0</v>
      </c>
    </row>
    <row r="3926" spans="1:11" x14ac:dyDescent="0.2">
      <c r="A3926">
        <v>50311</v>
      </c>
      <c r="B3926">
        <v>279020</v>
      </c>
      <c r="C3926" t="s">
        <v>7470</v>
      </c>
      <c r="D3926">
        <v>10</v>
      </c>
      <c r="E3926">
        <v>10</v>
      </c>
      <c r="F3926">
        <v>0</v>
      </c>
      <c r="G3926">
        <v>0</v>
      </c>
      <c r="H3926">
        <v>16</v>
      </c>
      <c r="I3926">
        <v>0</v>
      </c>
      <c r="J3926">
        <v>7.99</v>
      </c>
      <c r="K3926">
        <v>0</v>
      </c>
    </row>
    <row r="3927" spans="1:11" x14ac:dyDescent="0.2">
      <c r="B3927">
        <v>279064</v>
      </c>
      <c r="C3927" t="s">
        <v>7471</v>
      </c>
      <c r="D3927">
        <v>10</v>
      </c>
      <c r="E3927">
        <v>6</v>
      </c>
      <c r="F3927">
        <v>0</v>
      </c>
      <c r="G3927">
        <v>0</v>
      </c>
      <c r="H3927">
        <v>144</v>
      </c>
      <c r="I3927">
        <v>0</v>
      </c>
      <c r="J3927">
        <v>9.99</v>
      </c>
      <c r="K3927">
        <v>0</v>
      </c>
    </row>
    <row r="3928" spans="1:11" x14ac:dyDescent="0.2">
      <c r="A3928">
        <v>35833</v>
      </c>
      <c r="B3928">
        <v>279104</v>
      </c>
      <c r="C3928" t="s">
        <v>7472</v>
      </c>
      <c r="D3928">
        <v>10</v>
      </c>
      <c r="E3928">
        <v>2</v>
      </c>
      <c r="F3928">
        <v>0</v>
      </c>
      <c r="G3928">
        <v>0</v>
      </c>
      <c r="H3928">
        <v>10</v>
      </c>
      <c r="I3928">
        <v>0</v>
      </c>
      <c r="J3928">
        <v>64.989999999999995</v>
      </c>
      <c r="K3928">
        <v>0</v>
      </c>
    </row>
    <row r="3929" spans="1:11" x14ac:dyDescent="0.2">
      <c r="B3929">
        <v>279106</v>
      </c>
      <c r="C3929" t="s">
        <v>7473</v>
      </c>
      <c r="D3929">
        <v>10</v>
      </c>
      <c r="E3929">
        <v>2</v>
      </c>
      <c r="F3929">
        <v>0</v>
      </c>
      <c r="G3929">
        <v>0</v>
      </c>
      <c r="H3929">
        <v>1</v>
      </c>
      <c r="I3929">
        <v>0</v>
      </c>
      <c r="J3929">
        <v>59.99</v>
      </c>
      <c r="K3929">
        <v>0</v>
      </c>
    </row>
    <row r="3930" spans="1:11" x14ac:dyDescent="0.2">
      <c r="A3930">
        <v>35834</v>
      </c>
      <c r="B3930">
        <v>279112</v>
      </c>
      <c r="C3930" t="s">
        <v>7474</v>
      </c>
      <c r="D3930">
        <v>10</v>
      </c>
      <c r="E3930">
        <v>6</v>
      </c>
      <c r="F3930">
        <v>0</v>
      </c>
      <c r="G3930">
        <v>0</v>
      </c>
      <c r="H3930">
        <v>72</v>
      </c>
      <c r="I3930">
        <v>0</v>
      </c>
      <c r="J3930">
        <v>16.989999999999998</v>
      </c>
      <c r="K3930">
        <v>0</v>
      </c>
    </row>
    <row r="3931" spans="1:11" x14ac:dyDescent="0.2">
      <c r="A3931">
        <v>50312</v>
      </c>
      <c r="B3931">
        <v>279153</v>
      </c>
      <c r="C3931" t="s">
        <v>7475</v>
      </c>
      <c r="D3931">
        <v>10</v>
      </c>
      <c r="E3931">
        <v>6</v>
      </c>
      <c r="F3931">
        <v>0</v>
      </c>
      <c r="G3931">
        <v>0</v>
      </c>
      <c r="H3931">
        <v>16</v>
      </c>
      <c r="I3931">
        <v>0</v>
      </c>
      <c r="J3931">
        <v>14.99</v>
      </c>
      <c r="K3931">
        <v>0</v>
      </c>
    </row>
    <row r="3932" spans="1:11" x14ac:dyDescent="0.2">
      <c r="A3932">
        <v>59000</v>
      </c>
      <c r="B3932">
        <v>279178</v>
      </c>
      <c r="C3932" t="s">
        <v>7476</v>
      </c>
      <c r="D3932">
        <v>10</v>
      </c>
      <c r="E3932">
        <v>2</v>
      </c>
      <c r="F3932">
        <v>0</v>
      </c>
      <c r="G3932">
        <v>0</v>
      </c>
      <c r="H3932">
        <v>15</v>
      </c>
      <c r="I3932">
        <v>0</v>
      </c>
      <c r="J3932">
        <v>79.989999999999995</v>
      </c>
      <c r="K3932">
        <v>0</v>
      </c>
    </row>
    <row r="3933" spans="1:11" x14ac:dyDescent="0.2">
      <c r="B3933">
        <v>279296</v>
      </c>
      <c r="C3933" t="s">
        <v>7477</v>
      </c>
      <c r="D3933">
        <v>11</v>
      </c>
      <c r="E3933">
        <v>4</v>
      </c>
      <c r="F3933">
        <v>0</v>
      </c>
      <c r="G3933">
        <v>0</v>
      </c>
      <c r="H3933">
        <v>24</v>
      </c>
      <c r="I3933">
        <v>0</v>
      </c>
      <c r="J3933">
        <v>19.989999999999998</v>
      </c>
      <c r="K3933">
        <v>0</v>
      </c>
    </row>
    <row r="3934" spans="1:11" x14ac:dyDescent="0.2">
      <c r="A3934">
        <v>35835</v>
      </c>
      <c r="B3934">
        <v>279302</v>
      </c>
      <c r="C3934" t="s">
        <v>7478</v>
      </c>
      <c r="D3934">
        <v>10</v>
      </c>
      <c r="E3934">
        <v>24</v>
      </c>
      <c r="F3934">
        <v>0</v>
      </c>
      <c r="G3934">
        <v>0</v>
      </c>
      <c r="H3934">
        <v>28</v>
      </c>
      <c r="I3934">
        <v>0</v>
      </c>
      <c r="J3934">
        <v>6.99</v>
      </c>
      <c r="K3934">
        <v>0</v>
      </c>
    </row>
    <row r="3935" spans="1:11" x14ac:dyDescent="0.2">
      <c r="A3935">
        <v>35836</v>
      </c>
      <c r="B3935">
        <v>279399</v>
      </c>
      <c r="C3935" t="s">
        <v>7479</v>
      </c>
      <c r="D3935">
        <v>10</v>
      </c>
      <c r="E3935">
        <v>3</v>
      </c>
      <c r="F3935">
        <v>0</v>
      </c>
      <c r="G3935">
        <v>0</v>
      </c>
      <c r="H3935">
        <v>28</v>
      </c>
      <c r="I3935">
        <v>0</v>
      </c>
      <c r="J3935">
        <v>7.99</v>
      </c>
      <c r="K3935">
        <v>0</v>
      </c>
    </row>
    <row r="3936" spans="1:11" x14ac:dyDescent="0.2">
      <c r="B3936">
        <v>279406</v>
      </c>
      <c r="C3936" t="s">
        <v>7480</v>
      </c>
      <c r="D3936">
        <v>11</v>
      </c>
      <c r="E3936">
        <v>8</v>
      </c>
      <c r="F3936">
        <v>0</v>
      </c>
      <c r="G3936">
        <v>0</v>
      </c>
      <c r="H3936">
        <v>36</v>
      </c>
      <c r="I3936">
        <v>0</v>
      </c>
      <c r="J3936">
        <v>11.99</v>
      </c>
      <c r="K3936">
        <v>0</v>
      </c>
    </row>
    <row r="3937" spans="1:12" x14ac:dyDescent="0.2">
      <c r="A3937">
        <v>35837</v>
      </c>
      <c r="B3937">
        <v>279415</v>
      </c>
      <c r="C3937" t="s">
        <v>7481</v>
      </c>
      <c r="D3937">
        <v>10</v>
      </c>
      <c r="E3937">
        <v>12</v>
      </c>
      <c r="F3937">
        <v>0</v>
      </c>
      <c r="G3937">
        <v>0</v>
      </c>
      <c r="H3937">
        <v>118</v>
      </c>
      <c r="I3937">
        <v>0</v>
      </c>
      <c r="J3937">
        <v>10.99</v>
      </c>
      <c r="K3937">
        <v>0</v>
      </c>
    </row>
    <row r="3938" spans="1:12" x14ac:dyDescent="0.2">
      <c r="A3938">
        <v>25916</v>
      </c>
      <c r="B3938">
        <v>279521</v>
      </c>
      <c r="C3938" t="s">
        <v>7482</v>
      </c>
      <c r="D3938">
        <v>10</v>
      </c>
      <c r="E3938">
        <v>12</v>
      </c>
      <c r="F3938">
        <v>0</v>
      </c>
      <c r="G3938">
        <v>0</v>
      </c>
      <c r="H3938">
        <v>16</v>
      </c>
      <c r="I3938">
        <v>0</v>
      </c>
      <c r="J3938">
        <v>1</v>
      </c>
      <c r="K3938">
        <v>0</v>
      </c>
    </row>
    <row r="3939" spans="1:12" x14ac:dyDescent="0.2">
      <c r="A3939">
        <v>35838</v>
      </c>
      <c r="B3939">
        <v>279744</v>
      </c>
      <c r="C3939" t="s">
        <v>7483</v>
      </c>
      <c r="D3939">
        <v>10</v>
      </c>
      <c r="E3939">
        <v>6</v>
      </c>
      <c r="F3939">
        <v>0</v>
      </c>
      <c r="G3939">
        <v>0</v>
      </c>
      <c r="H3939">
        <v>91</v>
      </c>
      <c r="I3939">
        <v>0</v>
      </c>
      <c r="J3939">
        <v>17.989999999999998</v>
      </c>
      <c r="K3939">
        <v>0</v>
      </c>
    </row>
    <row r="3940" spans="1:12" x14ac:dyDescent="0.2">
      <c r="B3940">
        <v>279763</v>
      </c>
      <c r="C3940" t="s">
        <v>7484</v>
      </c>
      <c r="D3940">
        <v>10</v>
      </c>
      <c r="E3940">
        <v>2</v>
      </c>
      <c r="F3940">
        <v>0</v>
      </c>
      <c r="G3940">
        <v>0</v>
      </c>
      <c r="H3940">
        <v>60</v>
      </c>
      <c r="I3940">
        <v>0</v>
      </c>
      <c r="J3940">
        <v>21.99</v>
      </c>
      <c r="K3940">
        <v>0</v>
      </c>
    </row>
    <row r="3941" spans="1:12" x14ac:dyDescent="0.2">
      <c r="B3941">
        <v>279870</v>
      </c>
      <c r="C3941" t="s">
        <v>7485</v>
      </c>
      <c r="D3941">
        <v>10</v>
      </c>
      <c r="E3941">
        <v>4</v>
      </c>
      <c r="F3941">
        <v>0</v>
      </c>
      <c r="G3941">
        <v>0</v>
      </c>
      <c r="H3941">
        <v>60</v>
      </c>
      <c r="I3941">
        <v>0</v>
      </c>
      <c r="J3941">
        <v>31.99</v>
      </c>
      <c r="K3941">
        <v>0</v>
      </c>
    </row>
    <row r="3942" spans="1:12" x14ac:dyDescent="0.2">
      <c r="A3942">
        <v>50313</v>
      </c>
      <c r="B3942">
        <v>279911</v>
      </c>
      <c r="C3942" t="s">
        <v>7486</v>
      </c>
      <c r="D3942">
        <v>10</v>
      </c>
      <c r="E3942">
        <v>4</v>
      </c>
      <c r="F3942">
        <v>0</v>
      </c>
      <c r="G3942">
        <v>0</v>
      </c>
      <c r="H3942">
        <v>35</v>
      </c>
      <c r="I3942">
        <v>0</v>
      </c>
      <c r="J3942">
        <v>16.989999999999998</v>
      </c>
      <c r="K3942">
        <v>0</v>
      </c>
    </row>
    <row r="3943" spans="1:12" x14ac:dyDescent="0.2">
      <c r="B3943">
        <v>280200</v>
      </c>
      <c r="C3943" t="s">
        <v>7487</v>
      </c>
      <c r="D3943">
        <v>10</v>
      </c>
      <c r="E3943">
        <v>6</v>
      </c>
      <c r="F3943">
        <v>0</v>
      </c>
      <c r="G3943">
        <v>0</v>
      </c>
      <c r="H3943">
        <v>60</v>
      </c>
      <c r="I3943">
        <v>0</v>
      </c>
      <c r="J3943">
        <v>19.989999999999998</v>
      </c>
      <c r="K3943">
        <v>0</v>
      </c>
    </row>
    <row r="3944" spans="1:12" x14ac:dyDescent="0.2">
      <c r="A3944">
        <v>35839</v>
      </c>
      <c r="B3944">
        <v>280268</v>
      </c>
      <c r="C3944" t="s">
        <v>7488</v>
      </c>
      <c r="D3944">
        <v>10</v>
      </c>
      <c r="E3944">
        <v>4</v>
      </c>
      <c r="F3944">
        <v>0</v>
      </c>
      <c r="G3944">
        <v>0</v>
      </c>
      <c r="H3944">
        <v>104</v>
      </c>
      <c r="I3944">
        <v>0</v>
      </c>
      <c r="J3944">
        <v>19.989999999999998</v>
      </c>
      <c r="K3944">
        <v>0</v>
      </c>
    </row>
    <row r="3945" spans="1:12" x14ac:dyDescent="0.2">
      <c r="A3945">
        <v>50314</v>
      </c>
      <c r="B3945">
        <v>280284</v>
      </c>
      <c r="C3945" t="s">
        <v>7425</v>
      </c>
      <c r="D3945">
        <v>10</v>
      </c>
      <c r="E3945">
        <v>2</v>
      </c>
      <c r="F3945">
        <v>0</v>
      </c>
      <c r="G3945">
        <v>0</v>
      </c>
      <c r="H3945">
        <v>30</v>
      </c>
      <c r="I3945">
        <v>0</v>
      </c>
      <c r="J3945">
        <v>59.99</v>
      </c>
      <c r="K3945">
        <v>0</v>
      </c>
    </row>
    <row r="3946" spans="1:12" x14ac:dyDescent="0.2">
      <c r="A3946">
        <v>35840</v>
      </c>
      <c r="B3946">
        <v>280333</v>
      </c>
      <c r="C3946" t="s">
        <v>7489</v>
      </c>
      <c r="D3946">
        <v>10</v>
      </c>
      <c r="E3946">
        <v>1</v>
      </c>
      <c r="F3946">
        <v>0</v>
      </c>
      <c r="G3946">
        <v>0</v>
      </c>
      <c r="H3946">
        <v>30</v>
      </c>
      <c r="I3946">
        <v>0</v>
      </c>
      <c r="J3946">
        <v>54.99</v>
      </c>
      <c r="K3946">
        <v>0</v>
      </c>
    </row>
    <row r="3947" spans="1:12" x14ac:dyDescent="0.2">
      <c r="A3947">
        <v>35841</v>
      </c>
      <c r="B3947">
        <v>280353</v>
      </c>
      <c r="C3947" t="s">
        <v>7490</v>
      </c>
      <c r="D3947">
        <v>10</v>
      </c>
      <c r="E3947">
        <v>10</v>
      </c>
      <c r="F3947">
        <v>0</v>
      </c>
      <c r="G3947">
        <v>0</v>
      </c>
      <c r="H3947">
        <v>100</v>
      </c>
      <c r="I3947">
        <v>0</v>
      </c>
      <c r="J3947">
        <v>4.99</v>
      </c>
      <c r="K3947">
        <v>0</v>
      </c>
    </row>
    <row r="3948" spans="1:12" x14ac:dyDescent="0.2">
      <c r="A3948">
        <v>35842</v>
      </c>
      <c r="B3948">
        <v>280389</v>
      </c>
      <c r="C3948" t="s">
        <v>7491</v>
      </c>
      <c r="D3948">
        <v>10</v>
      </c>
      <c r="E3948">
        <v>6</v>
      </c>
      <c r="F3948">
        <v>0</v>
      </c>
      <c r="G3948">
        <v>0</v>
      </c>
      <c r="H3948">
        <v>1</v>
      </c>
      <c r="I3948">
        <v>0</v>
      </c>
      <c r="J3948">
        <v>19.989999999999998</v>
      </c>
      <c r="K3948">
        <v>0</v>
      </c>
    </row>
    <row r="3949" spans="1:12" x14ac:dyDescent="0.2">
      <c r="A3949">
        <v>38804</v>
      </c>
      <c r="B3949">
        <v>280582</v>
      </c>
      <c r="C3949" t="s">
        <v>7492</v>
      </c>
      <c r="D3949">
        <v>10</v>
      </c>
      <c r="E3949">
        <v>8</v>
      </c>
      <c r="F3949">
        <v>0</v>
      </c>
      <c r="G3949">
        <v>0</v>
      </c>
      <c r="H3949">
        <v>28</v>
      </c>
      <c r="I3949">
        <v>0</v>
      </c>
      <c r="J3949">
        <v>9.99</v>
      </c>
      <c r="K3949">
        <v>0</v>
      </c>
    </row>
    <row r="3950" spans="1:12" x14ac:dyDescent="0.2">
      <c r="B3950">
        <v>280641</v>
      </c>
      <c r="C3950" t="s">
        <v>7493</v>
      </c>
      <c r="D3950">
        <v>11</v>
      </c>
      <c r="E3950">
        <v>2</v>
      </c>
      <c r="F3950">
        <v>0</v>
      </c>
      <c r="G3950">
        <v>0</v>
      </c>
      <c r="H3950">
        <v>21</v>
      </c>
      <c r="I3950">
        <v>0</v>
      </c>
      <c r="J3950">
        <v>0.01</v>
      </c>
      <c r="K3950">
        <v>0</v>
      </c>
      <c r="L3950" t="s">
        <v>3699</v>
      </c>
    </row>
    <row r="3951" spans="1:12" x14ac:dyDescent="0.2">
      <c r="B3951">
        <v>280767</v>
      </c>
      <c r="C3951" t="s">
        <v>7494</v>
      </c>
      <c r="D3951">
        <v>10</v>
      </c>
      <c r="E3951">
        <v>6</v>
      </c>
      <c r="F3951">
        <v>0</v>
      </c>
      <c r="G3951">
        <v>0</v>
      </c>
      <c r="H3951">
        <v>12</v>
      </c>
      <c r="I3951">
        <v>0</v>
      </c>
      <c r="J3951">
        <v>17.989999999999998</v>
      </c>
      <c r="K3951">
        <v>0</v>
      </c>
    </row>
    <row r="3952" spans="1:12" x14ac:dyDescent="0.2">
      <c r="A3952">
        <v>35844</v>
      </c>
      <c r="B3952">
        <v>280780</v>
      </c>
      <c r="C3952" t="s">
        <v>7495</v>
      </c>
      <c r="D3952">
        <v>10</v>
      </c>
      <c r="E3952">
        <v>4</v>
      </c>
      <c r="F3952">
        <v>0</v>
      </c>
      <c r="G3952">
        <v>0</v>
      </c>
      <c r="H3952">
        <v>6</v>
      </c>
      <c r="I3952">
        <v>0</v>
      </c>
      <c r="J3952">
        <v>9.99</v>
      </c>
      <c r="K3952">
        <v>0</v>
      </c>
    </row>
    <row r="3953" spans="1:11" x14ac:dyDescent="0.2">
      <c r="A3953">
        <v>50315</v>
      </c>
      <c r="B3953">
        <v>280959</v>
      </c>
      <c r="C3953" t="s">
        <v>7496</v>
      </c>
      <c r="D3953">
        <v>10</v>
      </c>
      <c r="E3953">
        <v>6</v>
      </c>
      <c r="F3953">
        <v>0</v>
      </c>
      <c r="G3953">
        <v>0</v>
      </c>
      <c r="H3953">
        <v>46</v>
      </c>
      <c r="I3953">
        <v>0</v>
      </c>
      <c r="J3953">
        <v>11.99</v>
      </c>
      <c r="K3953">
        <v>0</v>
      </c>
    </row>
    <row r="3954" spans="1:11" x14ac:dyDescent="0.2">
      <c r="B3954">
        <v>281036</v>
      </c>
      <c r="C3954" t="s">
        <v>7497</v>
      </c>
      <c r="D3954">
        <v>12</v>
      </c>
      <c r="E3954">
        <v>16</v>
      </c>
      <c r="F3954">
        <v>0</v>
      </c>
      <c r="G3954">
        <v>0</v>
      </c>
      <c r="H3954">
        <v>36</v>
      </c>
      <c r="I3954">
        <v>0</v>
      </c>
      <c r="J3954">
        <v>1</v>
      </c>
      <c r="K3954">
        <v>0</v>
      </c>
    </row>
    <row r="3955" spans="1:11" x14ac:dyDescent="0.2">
      <c r="A3955">
        <v>35846</v>
      </c>
      <c r="B3955">
        <v>281064</v>
      </c>
      <c r="C3955" t="s">
        <v>7498</v>
      </c>
      <c r="D3955">
        <v>10</v>
      </c>
      <c r="E3955">
        <v>1</v>
      </c>
      <c r="F3955">
        <v>0</v>
      </c>
      <c r="G3955">
        <v>0</v>
      </c>
      <c r="H3955">
        <v>100</v>
      </c>
      <c r="I3955">
        <v>0</v>
      </c>
      <c r="J3955">
        <v>149</v>
      </c>
      <c r="K3955">
        <v>0</v>
      </c>
    </row>
    <row r="3956" spans="1:11" x14ac:dyDescent="0.2">
      <c r="A3956">
        <v>29801</v>
      </c>
      <c r="B3956">
        <v>281146</v>
      </c>
      <c r="C3956" t="s">
        <v>7499</v>
      </c>
      <c r="D3956">
        <v>10</v>
      </c>
      <c r="E3956">
        <v>16</v>
      </c>
      <c r="F3956">
        <v>0</v>
      </c>
      <c r="G3956">
        <v>0</v>
      </c>
      <c r="H3956">
        <v>21</v>
      </c>
      <c r="I3956">
        <v>0</v>
      </c>
      <c r="J3956">
        <v>4.99</v>
      </c>
      <c r="K3956">
        <v>0</v>
      </c>
    </row>
    <row r="3957" spans="1:11" x14ac:dyDescent="0.2">
      <c r="A3957">
        <v>35847</v>
      </c>
      <c r="B3957">
        <v>281161</v>
      </c>
      <c r="C3957" t="s">
        <v>7500</v>
      </c>
      <c r="D3957">
        <v>10</v>
      </c>
      <c r="E3957">
        <v>12</v>
      </c>
      <c r="F3957">
        <v>0</v>
      </c>
      <c r="G3957">
        <v>0</v>
      </c>
      <c r="H3957">
        <v>24</v>
      </c>
      <c r="I3957">
        <v>0</v>
      </c>
      <c r="J3957">
        <v>6.99</v>
      </c>
      <c r="K3957">
        <v>0</v>
      </c>
    </row>
    <row r="3958" spans="1:11" x14ac:dyDescent="0.2">
      <c r="A3958">
        <v>50316</v>
      </c>
      <c r="B3958">
        <v>281165</v>
      </c>
      <c r="C3958" t="s">
        <v>7501</v>
      </c>
      <c r="D3958">
        <v>10</v>
      </c>
      <c r="E3958">
        <v>9</v>
      </c>
      <c r="F3958">
        <v>0</v>
      </c>
      <c r="G3958">
        <v>0</v>
      </c>
      <c r="H3958">
        <v>50</v>
      </c>
      <c r="I3958">
        <v>0</v>
      </c>
      <c r="J3958">
        <v>3.99</v>
      </c>
      <c r="K3958">
        <v>0</v>
      </c>
    </row>
    <row r="3959" spans="1:11" x14ac:dyDescent="0.2">
      <c r="A3959">
        <v>50317</v>
      </c>
      <c r="B3959">
        <v>281168</v>
      </c>
      <c r="C3959" t="s">
        <v>7502</v>
      </c>
      <c r="D3959">
        <v>10</v>
      </c>
      <c r="E3959">
        <v>24</v>
      </c>
      <c r="F3959">
        <v>0</v>
      </c>
      <c r="G3959">
        <v>0</v>
      </c>
      <c r="H3959">
        <v>32</v>
      </c>
      <c r="I3959">
        <v>0</v>
      </c>
      <c r="J3959">
        <v>7.99</v>
      </c>
      <c r="K3959">
        <v>0</v>
      </c>
    </row>
    <row r="3960" spans="1:11" x14ac:dyDescent="0.2">
      <c r="A3960">
        <v>50318</v>
      </c>
      <c r="B3960">
        <v>281176</v>
      </c>
      <c r="C3960" t="s">
        <v>7503</v>
      </c>
      <c r="D3960">
        <v>10</v>
      </c>
      <c r="E3960">
        <v>6</v>
      </c>
      <c r="F3960">
        <v>0</v>
      </c>
      <c r="G3960">
        <v>2</v>
      </c>
      <c r="H3960">
        <v>44</v>
      </c>
      <c r="I3960">
        <v>0</v>
      </c>
      <c r="J3960">
        <v>14.99</v>
      </c>
      <c r="K3960">
        <v>29.98</v>
      </c>
    </row>
    <row r="3961" spans="1:11" x14ac:dyDescent="0.2">
      <c r="B3961">
        <v>281321</v>
      </c>
      <c r="C3961" t="s">
        <v>7452</v>
      </c>
      <c r="D3961">
        <v>12</v>
      </c>
      <c r="E3961">
        <v>3</v>
      </c>
      <c r="F3961">
        <v>0</v>
      </c>
      <c r="G3961">
        <v>0</v>
      </c>
      <c r="H3961">
        <v>30</v>
      </c>
      <c r="I3961">
        <v>0</v>
      </c>
      <c r="J3961">
        <v>24.99</v>
      </c>
      <c r="K3961">
        <v>0</v>
      </c>
    </row>
    <row r="3962" spans="1:11" x14ac:dyDescent="0.2">
      <c r="A3962">
        <v>29802</v>
      </c>
      <c r="B3962">
        <v>281329</v>
      </c>
      <c r="C3962" t="s">
        <v>7504</v>
      </c>
      <c r="D3962">
        <v>10</v>
      </c>
      <c r="E3962">
        <v>8</v>
      </c>
      <c r="F3962">
        <v>0</v>
      </c>
      <c r="G3962">
        <v>0</v>
      </c>
      <c r="H3962">
        <v>116</v>
      </c>
      <c r="I3962">
        <v>0</v>
      </c>
      <c r="J3962">
        <v>11.99</v>
      </c>
      <c r="K3962">
        <v>0</v>
      </c>
    </row>
    <row r="3963" spans="1:11" x14ac:dyDescent="0.2">
      <c r="A3963">
        <v>35848</v>
      </c>
      <c r="B3963">
        <v>281346</v>
      </c>
      <c r="C3963" t="s">
        <v>7505</v>
      </c>
      <c r="D3963">
        <v>10</v>
      </c>
      <c r="E3963">
        <v>6</v>
      </c>
      <c r="F3963">
        <v>0</v>
      </c>
      <c r="G3963">
        <v>0</v>
      </c>
      <c r="H3963">
        <v>50</v>
      </c>
      <c r="I3963">
        <v>0</v>
      </c>
      <c r="J3963">
        <v>14.99</v>
      </c>
      <c r="K3963">
        <v>0</v>
      </c>
    </row>
    <row r="3964" spans="1:11" x14ac:dyDescent="0.2">
      <c r="A3964">
        <v>35849</v>
      </c>
      <c r="B3964">
        <v>281354</v>
      </c>
      <c r="C3964" t="s">
        <v>7506</v>
      </c>
      <c r="D3964">
        <v>10</v>
      </c>
      <c r="E3964">
        <v>20</v>
      </c>
      <c r="F3964">
        <v>0</v>
      </c>
      <c r="G3964">
        <v>0</v>
      </c>
      <c r="H3964">
        <v>75</v>
      </c>
      <c r="I3964">
        <v>0</v>
      </c>
      <c r="J3964">
        <v>4.99</v>
      </c>
      <c r="K3964">
        <v>0</v>
      </c>
    </row>
    <row r="3965" spans="1:11" x14ac:dyDescent="0.2">
      <c r="B3965">
        <v>281406</v>
      </c>
      <c r="C3965" t="s">
        <v>7507</v>
      </c>
      <c r="D3965">
        <v>11</v>
      </c>
      <c r="E3965">
        <v>4</v>
      </c>
      <c r="F3965">
        <v>0</v>
      </c>
      <c r="G3965">
        <v>0</v>
      </c>
      <c r="H3965">
        <v>40</v>
      </c>
      <c r="I3965">
        <v>0</v>
      </c>
      <c r="J3965">
        <v>24.99</v>
      </c>
      <c r="K3965">
        <v>0</v>
      </c>
    </row>
    <row r="3966" spans="1:11" x14ac:dyDescent="0.2">
      <c r="A3966">
        <v>35850</v>
      </c>
      <c r="B3966">
        <v>281416</v>
      </c>
      <c r="C3966" t="s">
        <v>7508</v>
      </c>
      <c r="D3966">
        <v>10</v>
      </c>
      <c r="E3966">
        <v>1</v>
      </c>
      <c r="F3966">
        <v>0</v>
      </c>
      <c r="G3966">
        <v>0</v>
      </c>
      <c r="H3966">
        <v>50</v>
      </c>
      <c r="I3966">
        <v>0</v>
      </c>
      <c r="J3966">
        <v>49.99</v>
      </c>
      <c r="K3966">
        <v>0</v>
      </c>
    </row>
    <row r="3967" spans="1:11" x14ac:dyDescent="0.2">
      <c r="A3967">
        <v>43409</v>
      </c>
      <c r="B3967">
        <v>281417</v>
      </c>
      <c r="C3967" t="s">
        <v>7509</v>
      </c>
      <c r="D3967">
        <v>10</v>
      </c>
      <c r="E3967">
        <v>20</v>
      </c>
      <c r="F3967">
        <v>1</v>
      </c>
      <c r="G3967">
        <v>20</v>
      </c>
      <c r="H3967">
        <v>100</v>
      </c>
      <c r="I3967">
        <v>0</v>
      </c>
      <c r="J3967">
        <v>1</v>
      </c>
      <c r="K3967">
        <v>20</v>
      </c>
    </row>
    <row r="3968" spans="1:11" x14ac:dyDescent="0.2">
      <c r="B3968">
        <v>281428</v>
      </c>
      <c r="C3968" t="s">
        <v>7481</v>
      </c>
      <c r="D3968">
        <v>10</v>
      </c>
      <c r="E3968">
        <v>10</v>
      </c>
      <c r="F3968">
        <v>0</v>
      </c>
      <c r="G3968">
        <v>0</v>
      </c>
      <c r="H3968">
        <v>100</v>
      </c>
      <c r="I3968">
        <v>0</v>
      </c>
      <c r="J3968">
        <v>8.99</v>
      </c>
      <c r="K3968">
        <v>0</v>
      </c>
    </row>
    <row r="3969" spans="1:11" x14ac:dyDescent="0.2">
      <c r="B3969">
        <v>281452</v>
      </c>
      <c r="C3969" t="s">
        <v>7510</v>
      </c>
      <c r="D3969">
        <v>12</v>
      </c>
      <c r="E3969">
        <v>4</v>
      </c>
      <c r="F3969">
        <v>0</v>
      </c>
      <c r="G3969">
        <v>0</v>
      </c>
      <c r="H3969">
        <v>10</v>
      </c>
      <c r="I3969">
        <v>0</v>
      </c>
      <c r="J3969">
        <v>24.99</v>
      </c>
      <c r="K3969">
        <v>0</v>
      </c>
    </row>
    <row r="3970" spans="1:11" x14ac:dyDescent="0.2">
      <c r="B3970">
        <v>281507</v>
      </c>
      <c r="C3970" t="s">
        <v>7511</v>
      </c>
      <c r="D3970">
        <v>11</v>
      </c>
      <c r="E3970">
        <v>4</v>
      </c>
      <c r="F3970">
        <v>0</v>
      </c>
      <c r="G3970">
        <v>0</v>
      </c>
      <c r="H3970">
        <v>100</v>
      </c>
      <c r="I3970">
        <v>0</v>
      </c>
      <c r="J3970">
        <v>9.99</v>
      </c>
      <c r="K3970">
        <v>0</v>
      </c>
    </row>
    <row r="3971" spans="1:11" x14ac:dyDescent="0.2">
      <c r="B3971">
        <v>281694</v>
      </c>
      <c r="C3971" t="s">
        <v>7512</v>
      </c>
      <c r="D3971">
        <v>10</v>
      </c>
      <c r="E3971">
        <v>20</v>
      </c>
      <c r="F3971">
        <v>0</v>
      </c>
      <c r="G3971">
        <v>0</v>
      </c>
      <c r="H3971">
        <v>72</v>
      </c>
      <c r="I3971">
        <v>0</v>
      </c>
      <c r="J3971">
        <v>3.99</v>
      </c>
      <c r="K3971">
        <v>0</v>
      </c>
    </row>
    <row r="3972" spans="1:11" x14ac:dyDescent="0.2">
      <c r="A3972">
        <v>35851</v>
      </c>
      <c r="B3972">
        <v>281768</v>
      </c>
      <c r="C3972" t="s">
        <v>7513</v>
      </c>
      <c r="D3972">
        <v>10</v>
      </c>
      <c r="E3972">
        <v>15</v>
      </c>
      <c r="F3972">
        <v>0</v>
      </c>
      <c r="G3972">
        <v>0</v>
      </c>
      <c r="H3972">
        <v>99</v>
      </c>
      <c r="I3972">
        <v>0</v>
      </c>
      <c r="J3972">
        <v>2.99</v>
      </c>
      <c r="K3972">
        <v>0</v>
      </c>
    </row>
    <row r="3973" spans="1:11" x14ac:dyDescent="0.2">
      <c r="B3973">
        <v>281786</v>
      </c>
      <c r="C3973" t="s">
        <v>7514</v>
      </c>
      <c r="D3973">
        <v>11</v>
      </c>
      <c r="E3973">
        <v>24</v>
      </c>
      <c r="F3973">
        <v>0</v>
      </c>
      <c r="G3973">
        <v>0</v>
      </c>
      <c r="H3973">
        <v>100</v>
      </c>
      <c r="I3973">
        <v>0</v>
      </c>
      <c r="J3973">
        <v>4.99</v>
      </c>
      <c r="K3973">
        <v>0</v>
      </c>
    </row>
    <row r="3974" spans="1:11" x14ac:dyDescent="0.2">
      <c r="A3974">
        <v>35852</v>
      </c>
      <c r="B3974">
        <v>281792</v>
      </c>
      <c r="C3974" t="s">
        <v>7515</v>
      </c>
      <c r="D3974">
        <v>10</v>
      </c>
      <c r="E3974">
        <v>8</v>
      </c>
      <c r="F3974">
        <v>0</v>
      </c>
      <c r="G3974">
        <v>0</v>
      </c>
      <c r="H3974">
        <v>60</v>
      </c>
      <c r="I3974">
        <v>0</v>
      </c>
      <c r="J3974">
        <v>5.99</v>
      </c>
      <c r="K3974">
        <v>0</v>
      </c>
    </row>
    <row r="3975" spans="1:11" x14ac:dyDescent="0.2">
      <c r="A3975">
        <v>47896</v>
      </c>
      <c r="B3975">
        <v>281855</v>
      </c>
      <c r="C3975" t="s">
        <v>7516</v>
      </c>
      <c r="D3975">
        <v>10</v>
      </c>
      <c r="E3975">
        <v>20</v>
      </c>
      <c r="F3975">
        <v>0</v>
      </c>
      <c r="G3975">
        <v>0</v>
      </c>
      <c r="H3975">
        <v>75</v>
      </c>
      <c r="I3975">
        <v>0</v>
      </c>
      <c r="J3975">
        <v>1</v>
      </c>
      <c r="K3975">
        <v>0</v>
      </c>
    </row>
    <row r="3976" spans="1:11" x14ac:dyDescent="0.2">
      <c r="A3976">
        <v>3261</v>
      </c>
      <c r="B3976">
        <v>281864</v>
      </c>
      <c r="C3976" t="s">
        <v>7517</v>
      </c>
      <c r="D3976">
        <v>6</v>
      </c>
      <c r="E3976">
        <v>10</v>
      </c>
      <c r="F3976">
        <v>0</v>
      </c>
      <c r="G3976">
        <v>0</v>
      </c>
      <c r="H3976">
        <v>100</v>
      </c>
      <c r="I3976">
        <v>0</v>
      </c>
      <c r="J3976">
        <v>4.99</v>
      </c>
      <c r="K3976">
        <v>0</v>
      </c>
    </row>
    <row r="3977" spans="1:11" x14ac:dyDescent="0.2">
      <c r="A3977">
        <v>35853</v>
      </c>
      <c r="B3977">
        <v>281908</v>
      </c>
      <c r="C3977" t="s">
        <v>7518</v>
      </c>
      <c r="D3977">
        <v>10</v>
      </c>
      <c r="E3977">
        <v>12</v>
      </c>
      <c r="F3977">
        <v>0</v>
      </c>
      <c r="G3977">
        <v>0</v>
      </c>
      <c r="H3977">
        <v>21</v>
      </c>
      <c r="I3977">
        <v>0</v>
      </c>
      <c r="J3977">
        <v>4.99</v>
      </c>
      <c r="K3977">
        <v>0</v>
      </c>
    </row>
    <row r="3978" spans="1:11" x14ac:dyDescent="0.2">
      <c r="A3978">
        <v>50319</v>
      </c>
      <c r="B3978">
        <v>281990</v>
      </c>
      <c r="C3978" t="s">
        <v>7519</v>
      </c>
      <c r="D3978">
        <v>10</v>
      </c>
      <c r="E3978">
        <v>10</v>
      </c>
      <c r="F3978">
        <v>0</v>
      </c>
      <c r="G3978">
        <v>0</v>
      </c>
      <c r="H3978">
        <v>42</v>
      </c>
      <c r="I3978">
        <v>0</v>
      </c>
      <c r="J3978">
        <v>5.99</v>
      </c>
      <c r="K3978">
        <v>0</v>
      </c>
    </row>
    <row r="3979" spans="1:11" x14ac:dyDescent="0.2">
      <c r="B3979">
        <v>281996</v>
      </c>
      <c r="C3979" t="s">
        <v>7520</v>
      </c>
      <c r="D3979">
        <v>12</v>
      </c>
      <c r="E3979">
        <v>6</v>
      </c>
      <c r="F3979">
        <v>0</v>
      </c>
      <c r="G3979">
        <v>0</v>
      </c>
      <c r="H3979">
        <v>56</v>
      </c>
      <c r="I3979">
        <v>0</v>
      </c>
      <c r="J3979">
        <v>34.99</v>
      </c>
      <c r="K3979">
        <v>0</v>
      </c>
    </row>
    <row r="3980" spans="1:11" x14ac:dyDescent="0.2">
      <c r="B3980">
        <v>282015</v>
      </c>
      <c r="C3980" t="s">
        <v>7521</v>
      </c>
      <c r="D3980">
        <v>11</v>
      </c>
      <c r="E3980">
        <v>1</v>
      </c>
      <c r="F3980">
        <v>0</v>
      </c>
      <c r="G3980">
        <v>0</v>
      </c>
      <c r="H3980">
        <v>24</v>
      </c>
      <c r="I3980">
        <v>0</v>
      </c>
      <c r="J3980">
        <v>89.99</v>
      </c>
      <c r="K3980">
        <v>0</v>
      </c>
    </row>
    <row r="3981" spans="1:11" x14ac:dyDescent="0.2">
      <c r="A3981">
        <v>50320</v>
      </c>
      <c r="B3981">
        <v>282027</v>
      </c>
      <c r="C3981" t="s">
        <v>7522</v>
      </c>
      <c r="D3981">
        <v>10</v>
      </c>
      <c r="E3981">
        <v>18</v>
      </c>
      <c r="F3981">
        <v>0</v>
      </c>
      <c r="G3981">
        <v>0</v>
      </c>
      <c r="H3981">
        <v>35</v>
      </c>
      <c r="I3981">
        <v>0</v>
      </c>
      <c r="J3981">
        <v>3.99</v>
      </c>
      <c r="K3981">
        <v>0</v>
      </c>
    </row>
    <row r="3982" spans="1:11" x14ac:dyDescent="0.2">
      <c r="B3982">
        <v>282044</v>
      </c>
      <c r="C3982" t="s">
        <v>7523</v>
      </c>
      <c r="D3982">
        <v>11</v>
      </c>
      <c r="E3982">
        <v>4</v>
      </c>
      <c r="F3982">
        <v>0</v>
      </c>
      <c r="G3982">
        <v>0</v>
      </c>
      <c r="H3982">
        <v>171</v>
      </c>
      <c r="I3982">
        <v>0</v>
      </c>
      <c r="J3982">
        <v>24.99</v>
      </c>
      <c r="K3982">
        <v>0</v>
      </c>
    </row>
    <row r="3983" spans="1:11" x14ac:dyDescent="0.2">
      <c r="B3983">
        <v>282064</v>
      </c>
      <c r="C3983" t="s">
        <v>7524</v>
      </c>
      <c r="D3983">
        <v>11</v>
      </c>
      <c r="E3983">
        <v>2</v>
      </c>
      <c r="F3983">
        <v>0</v>
      </c>
      <c r="G3983">
        <v>0</v>
      </c>
      <c r="H3983">
        <v>66</v>
      </c>
      <c r="I3983">
        <v>0</v>
      </c>
      <c r="J3983">
        <v>49.99</v>
      </c>
      <c r="K3983">
        <v>0</v>
      </c>
    </row>
    <row r="3984" spans="1:11" x14ac:dyDescent="0.2">
      <c r="B3984">
        <v>282068</v>
      </c>
      <c r="C3984" t="s">
        <v>7525</v>
      </c>
      <c r="D3984">
        <v>10</v>
      </c>
      <c r="E3984">
        <v>12</v>
      </c>
      <c r="F3984">
        <v>0</v>
      </c>
      <c r="G3984">
        <v>0</v>
      </c>
      <c r="H3984">
        <v>31</v>
      </c>
      <c r="I3984">
        <v>0</v>
      </c>
      <c r="J3984">
        <v>4.99</v>
      </c>
      <c r="K3984">
        <v>0</v>
      </c>
    </row>
    <row r="3985" spans="1:11" x14ac:dyDescent="0.2">
      <c r="A3985">
        <v>50324</v>
      </c>
      <c r="B3985">
        <v>282122</v>
      </c>
      <c r="C3985" t="s">
        <v>7526</v>
      </c>
      <c r="D3985">
        <v>10</v>
      </c>
      <c r="E3985">
        <v>4</v>
      </c>
      <c r="F3985">
        <v>0</v>
      </c>
      <c r="G3985">
        <v>0</v>
      </c>
      <c r="H3985">
        <v>100</v>
      </c>
      <c r="I3985">
        <v>0</v>
      </c>
      <c r="J3985">
        <v>16.989999999999998</v>
      </c>
      <c r="K3985">
        <v>0</v>
      </c>
    </row>
    <row r="3986" spans="1:11" x14ac:dyDescent="0.2">
      <c r="A3986">
        <v>35856</v>
      </c>
      <c r="B3986">
        <v>282146</v>
      </c>
      <c r="C3986" t="s">
        <v>7436</v>
      </c>
      <c r="D3986">
        <v>10</v>
      </c>
      <c r="E3986">
        <v>2</v>
      </c>
      <c r="F3986">
        <v>0</v>
      </c>
      <c r="G3986">
        <v>0</v>
      </c>
      <c r="H3986">
        <v>45</v>
      </c>
      <c r="I3986">
        <v>0</v>
      </c>
      <c r="J3986">
        <v>34.99</v>
      </c>
      <c r="K3986">
        <v>0</v>
      </c>
    </row>
    <row r="3987" spans="1:11" x14ac:dyDescent="0.2">
      <c r="A3987">
        <v>29803</v>
      </c>
      <c r="B3987">
        <v>282232</v>
      </c>
      <c r="C3987" t="s">
        <v>7527</v>
      </c>
      <c r="D3987">
        <v>10</v>
      </c>
      <c r="E3987">
        <v>2</v>
      </c>
      <c r="F3987">
        <v>0</v>
      </c>
      <c r="G3987">
        <v>0</v>
      </c>
      <c r="H3987">
        <v>35</v>
      </c>
      <c r="I3987">
        <v>0</v>
      </c>
      <c r="J3987">
        <v>59.99</v>
      </c>
      <c r="K3987">
        <v>0</v>
      </c>
    </row>
    <row r="3988" spans="1:11" x14ac:dyDescent="0.2">
      <c r="B3988">
        <v>282249</v>
      </c>
      <c r="C3988" t="s">
        <v>7528</v>
      </c>
      <c r="D3988">
        <v>10</v>
      </c>
      <c r="E3988">
        <v>12</v>
      </c>
      <c r="F3988">
        <v>0</v>
      </c>
      <c r="G3988">
        <v>0</v>
      </c>
      <c r="H3988">
        <v>100</v>
      </c>
      <c r="I3988">
        <v>0</v>
      </c>
      <c r="J3988">
        <v>6.99</v>
      </c>
      <c r="K3988">
        <v>0</v>
      </c>
    </row>
    <row r="3989" spans="1:11" x14ac:dyDescent="0.2">
      <c r="A3989">
        <v>29804</v>
      </c>
      <c r="B3989">
        <v>282254</v>
      </c>
      <c r="C3989" t="s">
        <v>7529</v>
      </c>
      <c r="D3989">
        <v>10</v>
      </c>
      <c r="E3989">
        <v>12</v>
      </c>
      <c r="F3989">
        <v>0</v>
      </c>
      <c r="G3989">
        <v>0</v>
      </c>
      <c r="H3989">
        <v>70</v>
      </c>
      <c r="I3989">
        <v>0</v>
      </c>
      <c r="J3989">
        <v>5.99</v>
      </c>
      <c r="K3989">
        <v>0</v>
      </c>
    </row>
    <row r="3990" spans="1:11" x14ac:dyDescent="0.2">
      <c r="A3990">
        <v>50325</v>
      </c>
      <c r="B3990">
        <v>282263</v>
      </c>
      <c r="C3990" t="s">
        <v>7530</v>
      </c>
      <c r="D3990">
        <v>10</v>
      </c>
      <c r="E3990">
        <v>6</v>
      </c>
      <c r="F3990">
        <v>0</v>
      </c>
      <c r="G3990">
        <v>0</v>
      </c>
      <c r="H3990">
        <v>154</v>
      </c>
      <c r="I3990">
        <v>0</v>
      </c>
      <c r="J3990">
        <v>12.99</v>
      </c>
      <c r="K3990">
        <v>0</v>
      </c>
    </row>
    <row r="3991" spans="1:11" x14ac:dyDescent="0.2">
      <c r="A3991">
        <v>38806</v>
      </c>
      <c r="B3991">
        <v>282267</v>
      </c>
      <c r="C3991" t="s">
        <v>7531</v>
      </c>
      <c r="D3991">
        <v>10</v>
      </c>
      <c r="E3991">
        <v>6</v>
      </c>
      <c r="F3991">
        <v>0</v>
      </c>
      <c r="G3991">
        <v>0</v>
      </c>
      <c r="H3991">
        <v>12</v>
      </c>
      <c r="I3991">
        <v>0</v>
      </c>
      <c r="J3991">
        <v>17.989999999999998</v>
      </c>
      <c r="K3991">
        <v>0</v>
      </c>
    </row>
    <row r="3992" spans="1:11" x14ac:dyDescent="0.2">
      <c r="A3992">
        <v>29805</v>
      </c>
      <c r="B3992">
        <v>282272</v>
      </c>
      <c r="C3992" t="s">
        <v>7532</v>
      </c>
      <c r="D3992">
        <v>10</v>
      </c>
      <c r="E3992">
        <v>16</v>
      </c>
      <c r="F3992">
        <v>0</v>
      </c>
      <c r="G3992">
        <v>0</v>
      </c>
      <c r="H3992">
        <v>24</v>
      </c>
      <c r="I3992">
        <v>0</v>
      </c>
      <c r="J3992">
        <v>4.99</v>
      </c>
      <c r="K3992">
        <v>0</v>
      </c>
    </row>
    <row r="3993" spans="1:11" x14ac:dyDescent="0.2">
      <c r="B3993">
        <v>282296</v>
      </c>
      <c r="C3993" t="s">
        <v>7533</v>
      </c>
      <c r="D3993">
        <v>12</v>
      </c>
      <c r="E3993">
        <v>15</v>
      </c>
      <c r="F3993">
        <v>0</v>
      </c>
      <c r="G3993">
        <v>0</v>
      </c>
      <c r="H3993">
        <v>42</v>
      </c>
      <c r="I3993">
        <v>0</v>
      </c>
      <c r="J3993">
        <v>5.99</v>
      </c>
      <c r="K3993">
        <v>0</v>
      </c>
    </row>
    <row r="3994" spans="1:11" x14ac:dyDescent="0.2">
      <c r="A3994">
        <v>35857</v>
      </c>
      <c r="B3994">
        <v>282298</v>
      </c>
      <c r="C3994" t="s">
        <v>7534</v>
      </c>
      <c r="D3994">
        <v>10</v>
      </c>
      <c r="E3994">
        <v>8</v>
      </c>
      <c r="F3994">
        <v>0</v>
      </c>
      <c r="G3994">
        <v>0</v>
      </c>
      <c r="H3994">
        <v>24</v>
      </c>
      <c r="I3994">
        <v>0</v>
      </c>
      <c r="J3994">
        <v>12.29</v>
      </c>
      <c r="K3994">
        <v>0</v>
      </c>
    </row>
    <row r="3995" spans="1:11" x14ac:dyDescent="0.2">
      <c r="A3995">
        <v>30800</v>
      </c>
      <c r="B3995">
        <v>282301</v>
      </c>
      <c r="C3995" t="s">
        <v>7535</v>
      </c>
      <c r="D3995">
        <v>10</v>
      </c>
      <c r="E3995">
        <v>2</v>
      </c>
      <c r="F3995">
        <v>0</v>
      </c>
      <c r="G3995">
        <v>0</v>
      </c>
      <c r="H3995">
        <v>48</v>
      </c>
      <c r="I3995">
        <v>0</v>
      </c>
      <c r="J3995">
        <v>24.99</v>
      </c>
      <c r="K3995">
        <v>0</v>
      </c>
    </row>
    <row r="3996" spans="1:11" x14ac:dyDescent="0.2">
      <c r="A3996">
        <v>46801</v>
      </c>
      <c r="B3996">
        <v>282310</v>
      </c>
      <c r="C3996" t="s">
        <v>7536</v>
      </c>
      <c r="D3996">
        <v>10</v>
      </c>
      <c r="E3996">
        <v>6</v>
      </c>
      <c r="F3996">
        <v>0</v>
      </c>
      <c r="G3996">
        <v>0</v>
      </c>
      <c r="H3996">
        <v>120</v>
      </c>
      <c r="I3996">
        <v>0</v>
      </c>
      <c r="J3996">
        <v>7.99</v>
      </c>
      <c r="K3996">
        <v>0</v>
      </c>
    </row>
    <row r="3997" spans="1:11" x14ac:dyDescent="0.2">
      <c r="A3997">
        <v>35858</v>
      </c>
      <c r="B3997">
        <v>282343</v>
      </c>
      <c r="C3997" t="s">
        <v>7537</v>
      </c>
      <c r="D3997">
        <v>10</v>
      </c>
      <c r="E3997">
        <v>4</v>
      </c>
      <c r="F3997">
        <v>0</v>
      </c>
      <c r="G3997">
        <v>0</v>
      </c>
      <c r="H3997">
        <v>15</v>
      </c>
      <c r="I3997">
        <v>0</v>
      </c>
      <c r="J3997">
        <v>23.99</v>
      </c>
      <c r="K3997">
        <v>0</v>
      </c>
    </row>
    <row r="3998" spans="1:11" x14ac:dyDescent="0.2">
      <c r="A3998">
        <v>35859</v>
      </c>
      <c r="B3998">
        <v>282348</v>
      </c>
      <c r="C3998" t="s">
        <v>7538</v>
      </c>
      <c r="D3998">
        <v>10</v>
      </c>
      <c r="E3998">
        <v>6</v>
      </c>
      <c r="F3998">
        <v>0</v>
      </c>
      <c r="G3998">
        <v>0</v>
      </c>
      <c r="H3998">
        <v>42</v>
      </c>
      <c r="I3998">
        <v>0</v>
      </c>
      <c r="J3998">
        <v>14.99</v>
      </c>
      <c r="K3998">
        <v>0</v>
      </c>
    </row>
    <row r="3999" spans="1:11" x14ac:dyDescent="0.2">
      <c r="A3999">
        <v>35860</v>
      </c>
      <c r="B3999">
        <v>282351</v>
      </c>
      <c r="C3999" t="s">
        <v>7539</v>
      </c>
      <c r="D3999">
        <v>10</v>
      </c>
      <c r="E3999">
        <v>2</v>
      </c>
      <c r="F3999">
        <v>0</v>
      </c>
      <c r="G3999">
        <v>0</v>
      </c>
      <c r="H3999">
        <v>28</v>
      </c>
      <c r="I3999">
        <v>0</v>
      </c>
      <c r="J3999">
        <v>74.989999999999995</v>
      </c>
      <c r="K3999">
        <v>0</v>
      </c>
    </row>
    <row r="4000" spans="1:11" x14ac:dyDescent="0.2">
      <c r="A4000">
        <v>38807</v>
      </c>
      <c r="B4000">
        <v>282353</v>
      </c>
      <c r="C4000" t="s">
        <v>7540</v>
      </c>
      <c r="D4000">
        <v>10</v>
      </c>
      <c r="E4000">
        <v>4</v>
      </c>
      <c r="F4000">
        <v>0</v>
      </c>
      <c r="G4000">
        <v>0</v>
      </c>
      <c r="H4000">
        <v>154</v>
      </c>
      <c r="I4000">
        <v>0</v>
      </c>
      <c r="J4000">
        <v>19.989999999999998</v>
      </c>
      <c r="K4000">
        <v>0</v>
      </c>
    </row>
    <row r="4001" spans="1:11" x14ac:dyDescent="0.2">
      <c r="A4001">
        <v>38808</v>
      </c>
      <c r="B4001">
        <v>282354</v>
      </c>
      <c r="C4001" t="s">
        <v>7541</v>
      </c>
      <c r="D4001">
        <v>10</v>
      </c>
      <c r="E4001">
        <v>8</v>
      </c>
      <c r="F4001">
        <v>0</v>
      </c>
      <c r="G4001">
        <v>0</v>
      </c>
      <c r="H4001">
        <v>16</v>
      </c>
      <c r="I4001">
        <v>0</v>
      </c>
      <c r="J4001">
        <v>9.99</v>
      </c>
      <c r="K4001">
        <v>0</v>
      </c>
    </row>
    <row r="4002" spans="1:11" x14ac:dyDescent="0.2">
      <c r="B4002">
        <v>282364</v>
      </c>
      <c r="C4002" t="s">
        <v>7542</v>
      </c>
      <c r="D4002">
        <v>12</v>
      </c>
      <c r="E4002">
        <v>2</v>
      </c>
      <c r="F4002">
        <v>0</v>
      </c>
      <c r="G4002">
        <v>0</v>
      </c>
      <c r="H4002">
        <v>126</v>
      </c>
      <c r="I4002">
        <v>0</v>
      </c>
      <c r="J4002">
        <v>54.99</v>
      </c>
      <c r="K4002">
        <v>0</v>
      </c>
    </row>
    <row r="4003" spans="1:11" x14ac:dyDescent="0.2">
      <c r="B4003">
        <v>282382</v>
      </c>
      <c r="C4003" t="s">
        <v>7543</v>
      </c>
      <c r="D4003">
        <v>12</v>
      </c>
      <c r="E4003">
        <v>1</v>
      </c>
      <c r="F4003">
        <v>0</v>
      </c>
      <c r="G4003">
        <v>0</v>
      </c>
      <c r="H4003">
        <v>44</v>
      </c>
      <c r="I4003">
        <v>0</v>
      </c>
      <c r="J4003">
        <v>28.99</v>
      </c>
      <c r="K4003">
        <v>0</v>
      </c>
    </row>
    <row r="4004" spans="1:11" x14ac:dyDescent="0.2">
      <c r="A4004">
        <v>28800</v>
      </c>
      <c r="B4004">
        <v>282402</v>
      </c>
      <c r="C4004" t="s">
        <v>7544</v>
      </c>
      <c r="D4004">
        <v>10</v>
      </c>
      <c r="E4004">
        <v>20</v>
      </c>
      <c r="F4004">
        <v>0</v>
      </c>
      <c r="G4004">
        <v>0</v>
      </c>
      <c r="H4004">
        <v>147</v>
      </c>
      <c r="I4004">
        <v>0</v>
      </c>
      <c r="J4004">
        <v>3.99</v>
      </c>
      <c r="K4004">
        <v>0</v>
      </c>
    </row>
    <row r="4005" spans="1:11" x14ac:dyDescent="0.2">
      <c r="A4005">
        <v>41403</v>
      </c>
      <c r="B4005">
        <v>282403</v>
      </c>
      <c r="C4005" t="s">
        <v>7545</v>
      </c>
      <c r="D4005">
        <v>10</v>
      </c>
      <c r="E4005">
        <v>4</v>
      </c>
      <c r="F4005">
        <v>0</v>
      </c>
      <c r="G4005">
        <v>0</v>
      </c>
      <c r="H4005">
        <v>100</v>
      </c>
      <c r="I4005">
        <v>0</v>
      </c>
      <c r="J4005">
        <v>24.99</v>
      </c>
      <c r="K4005">
        <v>0</v>
      </c>
    </row>
    <row r="4006" spans="1:11" x14ac:dyDescent="0.2">
      <c r="B4006">
        <v>282404</v>
      </c>
      <c r="C4006" t="s">
        <v>7546</v>
      </c>
      <c r="D4006">
        <v>12</v>
      </c>
      <c r="E4006">
        <v>15</v>
      </c>
      <c r="F4006">
        <v>0</v>
      </c>
      <c r="G4006">
        <v>0</v>
      </c>
      <c r="H4006">
        <v>100</v>
      </c>
      <c r="I4006">
        <v>0</v>
      </c>
      <c r="J4006">
        <v>3.99</v>
      </c>
      <c r="K4006">
        <v>0</v>
      </c>
    </row>
    <row r="4007" spans="1:11" x14ac:dyDescent="0.2">
      <c r="A4007">
        <v>28801</v>
      </c>
      <c r="B4007">
        <v>282414</v>
      </c>
      <c r="C4007" t="s">
        <v>7547</v>
      </c>
      <c r="D4007">
        <v>10</v>
      </c>
      <c r="E4007">
        <v>6</v>
      </c>
      <c r="F4007">
        <v>0</v>
      </c>
      <c r="G4007">
        <v>0</v>
      </c>
      <c r="H4007">
        <v>25</v>
      </c>
      <c r="I4007">
        <v>0</v>
      </c>
      <c r="J4007">
        <v>9.99</v>
      </c>
      <c r="K4007">
        <v>0</v>
      </c>
    </row>
    <row r="4008" spans="1:11" x14ac:dyDescent="0.2">
      <c r="A4008">
        <v>28802</v>
      </c>
      <c r="B4008">
        <v>282419</v>
      </c>
      <c r="C4008" t="s">
        <v>7548</v>
      </c>
      <c r="D4008">
        <v>10</v>
      </c>
      <c r="E4008">
        <v>8</v>
      </c>
      <c r="F4008">
        <v>0</v>
      </c>
      <c r="G4008">
        <v>0</v>
      </c>
      <c r="H4008">
        <v>100</v>
      </c>
      <c r="I4008">
        <v>0</v>
      </c>
      <c r="J4008">
        <v>4.99</v>
      </c>
      <c r="K4008">
        <v>0</v>
      </c>
    </row>
    <row r="4009" spans="1:11" x14ac:dyDescent="0.2">
      <c r="A4009">
        <v>30801</v>
      </c>
      <c r="B4009">
        <v>282433</v>
      </c>
      <c r="C4009" t="s">
        <v>7549</v>
      </c>
      <c r="D4009">
        <v>10</v>
      </c>
      <c r="E4009">
        <v>3</v>
      </c>
      <c r="F4009">
        <v>0</v>
      </c>
      <c r="G4009">
        <v>0</v>
      </c>
      <c r="H4009">
        <v>6</v>
      </c>
      <c r="I4009">
        <v>0</v>
      </c>
      <c r="J4009">
        <v>44.99</v>
      </c>
      <c r="K4009">
        <v>0</v>
      </c>
    </row>
    <row r="4010" spans="1:11" x14ac:dyDescent="0.2">
      <c r="A4010">
        <v>29925</v>
      </c>
      <c r="B4010">
        <v>282439</v>
      </c>
      <c r="C4010" t="s">
        <v>7550</v>
      </c>
      <c r="D4010">
        <v>10</v>
      </c>
      <c r="E4010">
        <v>10</v>
      </c>
      <c r="F4010">
        <v>0</v>
      </c>
      <c r="G4010">
        <v>0</v>
      </c>
      <c r="H4010">
        <v>72</v>
      </c>
      <c r="I4010">
        <v>0</v>
      </c>
      <c r="J4010">
        <v>1</v>
      </c>
      <c r="K4010">
        <v>0</v>
      </c>
    </row>
    <row r="4011" spans="1:11" x14ac:dyDescent="0.2">
      <c r="B4011">
        <v>282444</v>
      </c>
      <c r="C4011" t="s">
        <v>7485</v>
      </c>
      <c r="D4011">
        <v>11</v>
      </c>
      <c r="E4011">
        <v>4</v>
      </c>
      <c r="F4011">
        <v>0</v>
      </c>
      <c r="G4011">
        <v>0</v>
      </c>
      <c r="H4011">
        <v>48</v>
      </c>
      <c r="I4011">
        <v>0</v>
      </c>
      <c r="J4011">
        <v>31.99</v>
      </c>
      <c r="K4011">
        <v>0</v>
      </c>
    </row>
    <row r="4012" spans="1:11" x14ac:dyDescent="0.2">
      <c r="A4012">
        <v>29806</v>
      </c>
      <c r="B4012">
        <v>282445</v>
      </c>
      <c r="C4012" t="s">
        <v>7551</v>
      </c>
      <c r="D4012">
        <v>10</v>
      </c>
      <c r="E4012">
        <v>8</v>
      </c>
      <c r="F4012">
        <v>0</v>
      </c>
      <c r="G4012">
        <v>0</v>
      </c>
      <c r="H4012">
        <v>30</v>
      </c>
      <c r="I4012">
        <v>0</v>
      </c>
      <c r="J4012">
        <v>11.99</v>
      </c>
      <c r="K4012">
        <v>0</v>
      </c>
    </row>
    <row r="4013" spans="1:11" x14ac:dyDescent="0.2">
      <c r="A4013">
        <v>41374</v>
      </c>
      <c r="B4013">
        <v>282451</v>
      </c>
      <c r="C4013" t="s">
        <v>7552</v>
      </c>
      <c r="D4013">
        <v>10</v>
      </c>
      <c r="E4013">
        <v>6</v>
      </c>
      <c r="F4013">
        <v>0</v>
      </c>
      <c r="G4013">
        <v>0</v>
      </c>
      <c r="H4013">
        <v>15</v>
      </c>
      <c r="I4013">
        <v>0</v>
      </c>
      <c r="J4013">
        <v>11.99</v>
      </c>
      <c r="K4013">
        <v>0</v>
      </c>
    </row>
    <row r="4014" spans="1:11" x14ac:dyDescent="0.2">
      <c r="B4014">
        <v>282465</v>
      </c>
      <c r="C4014" t="s">
        <v>7553</v>
      </c>
      <c r="D4014">
        <v>10</v>
      </c>
      <c r="E4014">
        <v>4</v>
      </c>
      <c r="F4014">
        <v>0</v>
      </c>
      <c r="G4014">
        <v>0</v>
      </c>
      <c r="H4014">
        <v>72</v>
      </c>
      <c r="I4014">
        <v>0</v>
      </c>
      <c r="J4014">
        <v>4.99</v>
      </c>
      <c r="K4014">
        <v>0</v>
      </c>
    </row>
    <row r="4015" spans="1:11" x14ac:dyDescent="0.2">
      <c r="A4015">
        <v>50321</v>
      </c>
      <c r="B4015">
        <v>282491</v>
      </c>
      <c r="C4015" t="s">
        <v>7554</v>
      </c>
      <c r="D4015">
        <v>10</v>
      </c>
      <c r="E4015">
        <v>4</v>
      </c>
      <c r="F4015">
        <v>0</v>
      </c>
      <c r="G4015">
        <v>0</v>
      </c>
      <c r="H4015">
        <v>45</v>
      </c>
      <c r="I4015">
        <v>0</v>
      </c>
      <c r="J4015">
        <v>22.99</v>
      </c>
      <c r="K4015">
        <v>0</v>
      </c>
    </row>
    <row r="4016" spans="1:11" x14ac:dyDescent="0.2">
      <c r="B4016">
        <v>282534</v>
      </c>
      <c r="C4016" t="s">
        <v>7555</v>
      </c>
      <c r="D4016">
        <v>12</v>
      </c>
      <c r="E4016">
        <v>4</v>
      </c>
      <c r="F4016">
        <v>0</v>
      </c>
      <c r="G4016">
        <v>0</v>
      </c>
      <c r="H4016">
        <v>75</v>
      </c>
      <c r="I4016">
        <v>0</v>
      </c>
      <c r="J4016">
        <v>12.99</v>
      </c>
      <c r="K4016">
        <v>0</v>
      </c>
    </row>
    <row r="4017" spans="1:11" x14ac:dyDescent="0.2">
      <c r="B4017">
        <v>282614</v>
      </c>
      <c r="C4017" t="s">
        <v>7556</v>
      </c>
      <c r="D4017">
        <v>11</v>
      </c>
      <c r="E4017">
        <v>12</v>
      </c>
      <c r="F4017">
        <v>0</v>
      </c>
      <c r="G4017">
        <v>0</v>
      </c>
      <c r="H4017">
        <v>72</v>
      </c>
      <c r="I4017">
        <v>0</v>
      </c>
      <c r="J4017">
        <v>2.4900000000000002</v>
      </c>
      <c r="K4017">
        <v>0</v>
      </c>
    </row>
    <row r="4018" spans="1:11" x14ac:dyDescent="0.2">
      <c r="B4018">
        <v>282635</v>
      </c>
      <c r="C4018" t="s">
        <v>7557</v>
      </c>
      <c r="D4018">
        <v>12</v>
      </c>
      <c r="E4018">
        <v>10</v>
      </c>
      <c r="F4018">
        <v>0</v>
      </c>
      <c r="G4018">
        <v>0</v>
      </c>
      <c r="H4018">
        <v>182</v>
      </c>
      <c r="I4018">
        <v>0</v>
      </c>
      <c r="J4018">
        <v>7.99</v>
      </c>
      <c r="K4018">
        <v>0</v>
      </c>
    </row>
    <row r="4019" spans="1:11" x14ac:dyDescent="0.2">
      <c r="A4019">
        <v>50327</v>
      </c>
      <c r="B4019">
        <v>282646</v>
      </c>
      <c r="C4019" t="s">
        <v>7558</v>
      </c>
      <c r="D4019">
        <v>10</v>
      </c>
      <c r="E4019">
        <v>6</v>
      </c>
      <c r="F4019">
        <v>0</v>
      </c>
      <c r="G4019">
        <v>0</v>
      </c>
      <c r="H4019">
        <v>72</v>
      </c>
      <c r="I4019">
        <v>0</v>
      </c>
      <c r="J4019">
        <v>17.989999999999998</v>
      </c>
      <c r="K4019">
        <v>0</v>
      </c>
    </row>
    <row r="4020" spans="1:11" x14ac:dyDescent="0.2">
      <c r="B4020">
        <v>282647</v>
      </c>
      <c r="C4020" t="s">
        <v>7559</v>
      </c>
      <c r="D4020">
        <v>12</v>
      </c>
      <c r="E4020">
        <v>6</v>
      </c>
      <c r="F4020">
        <v>0</v>
      </c>
      <c r="G4020">
        <v>0</v>
      </c>
      <c r="H4020">
        <v>15</v>
      </c>
      <c r="I4020">
        <v>0</v>
      </c>
      <c r="J4020">
        <v>9.99</v>
      </c>
      <c r="K4020">
        <v>0</v>
      </c>
    </row>
    <row r="4021" spans="1:11" x14ac:dyDescent="0.2">
      <c r="B4021">
        <v>282650</v>
      </c>
      <c r="C4021" t="s">
        <v>7560</v>
      </c>
      <c r="D4021">
        <v>12</v>
      </c>
      <c r="E4021">
        <v>6</v>
      </c>
      <c r="F4021">
        <v>0</v>
      </c>
      <c r="G4021">
        <v>0</v>
      </c>
      <c r="H4021">
        <v>120</v>
      </c>
      <c r="I4021">
        <v>0</v>
      </c>
      <c r="J4021">
        <v>16.989999999999998</v>
      </c>
      <c r="K4021">
        <v>0</v>
      </c>
    </row>
    <row r="4022" spans="1:11" x14ac:dyDescent="0.2">
      <c r="B4022">
        <v>282681</v>
      </c>
      <c r="C4022" t="s">
        <v>7557</v>
      </c>
      <c r="D4022">
        <v>12</v>
      </c>
      <c r="E4022">
        <v>10</v>
      </c>
      <c r="F4022">
        <v>0</v>
      </c>
      <c r="G4022">
        <v>0</v>
      </c>
      <c r="H4022">
        <v>184</v>
      </c>
      <c r="I4022">
        <v>0</v>
      </c>
      <c r="J4022">
        <v>8.99</v>
      </c>
      <c r="K4022">
        <v>0</v>
      </c>
    </row>
    <row r="4023" spans="1:11" x14ac:dyDescent="0.2">
      <c r="B4023">
        <v>282709</v>
      </c>
      <c r="C4023" t="s">
        <v>7561</v>
      </c>
      <c r="D4023">
        <v>11</v>
      </c>
      <c r="E4023">
        <v>8</v>
      </c>
      <c r="F4023">
        <v>0</v>
      </c>
      <c r="G4023">
        <v>0</v>
      </c>
      <c r="H4023">
        <v>108</v>
      </c>
      <c r="I4023">
        <v>0</v>
      </c>
      <c r="J4023">
        <v>6.99</v>
      </c>
      <c r="K4023">
        <v>0</v>
      </c>
    </row>
    <row r="4024" spans="1:11" x14ac:dyDescent="0.2">
      <c r="A4024">
        <v>50328</v>
      </c>
      <c r="B4024">
        <v>282719</v>
      </c>
      <c r="C4024" t="s">
        <v>7562</v>
      </c>
      <c r="D4024">
        <v>10</v>
      </c>
      <c r="E4024">
        <v>15</v>
      </c>
      <c r="F4024">
        <v>0</v>
      </c>
      <c r="G4024">
        <v>0</v>
      </c>
      <c r="H4024">
        <v>10</v>
      </c>
      <c r="I4024">
        <v>0</v>
      </c>
      <c r="J4024">
        <v>7.99</v>
      </c>
      <c r="K4024">
        <v>0</v>
      </c>
    </row>
    <row r="4025" spans="1:11" x14ac:dyDescent="0.2">
      <c r="A4025">
        <v>50322</v>
      </c>
      <c r="B4025">
        <v>282731</v>
      </c>
      <c r="C4025" t="s">
        <v>7563</v>
      </c>
      <c r="D4025">
        <v>10</v>
      </c>
      <c r="E4025">
        <v>2</v>
      </c>
      <c r="F4025">
        <v>0</v>
      </c>
      <c r="G4025">
        <v>0</v>
      </c>
      <c r="H4025">
        <v>65</v>
      </c>
      <c r="I4025">
        <v>0</v>
      </c>
      <c r="J4025">
        <v>34.99</v>
      </c>
      <c r="K4025">
        <v>0</v>
      </c>
    </row>
    <row r="4026" spans="1:11" x14ac:dyDescent="0.2">
      <c r="B4026">
        <v>282826</v>
      </c>
      <c r="C4026" t="s">
        <v>7564</v>
      </c>
      <c r="D4026">
        <v>11</v>
      </c>
      <c r="E4026">
        <v>30</v>
      </c>
      <c r="F4026">
        <v>0</v>
      </c>
      <c r="G4026">
        <v>0</v>
      </c>
      <c r="H4026">
        <v>100</v>
      </c>
      <c r="I4026">
        <v>0</v>
      </c>
      <c r="J4026">
        <v>2.4900000000000002</v>
      </c>
      <c r="K4026">
        <v>0</v>
      </c>
    </row>
    <row r="4027" spans="1:11" x14ac:dyDescent="0.2">
      <c r="B4027">
        <v>282900</v>
      </c>
      <c r="C4027" t="s">
        <v>7565</v>
      </c>
      <c r="D4027">
        <v>12</v>
      </c>
      <c r="E4027">
        <v>14</v>
      </c>
      <c r="F4027">
        <v>0</v>
      </c>
      <c r="G4027">
        <v>0</v>
      </c>
      <c r="H4027">
        <v>100</v>
      </c>
      <c r="I4027">
        <v>0</v>
      </c>
      <c r="J4027">
        <v>1</v>
      </c>
      <c r="K4027">
        <v>0</v>
      </c>
    </row>
    <row r="4028" spans="1:11" x14ac:dyDescent="0.2">
      <c r="A4028">
        <v>29941</v>
      </c>
      <c r="B4028">
        <v>282948</v>
      </c>
      <c r="C4028" t="s">
        <v>7566</v>
      </c>
      <c r="D4028">
        <v>10</v>
      </c>
      <c r="E4028">
        <v>12</v>
      </c>
      <c r="F4028">
        <v>0</v>
      </c>
      <c r="G4028">
        <v>0</v>
      </c>
      <c r="H4028">
        <v>88</v>
      </c>
      <c r="I4028">
        <v>0</v>
      </c>
      <c r="J4028">
        <v>1</v>
      </c>
      <c r="K4028">
        <v>0</v>
      </c>
    </row>
    <row r="4029" spans="1:11" x14ac:dyDescent="0.2">
      <c r="A4029">
        <v>51801</v>
      </c>
      <c r="B4029">
        <v>283000</v>
      </c>
      <c r="C4029" t="s">
        <v>7567</v>
      </c>
      <c r="D4029">
        <v>10</v>
      </c>
      <c r="E4029">
        <v>4</v>
      </c>
      <c r="F4029">
        <v>1</v>
      </c>
      <c r="G4029">
        <v>2</v>
      </c>
      <c r="H4029">
        <v>20</v>
      </c>
      <c r="I4029">
        <v>0</v>
      </c>
      <c r="J4029">
        <v>16.989999999999998</v>
      </c>
      <c r="K4029">
        <v>33.979999999999997</v>
      </c>
    </row>
    <row r="4030" spans="1:11" x14ac:dyDescent="0.2">
      <c r="A4030">
        <v>41801</v>
      </c>
      <c r="B4030">
        <v>283004</v>
      </c>
      <c r="C4030" t="s">
        <v>7568</v>
      </c>
      <c r="D4030">
        <v>10</v>
      </c>
      <c r="E4030">
        <v>4</v>
      </c>
      <c r="F4030">
        <v>0</v>
      </c>
      <c r="G4030">
        <v>0</v>
      </c>
      <c r="H4030">
        <v>36</v>
      </c>
      <c r="I4030">
        <v>0</v>
      </c>
      <c r="J4030">
        <v>19.989999999999998</v>
      </c>
      <c r="K4030">
        <v>0</v>
      </c>
    </row>
    <row r="4031" spans="1:11" x14ac:dyDescent="0.2">
      <c r="A4031">
        <v>50330</v>
      </c>
      <c r="B4031">
        <v>283016</v>
      </c>
      <c r="C4031" t="s">
        <v>7569</v>
      </c>
      <c r="D4031">
        <v>10</v>
      </c>
      <c r="E4031">
        <v>4</v>
      </c>
      <c r="F4031">
        <v>0</v>
      </c>
      <c r="G4031">
        <v>0</v>
      </c>
      <c r="H4031">
        <v>12</v>
      </c>
      <c r="I4031">
        <v>0</v>
      </c>
      <c r="J4031">
        <v>34.99</v>
      </c>
      <c r="K4031">
        <v>0</v>
      </c>
    </row>
    <row r="4032" spans="1:11" x14ac:dyDescent="0.2">
      <c r="A4032">
        <v>35865</v>
      </c>
      <c r="B4032">
        <v>283021</v>
      </c>
      <c r="C4032" t="s">
        <v>7570</v>
      </c>
      <c r="D4032">
        <v>10</v>
      </c>
      <c r="E4032">
        <v>4</v>
      </c>
      <c r="F4032">
        <v>0</v>
      </c>
      <c r="G4032">
        <v>0</v>
      </c>
      <c r="H4032">
        <v>18</v>
      </c>
      <c r="I4032">
        <v>0</v>
      </c>
      <c r="J4032">
        <v>19.989999999999998</v>
      </c>
      <c r="K4032">
        <v>0</v>
      </c>
    </row>
    <row r="4033" spans="1:11" x14ac:dyDescent="0.2">
      <c r="A4033">
        <v>28803</v>
      </c>
      <c r="B4033">
        <v>283029</v>
      </c>
      <c r="C4033" t="s">
        <v>7571</v>
      </c>
      <c r="D4033">
        <v>10</v>
      </c>
      <c r="E4033">
        <v>1</v>
      </c>
      <c r="F4033">
        <v>0</v>
      </c>
      <c r="G4033">
        <v>0</v>
      </c>
      <c r="H4033">
        <v>55</v>
      </c>
      <c r="I4033">
        <v>0</v>
      </c>
      <c r="J4033">
        <v>37.99</v>
      </c>
      <c r="K4033">
        <v>0</v>
      </c>
    </row>
    <row r="4034" spans="1:11" x14ac:dyDescent="0.2">
      <c r="A4034">
        <v>35866</v>
      </c>
      <c r="B4034">
        <v>283030</v>
      </c>
      <c r="C4034" t="s">
        <v>7572</v>
      </c>
      <c r="D4034">
        <v>10</v>
      </c>
      <c r="E4034">
        <v>6</v>
      </c>
      <c r="F4034">
        <v>0</v>
      </c>
      <c r="G4034">
        <v>0</v>
      </c>
      <c r="H4034">
        <v>99</v>
      </c>
      <c r="I4034">
        <v>0</v>
      </c>
      <c r="J4034">
        <v>19.989999999999998</v>
      </c>
      <c r="K4034">
        <v>0</v>
      </c>
    </row>
    <row r="4035" spans="1:11" x14ac:dyDescent="0.2">
      <c r="A4035">
        <v>40879</v>
      </c>
      <c r="B4035">
        <v>283139</v>
      </c>
      <c r="C4035" t="s">
        <v>7573</v>
      </c>
      <c r="D4035">
        <v>6</v>
      </c>
      <c r="E4035">
        <v>50</v>
      </c>
      <c r="F4035">
        <v>0</v>
      </c>
      <c r="G4035">
        <v>0</v>
      </c>
      <c r="H4035">
        <v>100</v>
      </c>
      <c r="I4035">
        <v>0</v>
      </c>
      <c r="J4035">
        <v>1</v>
      </c>
      <c r="K4035">
        <v>0</v>
      </c>
    </row>
    <row r="4036" spans="1:11" x14ac:dyDescent="0.2">
      <c r="A4036">
        <v>29942</v>
      </c>
      <c r="B4036">
        <v>283202</v>
      </c>
      <c r="C4036" t="s">
        <v>7574</v>
      </c>
      <c r="D4036">
        <v>10</v>
      </c>
      <c r="E4036">
        <v>12</v>
      </c>
      <c r="F4036">
        <v>0</v>
      </c>
      <c r="G4036">
        <v>0</v>
      </c>
      <c r="H4036">
        <v>133</v>
      </c>
      <c r="I4036">
        <v>0</v>
      </c>
      <c r="J4036">
        <v>1</v>
      </c>
      <c r="K4036">
        <v>0</v>
      </c>
    </row>
    <row r="4037" spans="1:11" x14ac:dyDescent="0.2">
      <c r="A4037">
        <v>32922</v>
      </c>
      <c r="B4037">
        <v>283249</v>
      </c>
      <c r="C4037" t="s">
        <v>7575</v>
      </c>
      <c r="D4037">
        <v>10</v>
      </c>
      <c r="E4037">
        <v>12</v>
      </c>
      <c r="F4037">
        <v>0</v>
      </c>
      <c r="G4037">
        <v>0</v>
      </c>
      <c r="H4037">
        <v>100</v>
      </c>
      <c r="I4037">
        <v>0</v>
      </c>
      <c r="J4037">
        <v>1</v>
      </c>
      <c r="K4037">
        <v>0</v>
      </c>
    </row>
    <row r="4038" spans="1:11" x14ac:dyDescent="0.2">
      <c r="A4038">
        <v>29808</v>
      </c>
      <c r="B4038">
        <v>283316</v>
      </c>
      <c r="C4038" t="s">
        <v>7576</v>
      </c>
      <c r="D4038">
        <v>10</v>
      </c>
      <c r="E4038">
        <v>4</v>
      </c>
      <c r="F4038">
        <v>0</v>
      </c>
      <c r="G4038">
        <v>0</v>
      </c>
      <c r="H4038">
        <v>108</v>
      </c>
      <c r="I4038">
        <v>0</v>
      </c>
      <c r="J4038">
        <v>9.99</v>
      </c>
      <c r="K4038">
        <v>0</v>
      </c>
    </row>
    <row r="4039" spans="1:11" x14ac:dyDescent="0.2">
      <c r="A4039">
        <v>38812</v>
      </c>
      <c r="B4039">
        <v>283320</v>
      </c>
      <c r="C4039" t="s">
        <v>7577</v>
      </c>
      <c r="D4039">
        <v>10</v>
      </c>
      <c r="E4039">
        <v>9</v>
      </c>
      <c r="F4039">
        <v>0</v>
      </c>
      <c r="G4039">
        <v>0</v>
      </c>
      <c r="H4039">
        <v>24</v>
      </c>
      <c r="I4039">
        <v>0</v>
      </c>
      <c r="J4039">
        <v>6.99</v>
      </c>
      <c r="K4039">
        <v>0</v>
      </c>
    </row>
    <row r="4040" spans="1:11" x14ac:dyDescent="0.2">
      <c r="B4040">
        <v>283394</v>
      </c>
      <c r="C4040" t="s">
        <v>7578</v>
      </c>
      <c r="D4040">
        <v>12</v>
      </c>
      <c r="E4040">
        <v>6</v>
      </c>
      <c r="F4040">
        <v>0</v>
      </c>
      <c r="G4040">
        <v>0</v>
      </c>
      <c r="H4040">
        <v>144</v>
      </c>
      <c r="I4040">
        <v>0</v>
      </c>
      <c r="J4040">
        <v>7.99</v>
      </c>
      <c r="K4040">
        <v>0</v>
      </c>
    </row>
    <row r="4041" spans="1:11" x14ac:dyDescent="0.2">
      <c r="A4041">
        <v>35867</v>
      </c>
      <c r="B4041">
        <v>283434</v>
      </c>
      <c r="C4041" t="s">
        <v>7579</v>
      </c>
      <c r="D4041">
        <v>10</v>
      </c>
      <c r="E4041">
        <v>6</v>
      </c>
      <c r="F4041">
        <v>0</v>
      </c>
      <c r="G4041">
        <v>0</v>
      </c>
      <c r="H4041">
        <v>40</v>
      </c>
      <c r="I4041">
        <v>0</v>
      </c>
      <c r="J4041">
        <v>9.99</v>
      </c>
      <c r="K4041">
        <v>0</v>
      </c>
    </row>
    <row r="4042" spans="1:11" x14ac:dyDescent="0.2">
      <c r="A4042">
        <v>33800</v>
      </c>
      <c r="B4042">
        <v>283490</v>
      </c>
      <c r="C4042" t="s">
        <v>7580</v>
      </c>
      <c r="D4042">
        <v>10</v>
      </c>
      <c r="E4042">
        <v>10</v>
      </c>
      <c r="F4042">
        <v>0</v>
      </c>
      <c r="G4042">
        <v>0</v>
      </c>
      <c r="H4042">
        <v>100</v>
      </c>
      <c r="I4042">
        <v>0</v>
      </c>
      <c r="J4042">
        <v>6.99</v>
      </c>
      <c r="K4042">
        <v>0</v>
      </c>
    </row>
    <row r="4043" spans="1:11" x14ac:dyDescent="0.2">
      <c r="B4043">
        <v>283506</v>
      </c>
      <c r="C4043" t="s">
        <v>7581</v>
      </c>
      <c r="D4043">
        <v>11</v>
      </c>
      <c r="E4043">
        <v>22</v>
      </c>
      <c r="F4043">
        <v>0</v>
      </c>
      <c r="G4043">
        <v>0</v>
      </c>
      <c r="H4043">
        <v>30</v>
      </c>
      <c r="I4043">
        <v>0</v>
      </c>
      <c r="J4043">
        <v>1.99</v>
      </c>
      <c r="K4043">
        <v>0</v>
      </c>
    </row>
    <row r="4044" spans="1:11" x14ac:dyDescent="0.2">
      <c r="A4044">
        <v>32936</v>
      </c>
      <c r="B4044">
        <v>283543</v>
      </c>
      <c r="C4044" t="s">
        <v>7582</v>
      </c>
      <c r="D4044">
        <v>10</v>
      </c>
      <c r="E4044">
        <v>20</v>
      </c>
      <c r="F4044">
        <v>0</v>
      </c>
      <c r="G4044">
        <v>0</v>
      </c>
      <c r="H4044">
        <v>16</v>
      </c>
      <c r="I4044">
        <v>0</v>
      </c>
      <c r="J4044">
        <v>1</v>
      </c>
      <c r="K4044">
        <v>0</v>
      </c>
    </row>
    <row r="4045" spans="1:11" x14ac:dyDescent="0.2">
      <c r="B4045">
        <v>283545</v>
      </c>
      <c r="C4045" t="s">
        <v>7583</v>
      </c>
      <c r="D4045">
        <v>12</v>
      </c>
      <c r="E4045">
        <v>14</v>
      </c>
      <c r="F4045">
        <v>0</v>
      </c>
      <c r="G4045">
        <v>0</v>
      </c>
      <c r="H4045">
        <v>16</v>
      </c>
      <c r="I4045">
        <v>0</v>
      </c>
      <c r="J4045">
        <v>7.99</v>
      </c>
      <c r="K4045">
        <v>0</v>
      </c>
    </row>
    <row r="4046" spans="1:11" x14ac:dyDescent="0.2">
      <c r="B4046">
        <v>283582</v>
      </c>
      <c r="C4046" t="s">
        <v>7584</v>
      </c>
      <c r="D4046">
        <v>11</v>
      </c>
      <c r="E4046">
        <v>8</v>
      </c>
      <c r="F4046">
        <v>0</v>
      </c>
      <c r="G4046">
        <v>0</v>
      </c>
      <c r="H4046">
        <v>77</v>
      </c>
      <c r="I4046">
        <v>0</v>
      </c>
      <c r="J4046">
        <v>21.99</v>
      </c>
      <c r="K4046">
        <v>0</v>
      </c>
    </row>
    <row r="4047" spans="1:11" x14ac:dyDescent="0.2">
      <c r="B4047">
        <v>283614</v>
      </c>
      <c r="C4047" t="s">
        <v>7585</v>
      </c>
      <c r="D4047">
        <v>12</v>
      </c>
      <c r="E4047">
        <v>4</v>
      </c>
      <c r="F4047">
        <v>0</v>
      </c>
      <c r="G4047">
        <v>0</v>
      </c>
      <c r="H4047">
        <v>20</v>
      </c>
      <c r="I4047">
        <v>0</v>
      </c>
      <c r="J4047">
        <v>16.989999999999998</v>
      </c>
      <c r="K4047">
        <v>0</v>
      </c>
    </row>
    <row r="4048" spans="1:11" x14ac:dyDescent="0.2">
      <c r="B4048">
        <v>283617</v>
      </c>
      <c r="C4048" t="s">
        <v>7586</v>
      </c>
      <c r="D4048">
        <v>12</v>
      </c>
      <c r="E4048">
        <v>10</v>
      </c>
      <c r="F4048">
        <v>0</v>
      </c>
      <c r="G4048">
        <v>0</v>
      </c>
      <c r="H4048">
        <v>77</v>
      </c>
      <c r="I4048">
        <v>0</v>
      </c>
      <c r="J4048">
        <v>4.99</v>
      </c>
      <c r="K4048">
        <v>0</v>
      </c>
    </row>
    <row r="4049" spans="1:11" x14ac:dyDescent="0.2">
      <c r="A4049">
        <v>52050</v>
      </c>
      <c r="B4049">
        <v>283648</v>
      </c>
      <c r="C4049" t="s">
        <v>7587</v>
      </c>
      <c r="D4049">
        <v>10</v>
      </c>
      <c r="E4049">
        <v>6</v>
      </c>
      <c r="F4049">
        <v>80</v>
      </c>
      <c r="G4049">
        <v>480</v>
      </c>
      <c r="H4049">
        <v>100</v>
      </c>
      <c r="I4049">
        <v>0.8</v>
      </c>
      <c r="J4049">
        <v>14.99</v>
      </c>
      <c r="K4049">
        <v>7195.2</v>
      </c>
    </row>
    <row r="4050" spans="1:11" x14ac:dyDescent="0.2">
      <c r="A4050">
        <v>50323</v>
      </c>
      <c r="B4050">
        <v>283649</v>
      </c>
      <c r="C4050" t="s">
        <v>7588</v>
      </c>
      <c r="D4050">
        <v>10</v>
      </c>
      <c r="E4050">
        <v>4</v>
      </c>
      <c r="F4050">
        <v>0</v>
      </c>
      <c r="G4050">
        <v>0</v>
      </c>
      <c r="H4050">
        <v>100</v>
      </c>
      <c r="I4050">
        <v>0</v>
      </c>
      <c r="J4050">
        <v>19.989999999999998</v>
      </c>
      <c r="K4050">
        <v>0</v>
      </c>
    </row>
    <row r="4051" spans="1:11" x14ac:dyDescent="0.2">
      <c r="B4051">
        <v>283679</v>
      </c>
      <c r="C4051" t="s">
        <v>7589</v>
      </c>
      <c r="D4051">
        <v>12</v>
      </c>
      <c r="E4051">
        <v>15</v>
      </c>
      <c r="F4051">
        <v>0</v>
      </c>
      <c r="G4051">
        <v>0</v>
      </c>
      <c r="H4051">
        <v>36</v>
      </c>
      <c r="I4051">
        <v>0</v>
      </c>
      <c r="J4051">
        <v>3.99</v>
      </c>
      <c r="K4051">
        <v>0</v>
      </c>
    </row>
    <row r="4052" spans="1:11" x14ac:dyDescent="0.2">
      <c r="A4052">
        <v>50326</v>
      </c>
      <c r="B4052">
        <v>283688</v>
      </c>
      <c r="C4052" t="s">
        <v>7590</v>
      </c>
      <c r="D4052">
        <v>10</v>
      </c>
      <c r="E4052">
        <v>24</v>
      </c>
      <c r="F4052">
        <v>0</v>
      </c>
      <c r="G4052">
        <v>0</v>
      </c>
      <c r="H4052">
        <v>8</v>
      </c>
      <c r="I4052">
        <v>0</v>
      </c>
      <c r="J4052">
        <v>6.99</v>
      </c>
      <c r="K4052">
        <v>0</v>
      </c>
    </row>
    <row r="4053" spans="1:11" x14ac:dyDescent="0.2">
      <c r="A4053">
        <v>33801</v>
      </c>
      <c r="B4053">
        <v>283695</v>
      </c>
      <c r="C4053" t="s">
        <v>7591</v>
      </c>
      <c r="D4053">
        <v>10</v>
      </c>
      <c r="E4053">
        <v>6</v>
      </c>
      <c r="F4053">
        <v>0</v>
      </c>
      <c r="G4053">
        <v>0</v>
      </c>
      <c r="H4053">
        <v>20</v>
      </c>
      <c r="I4053">
        <v>0</v>
      </c>
      <c r="J4053">
        <v>15.99</v>
      </c>
      <c r="K4053">
        <v>0</v>
      </c>
    </row>
    <row r="4054" spans="1:11" x14ac:dyDescent="0.2">
      <c r="A4054">
        <v>42402</v>
      </c>
      <c r="B4054">
        <v>283716</v>
      </c>
      <c r="C4054" t="s">
        <v>7592</v>
      </c>
      <c r="D4054">
        <v>10</v>
      </c>
      <c r="E4054">
        <v>1</v>
      </c>
      <c r="F4054">
        <v>0</v>
      </c>
      <c r="G4054">
        <v>0</v>
      </c>
      <c r="H4054">
        <v>28</v>
      </c>
      <c r="I4054">
        <v>0</v>
      </c>
      <c r="J4054">
        <v>44.99</v>
      </c>
      <c r="K4054">
        <v>0</v>
      </c>
    </row>
    <row r="4055" spans="1:11" x14ac:dyDescent="0.2">
      <c r="A4055">
        <v>51802</v>
      </c>
      <c r="B4055">
        <v>283749</v>
      </c>
      <c r="C4055" t="s">
        <v>7593</v>
      </c>
      <c r="D4055">
        <v>10</v>
      </c>
      <c r="E4055">
        <v>8</v>
      </c>
      <c r="F4055">
        <v>5</v>
      </c>
      <c r="G4055">
        <v>41</v>
      </c>
      <c r="H4055">
        <v>126</v>
      </c>
      <c r="I4055">
        <v>0</v>
      </c>
      <c r="J4055">
        <v>4.99</v>
      </c>
      <c r="K4055">
        <v>204.59</v>
      </c>
    </row>
    <row r="4056" spans="1:11" x14ac:dyDescent="0.2">
      <c r="B4056">
        <v>283844</v>
      </c>
      <c r="C4056" t="s">
        <v>7594</v>
      </c>
      <c r="D4056">
        <v>11</v>
      </c>
      <c r="E4056">
        <v>12</v>
      </c>
      <c r="F4056">
        <v>0</v>
      </c>
      <c r="G4056">
        <v>0</v>
      </c>
      <c r="H4056">
        <v>16</v>
      </c>
      <c r="I4056">
        <v>0</v>
      </c>
      <c r="J4056">
        <v>6.99</v>
      </c>
      <c r="K4056">
        <v>0</v>
      </c>
    </row>
    <row r="4057" spans="1:11" x14ac:dyDescent="0.2">
      <c r="A4057">
        <v>32923</v>
      </c>
      <c r="B4057">
        <v>283999</v>
      </c>
      <c r="C4057" t="s">
        <v>7595</v>
      </c>
      <c r="D4057">
        <v>10</v>
      </c>
      <c r="E4057">
        <v>40</v>
      </c>
      <c r="F4057">
        <v>0</v>
      </c>
      <c r="G4057">
        <v>0</v>
      </c>
      <c r="H4057">
        <v>42</v>
      </c>
      <c r="I4057">
        <v>0</v>
      </c>
      <c r="J4057">
        <v>0.5</v>
      </c>
      <c r="K4057">
        <v>0</v>
      </c>
    </row>
    <row r="4058" spans="1:11" x14ac:dyDescent="0.2">
      <c r="A4058">
        <v>35868</v>
      </c>
      <c r="B4058">
        <v>284003</v>
      </c>
      <c r="C4058" t="s">
        <v>7596</v>
      </c>
      <c r="D4058">
        <v>10</v>
      </c>
      <c r="E4058">
        <v>10</v>
      </c>
      <c r="F4058">
        <v>0</v>
      </c>
      <c r="G4058">
        <v>0</v>
      </c>
      <c r="H4058">
        <v>22</v>
      </c>
      <c r="I4058">
        <v>0</v>
      </c>
      <c r="J4058">
        <v>6.99</v>
      </c>
      <c r="K4058">
        <v>0</v>
      </c>
    </row>
    <row r="4059" spans="1:11" x14ac:dyDescent="0.2">
      <c r="A4059">
        <v>29943</v>
      </c>
      <c r="B4059">
        <v>284041</v>
      </c>
      <c r="C4059" t="s">
        <v>7597</v>
      </c>
      <c r="D4059">
        <v>10</v>
      </c>
      <c r="E4059">
        <v>14</v>
      </c>
      <c r="F4059">
        <v>0</v>
      </c>
      <c r="G4059">
        <v>0</v>
      </c>
      <c r="H4059">
        <v>91</v>
      </c>
      <c r="I4059">
        <v>0</v>
      </c>
      <c r="J4059">
        <v>1</v>
      </c>
      <c r="K4059">
        <v>0</v>
      </c>
    </row>
    <row r="4060" spans="1:11" x14ac:dyDescent="0.2">
      <c r="A4060">
        <v>29944</v>
      </c>
      <c r="B4060">
        <v>284058</v>
      </c>
      <c r="C4060" t="s">
        <v>7565</v>
      </c>
      <c r="D4060">
        <v>10</v>
      </c>
      <c r="E4060">
        <v>16</v>
      </c>
      <c r="F4060">
        <v>0</v>
      </c>
      <c r="G4060">
        <v>0</v>
      </c>
      <c r="H4060">
        <v>98</v>
      </c>
      <c r="I4060">
        <v>0</v>
      </c>
      <c r="J4060">
        <v>1</v>
      </c>
      <c r="K4060">
        <v>0</v>
      </c>
    </row>
    <row r="4061" spans="1:11" x14ac:dyDescent="0.2">
      <c r="A4061">
        <v>29945</v>
      </c>
      <c r="B4061">
        <v>284072</v>
      </c>
      <c r="C4061" t="s">
        <v>7598</v>
      </c>
      <c r="D4061">
        <v>10</v>
      </c>
      <c r="E4061">
        <v>14</v>
      </c>
      <c r="F4061">
        <v>0</v>
      </c>
      <c r="G4061">
        <v>0</v>
      </c>
      <c r="H4061">
        <v>128</v>
      </c>
      <c r="I4061">
        <v>0</v>
      </c>
      <c r="J4061">
        <v>1</v>
      </c>
      <c r="K4061">
        <v>0</v>
      </c>
    </row>
    <row r="4062" spans="1:11" x14ac:dyDescent="0.2">
      <c r="A4062">
        <v>35869</v>
      </c>
      <c r="B4062">
        <v>284085</v>
      </c>
      <c r="C4062" t="s">
        <v>7599</v>
      </c>
      <c r="D4062">
        <v>10</v>
      </c>
      <c r="E4062">
        <v>9</v>
      </c>
      <c r="F4062">
        <v>0</v>
      </c>
      <c r="G4062">
        <v>0</v>
      </c>
      <c r="H4062">
        <v>40</v>
      </c>
      <c r="I4062">
        <v>0</v>
      </c>
      <c r="J4062">
        <v>8.99</v>
      </c>
      <c r="K4062">
        <v>0</v>
      </c>
    </row>
    <row r="4063" spans="1:11" x14ac:dyDescent="0.2">
      <c r="A4063">
        <v>29946</v>
      </c>
      <c r="B4063">
        <v>284092</v>
      </c>
      <c r="C4063" t="s">
        <v>7600</v>
      </c>
      <c r="D4063">
        <v>10</v>
      </c>
      <c r="E4063">
        <v>14</v>
      </c>
      <c r="F4063">
        <v>0</v>
      </c>
      <c r="G4063">
        <v>0</v>
      </c>
      <c r="H4063">
        <v>91</v>
      </c>
      <c r="I4063">
        <v>0</v>
      </c>
      <c r="J4063">
        <v>1</v>
      </c>
      <c r="K4063">
        <v>0</v>
      </c>
    </row>
    <row r="4064" spans="1:11" x14ac:dyDescent="0.2">
      <c r="A4064">
        <v>29947</v>
      </c>
      <c r="B4064">
        <v>284095</v>
      </c>
      <c r="C4064" t="s">
        <v>7601</v>
      </c>
      <c r="D4064">
        <v>10</v>
      </c>
      <c r="E4064">
        <v>14</v>
      </c>
      <c r="F4064">
        <v>0</v>
      </c>
      <c r="G4064">
        <v>0</v>
      </c>
      <c r="H4064">
        <v>48</v>
      </c>
      <c r="I4064">
        <v>0</v>
      </c>
      <c r="J4064">
        <v>1</v>
      </c>
      <c r="K4064">
        <v>0</v>
      </c>
    </row>
    <row r="4065" spans="1:11" x14ac:dyDescent="0.2">
      <c r="A4065">
        <v>25917</v>
      </c>
      <c r="B4065">
        <v>284110</v>
      </c>
      <c r="C4065" t="s">
        <v>7602</v>
      </c>
      <c r="D4065">
        <v>10</v>
      </c>
      <c r="E4065">
        <v>16</v>
      </c>
      <c r="F4065">
        <v>0</v>
      </c>
      <c r="G4065">
        <v>0</v>
      </c>
      <c r="H4065">
        <v>48</v>
      </c>
      <c r="I4065">
        <v>0</v>
      </c>
      <c r="J4065">
        <v>1</v>
      </c>
      <c r="K4065">
        <v>0</v>
      </c>
    </row>
    <row r="4066" spans="1:11" x14ac:dyDescent="0.2">
      <c r="A4066">
        <v>29948</v>
      </c>
      <c r="B4066">
        <v>284128</v>
      </c>
      <c r="C4066" t="s">
        <v>7603</v>
      </c>
      <c r="D4066">
        <v>10</v>
      </c>
      <c r="E4066">
        <v>14</v>
      </c>
      <c r="F4066">
        <v>0</v>
      </c>
      <c r="G4066">
        <v>0</v>
      </c>
      <c r="H4066">
        <v>72</v>
      </c>
      <c r="I4066">
        <v>0</v>
      </c>
      <c r="J4066">
        <v>1</v>
      </c>
      <c r="K4066">
        <v>0</v>
      </c>
    </row>
    <row r="4067" spans="1:11" x14ac:dyDescent="0.2">
      <c r="A4067">
        <v>29949</v>
      </c>
      <c r="B4067">
        <v>284136</v>
      </c>
      <c r="C4067" t="s">
        <v>7604</v>
      </c>
      <c r="D4067">
        <v>10</v>
      </c>
      <c r="E4067">
        <v>14</v>
      </c>
      <c r="F4067">
        <v>0</v>
      </c>
      <c r="G4067">
        <v>0</v>
      </c>
      <c r="H4067">
        <v>72</v>
      </c>
      <c r="I4067">
        <v>0</v>
      </c>
      <c r="J4067">
        <v>1</v>
      </c>
      <c r="K4067">
        <v>0</v>
      </c>
    </row>
    <row r="4068" spans="1:11" x14ac:dyDescent="0.2">
      <c r="B4068">
        <v>284235</v>
      </c>
      <c r="C4068" t="s">
        <v>7605</v>
      </c>
      <c r="D4068">
        <v>11</v>
      </c>
      <c r="E4068">
        <v>20</v>
      </c>
      <c r="F4068">
        <v>0</v>
      </c>
      <c r="G4068">
        <v>0</v>
      </c>
      <c r="H4068">
        <v>100</v>
      </c>
      <c r="I4068">
        <v>0</v>
      </c>
      <c r="J4068">
        <v>2.99</v>
      </c>
      <c r="K4068">
        <v>0</v>
      </c>
    </row>
    <row r="4069" spans="1:11" x14ac:dyDescent="0.2">
      <c r="B4069">
        <v>284237</v>
      </c>
      <c r="C4069" t="s">
        <v>7606</v>
      </c>
      <c r="D4069">
        <v>11</v>
      </c>
      <c r="E4069">
        <v>20</v>
      </c>
      <c r="F4069">
        <v>0</v>
      </c>
      <c r="G4069">
        <v>0</v>
      </c>
      <c r="H4069">
        <v>84</v>
      </c>
      <c r="I4069">
        <v>0</v>
      </c>
      <c r="J4069">
        <v>1</v>
      </c>
      <c r="K4069">
        <v>0</v>
      </c>
    </row>
    <row r="4070" spans="1:11" x14ac:dyDescent="0.2">
      <c r="A4070">
        <v>3262</v>
      </c>
      <c r="B4070">
        <v>284261</v>
      </c>
      <c r="C4070" t="s">
        <v>7607</v>
      </c>
      <c r="D4070">
        <v>6</v>
      </c>
      <c r="E4070">
        <v>4</v>
      </c>
      <c r="F4070">
        <v>0</v>
      </c>
      <c r="G4070">
        <v>0</v>
      </c>
      <c r="H4070">
        <v>100</v>
      </c>
      <c r="I4070">
        <v>0</v>
      </c>
      <c r="J4070">
        <v>11.99</v>
      </c>
      <c r="K4070">
        <v>0</v>
      </c>
    </row>
    <row r="4071" spans="1:11" x14ac:dyDescent="0.2">
      <c r="A4071">
        <v>37806</v>
      </c>
      <c r="B4071">
        <v>284345</v>
      </c>
      <c r="C4071" t="s">
        <v>7608</v>
      </c>
      <c r="D4071">
        <v>10</v>
      </c>
      <c r="E4071">
        <v>8</v>
      </c>
      <c r="F4071">
        <v>0</v>
      </c>
      <c r="G4071">
        <v>0</v>
      </c>
      <c r="H4071">
        <v>88</v>
      </c>
      <c r="I4071">
        <v>0</v>
      </c>
      <c r="J4071">
        <v>4.99</v>
      </c>
      <c r="K4071">
        <v>0</v>
      </c>
    </row>
    <row r="4072" spans="1:11" x14ac:dyDescent="0.2">
      <c r="A4072">
        <v>25918</v>
      </c>
      <c r="B4072">
        <v>284373</v>
      </c>
      <c r="C4072" t="s">
        <v>7609</v>
      </c>
      <c r="D4072">
        <v>10</v>
      </c>
      <c r="E4072">
        <v>24</v>
      </c>
      <c r="F4072">
        <v>0</v>
      </c>
      <c r="G4072">
        <v>0</v>
      </c>
      <c r="H4072">
        <v>24</v>
      </c>
      <c r="I4072">
        <v>0</v>
      </c>
      <c r="J4072">
        <v>1</v>
      </c>
      <c r="K4072">
        <v>0</v>
      </c>
    </row>
    <row r="4073" spans="1:11" x14ac:dyDescent="0.2">
      <c r="A4073">
        <v>36430</v>
      </c>
      <c r="B4073">
        <v>284499</v>
      </c>
      <c r="C4073" t="s">
        <v>7610</v>
      </c>
      <c r="D4073">
        <v>10</v>
      </c>
      <c r="E4073">
        <v>12</v>
      </c>
      <c r="F4073">
        <v>0</v>
      </c>
      <c r="G4073">
        <v>0</v>
      </c>
      <c r="H4073">
        <v>24</v>
      </c>
      <c r="I4073">
        <v>0</v>
      </c>
      <c r="J4073">
        <v>1</v>
      </c>
      <c r="K4073">
        <v>0</v>
      </c>
    </row>
    <row r="4074" spans="1:11" x14ac:dyDescent="0.2">
      <c r="B4074">
        <v>284570</v>
      </c>
      <c r="C4074" t="s">
        <v>7611</v>
      </c>
      <c r="D4074">
        <v>10</v>
      </c>
      <c r="E4074">
        <v>4</v>
      </c>
      <c r="F4074">
        <v>0</v>
      </c>
      <c r="G4074">
        <v>0</v>
      </c>
      <c r="H4074">
        <v>36</v>
      </c>
      <c r="I4074">
        <v>0</v>
      </c>
      <c r="J4074">
        <v>49.99</v>
      </c>
      <c r="K4074">
        <v>0</v>
      </c>
    </row>
    <row r="4075" spans="1:11" x14ac:dyDescent="0.2">
      <c r="B4075">
        <v>284659</v>
      </c>
      <c r="C4075" t="s">
        <v>7612</v>
      </c>
      <c r="D4075">
        <v>10</v>
      </c>
      <c r="E4075">
        <v>2</v>
      </c>
      <c r="F4075">
        <v>0</v>
      </c>
      <c r="G4075">
        <v>0</v>
      </c>
      <c r="H4075">
        <v>52</v>
      </c>
      <c r="I4075">
        <v>0</v>
      </c>
      <c r="J4075">
        <v>34.99</v>
      </c>
      <c r="K4075">
        <v>0</v>
      </c>
    </row>
    <row r="4076" spans="1:11" x14ac:dyDescent="0.2">
      <c r="A4076">
        <v>50329</v>
      </c>
      <c r="B4076">
        <v>284695</v>
      </c>
      <c r="C4076" t="s">
        <v>7613</v>
      </c>
      <c r="D4076">
        <v>10</v>
      </c>
      <c r="E4076">
        <v>1</v>
      </c>
      <c r="F4076">
        <v>0</v>
      </c>
      <c r="G4076">
        <v>0</v>
      </c>
      <c r="H4076">
        <v>24</v>
      </c>
      <c r="I4076">
        <v>0</v>
      </c>
      <c r="J4076">
        <v>49.99</v>
      </c>
      <c r="K4076">
        <v>0</v>
      </c>
    </row>
    <row r="4077" spans="1:11" x14ac:dyDescent="0.2">
      <c r="A4077">
        <v>35871</v>
      </c>
      <c r="B4077">
        <v>284697</v>
      </c>
      <c r="C4077" t="s">
        <v>7614</v>
      </c>
      <c r="D4077">
        <v>10</v>
      </c>
      <c r="E4077">
        <v>1</v>
      </c>
      <c r="F4077">
        <v>0</v>
      </c>
      <c r="G4077">
        <v>0</v>
      </c>
      <c r="H4077">
        <v>24</v>
      </c>
      <c r="I4077">
        <v>0</v>
      </c>
      <c r="J4077">
        <v>49.99</v>
      </c>
      <c r="K4077">
        <v>0</v>
      </c>
    </row>
    <row r="4078" spans="1:11" x14ac:dyDescent="0.2">
      <c r="A4078">
        <v>50331</v>
      </c>
      <c r="B4078">
        <v>284701</v>
      </c>
      <c r="C4078" t="s">
        <v>7615</v>
      </c>
      <c r="D4078">
        <v>10</v>
      </c>
      <c r="E4078">
        <v>1</v>
      </c>
      <c r="F4078">
        <v>0</v>
      </c>
      <c r="G4078">
        <v>0</v>
      </c>
      <c r="H4078">
        <v>22</v>
      </c>
      <c r="I4078">
        <v>0</v>
      </c>
      <c r="J4078">
        <v>49.99</v>
      </c>
      <c r="K4078">
        <v>0</v>
      </c>
    </row>
    <row r="4079" spans="1:11" x14ac:dyDescent="0.2">
      <c r="A4079">
        <v>50332</v>
      </c>
      <c r="B4079">
        <v>284725</v>
      </c>
      <c r="C4079" t="s">
        <v>7616</v>
      </c>
      <c r="D4079">
        <v>10</v>
      </c>
      <c r="E4079">
        <v>6</v>
      </c>
      <c r="F4079">
        <v>0</v>
      </c>
      <c r="G4079">
        <v>0</v>
      </c>
      <c r="H4079">
        <v>36</v>
      </c>
      <c r="I4079">
        <v>0</v>
      </c>
      <c r="J4079">
        <v>11.99</v>
      </c>
      <c r="K4079">
        <v>0</v>
      </c>
    </row>
    <row r="4080" spans="1:11" x14ac:dyDescent="0.2">
      <c r="A4080">
        <v>50335</v>
      </c>
      <c r="B4080">
        <v>284798</v>
      </c>
      <c r="C4080" t="s">
        <v>7617</v>
      </c>
      <c r="D4080">
        <v>10</v>
      </c>
      <c r="E4080">
        <v>24</v>
      </c>
      <c r="F4080">
        <v>0</v>
      </c>
      <c r="G4080">
        <v>0</v>
      </c>
      <c r="H4080">
        <v>68</v>
      </c>
      <c r="I4080">
        <v>0</v>
      </c>
      <c r="J4080">
        <v>2.99</v>
      </c>
      <c r="K4080">
        <v>0</v>
      </c>
    </row>
    <row r="4081" spans="1:11" x14ac:dyDescent="0.2">
      <c r="B4081">
        <v>284912</v>
      </c>
      <c r="C4081" t="s">
        <v>7618</v>
      </c>
      <c r="D4081">
        <v>10</v>
      </c>
      <c r="E4081">
        <v>4</v>
      </c>
      <c r="F4081">
        <v>0</v>
      </c>
      <c r="G4081">
        <v>0</v>
      </c>
      <c r="H4081">
        <v>40</v>
      </c>
      <c r="I4081">
        <v>0</v>
      </c>
      <c r="J4081">
        <v>19.989999999999998</v>
      </c>
      <c r="K4081">
        <v>0</v>
      </c>
    </row>
    <row r="4082" spans="1:11" x14ac:dyDescent="0.2">
      <c r="B4082">
        <v>284921</v>
      </c>
      <c r="C4082" t="s">
        <v>7619</v>
      </c>
      <c r="D4082">
        <v>11</v>
      </c>
      <c r="E4082">
        <v>4</v>
      </c>
      <c r="F4082">
        <v>0</v>
      </c>
      <c r="G4082">
        <v>0</v>
      </c>
      <c r="H4082">
        <v>55</v>
      </c>
      <c r="I4082">
        <v>0</v>
      </c>
      <c r="J4082">
        <v>29.99</v>
      </c>
      <c r="K4082">
        <v>0</v>
      </c>
    </row>
    <row r="4083" spans="1:11" x14ac:dyDescent="0.2">
      <c r="A4083">
        <v>50333</v>
      </c>
      <c r="B4083">
        <v>284931</v>
      </c>
      <c r="C4083" t="s">
        <v>7469</v>
      </c>
      <c r="D4083">
        <v>10</v>
      </c>
      <c r="E4083">
        <v>4</v>
      </c>
      <c r="F4083">
        <v>0</v>
      </c>
      <c r="G4083">
        <v>0</v>
      </c>
      <c r="H4083">
        <v>55</v>
      </c>
      <c r="I4083">
        <v>0</v>
      </c>
      <c r="J4083">
        <v>9.99</v>
      </c>
      <c r="K4083">
        <v>0</v>
      </c>
    </row>
    <row r="4084" spans="1:11" x14ac:dyDescent="0.2">
      <c r="A4084">
        <v>38813</v>
      </c>
      <c r="B4084">
        <v>284939</v>
      </c>
      <c r="C4084" t="s">
        <v>7620</v>
      </c>
      <c r="D4084">
        <v>10</v>
      </c>
      <c r="E4084">
        <v>8</v>
      </c>
      <c r="F4084">
        <v>0</v>
      </c>
      <c r="G4084">
        <v>0</v>
      </c>
      <c r="H4084">
        <v>36</v>
      </c>
      <c r="I4084">
        <v>0</v>
      </c>
      <c r="J4084">
        <v>11.99</v>
      </c>
      <c r="K4084">
        <v>0</v>
      </c>
    </row>
    <row r="4085" spans="1:11" x14ac:dyDescent="0.2">
      <c r="A4085">
        <v>35873</v>
      </c>
      <c r="B4085">
        <v>284999</v>
      </c>
      <c r="C4085" t="s">
        <v>7621</v>
      </c>
      <c r="D4085">
        <v>10</v>
      </c>
      <c r="E4085">
        <v>1</v>
      </c>
      <c r="F4085">
        <v>0</v>
      </c>
      <c r="G4085">
        <v>0</v>
      </c>
      <c r="H4085">
        <v>15</v>
      </c>
      <c r="I4085">
        <v>0</v>
      </c>
      <c r="J4085">
        <v>115</v>
      </c>
      <c r="K4085">
        <v>0</v>
      </c>
    </row>
    <row r="4086" spans="1:11" x14ac:dyDescent="0.2">
      <c r="A4086">
        <v>35874</v>
      </c>
      <c r="B4086">
        <v>285037</v>
      </c>
      <c r="C4086" t="s">
        <v>7622</v>
      </c>
      <c r="D4086">
        <v>10</v>
      </c>
      <c r="E4086">
        <v>1</v>
      </c>
      <c r="F4086">
        <v>0</v>
      </c>
      <c r="G4086">
        <v>0</v>
      </c>
      <c r="H4086">
        <v>15</v>
      </c>
      <c r="I4086">
        <v>0</v>
      </c>
      <c r="J4086">
        <v>129</v>
      </c>
      <c r="K4086">
        <v>0</v>
      </c>
    </row>
    <row r="4087" spans="1:11" x14ac:dyDescent="0.2">
      <c r="A4087">
        <v>31800</v>
      </c>
      <c r="B4087">
        <v>285051</v>
      </c>
      <c r="C4087" t="s">
        <v>7623</v>
      </c>
      <c r="D4087">
        <v>10</v>
      </c>
      <c r="E4087">
        <v>6</v>
      </c>
      <c r="F4087">
        <v>0</v>
      </c>
      <c r="G4087">
        <v>0</v>
      </c>
      <c r="H4087">
        <v>26</v>
      </c>
      <c r="I4087">
        <v>0</v>
      </c>
      <c r="J4087">
        <v>11.99</v>
      </c>
      <c r="K4087">
        <v>0</v>
      </c>
    </row>
    <row r="4088" spans="1:11" x14ac:dyDescent="0.2">
      <c r="A4088">
        <v>35875</v>
      </c>
      <c r="B4088">
        <v>285074</v>
      </c>
      <c r="C4088" t="s">
        <v>7624</v>
      </c>
      <c r="D4088">
        <v>10</v>
      </c>
      <c r="E4088">
        <v>12</v>
      </c>
      <c r="F4088">
        <v>0</v>
      </c>
      <c r="G4088">
        <v>0</v>
      </c>
      <c r="H4088">
        <v>28</v>
      </c>
      <c r="I4088">
        <v>0</v>
      </c>
      <c r="J4088">
        <v>3.49</v>
      </c>
      <c r="K4088">
        <v>0</v>
      </c>
    </row>
    <row r="4089" spans="1:11" x14ac:dyDescent="0.2">
      <c r="A4089">
        <v>31801</v>
      </c>
      <c r="B4089">
        <v>285089</v>
      </c>
      <c r="C4089" t="s">
        <v>7625</v>
      </c>
      <c r="D4089">
        <v>10</v>
      </c>
      <c r="E4089">
        <v>12</v>
      </c>
      <c r="F4089">
        <v>0</v>
      </c>
      <c r="G4089">
        <v>0</v>
      </c>
      <c r="H4089">
        <v>55</v>
      </c>
      <c r="I4089">
        <v>0</v>
      </c>
      <c r="J4089">
        <v>6.99</v>
      </c>
      <c r="K4089">
        <v>0</v>
      </c>
    </row>
    <row r="4090" spans="1:11" x14ac:dyDescent="0.2">
      <c r="A4090">
        <v>38814</v>
      </c>
      <c r="B4090">
        <v>285102</v>
      </c>
      <c r="C4090" t="s">
        <v>7626</v>
      </c>
      <c r="D4090">
        <v>10</v>
      </c>
      <c r="E4090">
        <v>3</v>
      </c>
      <c r="F4090">
        <v>0</v>
      </c>
      <c r="G4090">
        <v>0</v>
      </c>
      <c r="H4090">
        <v>40</v>
      </c>
      <c r="I4090">
        <v>0</v>
      </c>
      <c r="J4090">
        <v>13.99</v>
      </c>
      <c r="K4090">
        <v>0</v>
      </c>
    </row>
    <row r="4091" spans="1:11" x14ac:dyDescent="0.2">
      <c r="A4091">
        <v>35876</v>
      </c>
      <c r="B4091">
        <v>285109</v>
      </c>
      <c r="C4091" t="s">
        <v>7627</v>
      </c>
      <c r="D4091">
        <v>10</v>
      </c>
      <c r="E4091">
        <v>2</v>
      </c>
      <c r="F4091">
        <v>0</v>
      </c>
      <c r="G4091">
        <v>0</v>
      </c>
      <c r="H4091">
        <v>24</v>
      </c>
      <c r="I4091">
        <v>0</v>
      </c>
      <c r="J4091">
        <v>49.99</v>
      </c>
      <c r="K4091">
        <v>0</v>
      </c>
    </row>
    <row r="4092" spans="1:11" x14ac:dyDescent="0.2">
      <c r="A4092">
        <v>35877</v>
      </c>
      <c r="B4092">
        <v>285114</v>
      </c>
      <c r="C4092" t="s">
        <v>7628</v>
      </c>
      <c r="D4092">
        <v>10</v>
      </c>
      <c r="E4092">
        <v>4</v>
      </c>
      <c r="F4092">
        <v>0</v>
      </c>
      <c r="G4092">
        <v>0</v>
      </c>
      <c r="H4092">
        <v>48</v>
      </c>
      <c r="I4092">
        <v>0</v>
      </c>
      <c r="J4092">
        <v>12.99</v>
      </c>
      <c r="K4092">
        <v>0</v>
      </c>
    </row>
    <row r="4093" spans="1:11" x14ac:dyDescent="0.2">
      <c r="A4093">
        <v>29809</v>
      </c>
      <c r="B4093">
        <v>285115</v>
      </c>
      <c r="C4093" t="s">
        <v>7629</v>
      </c>
      <c r="D4093">
        <v>10</v>
      </c>
      <c r="E4093">
        <v>7</v>
      </c>
      <c r="F4093">
        <v>0</v>
      </c>
      <c r="G4093">
        <v>0</v>
      </c>
      <c r="H4093">
        <v>16</v>
      </c>
      <c r="I4093">
        <v>0</v>
      </c>
      <c r="J4093">
        <v>6.99</v>
      </c>
      <c r="K4093">
        <v>0</v>
      </c>
    </row>
    <row r="4094" spans="1:11" x14ac:dyDescent="0.2">
      <c r="A4094">
        <v>50338</v>
      </c>
      <c r="B4094">
        <v>285122</v>
      </c>
      <c r="C4094" t="s">
        <v>7630</v>
      </c>
      <c r="D4094">
        <v>10</v>
      </c>
      <c r="E4094">
        <v>10</v>
      </c>
      <c r="F4094">
        <v>0</v>
      </c>
      <c r="G4094">
        <v>0</v>
      </c>
      <c r="H4094">
        <v>108</v>
      </c>
      <c r="I4094">
        <v>0</v>
      </c>
      <c r="J4094">
        <v>9.99</v>
      </c>
      <c r="K4094">
        <v>0</v>
      </c>
    </row>
    <row r="4095" spans="1:11" x14ac:dyDescent="0.2">
      <c r="B4095">
        <v>285125</v>
      </c>
      <c r="C4095" t="s">
        <v>7631</v>
      </c>
      <c r="D4095">
        <v>11</v>
      </c>
      <c r="E4095">
        <v>1</v>
      </c>
      <c r="F4095">
        <v>0</v>
      </c>
      <c r="G4095">
        <v>0</v>
      </c>
      <c r="H4095">
        <v>55</v>
      </c>
      <c r="I4095">
        <v>0</v>
      </c>
      <c r="J4095">
        <v>89.99</v>
      </c>
      <c r="K4095">
        <v>0</v>
      </c>
    </row>
    <row r="4096" spans="1:11" x14ac:dyDescent="0.2">
      <c r="A4096">
        <v>35878</v>
      </c>
      <c r="B4096">
        <v>285175</v>
      </c>
      <c r="C4096" t="s">
        <v>7632</v>
      </c>
      <c r="D4096">
        <v>10</v>
      </c>
      <c r="E4096">
        <v>1</v>
      </c>
      <c r="F4096">
        <v>0</v>
      </c>
      <c r="G4096">
        <v>0</v>
      </c>
      <c r="H4096">
        <v>55</v>
      </c>
      <c r="I4096">
        <v>0</v>
      </c>
      <c r="J4096">
        <v>79.989999999999995</v>
      </c>
      <c r="K4096">
        <v>0</v>
      </c>
    </row>
    <row r="4097" spans="1:11" x14ac:dyDescent="0.2">
      <c r="A4097">
        <v>30802</v>
      </c>
      <c r="B4097">
        <v>285176</v>
      </c>
      <c r="C4097" t="s">
        <v>7633</v>
      </c>
      <c r="D4097">
        <v>10</v>
      </c>
      <c r="E4097">
        <v>2</v>
      </c>
      <c r="F4097">
        <v>0</v>
      </c>
      <c r="G4097">
        <v>0</v>
      </c>
      <c r="H4097">
        <v>32</v>
      </c>
      <c r="I4097">
        <v>0</v>
      </c>
      <c r="J4097">
        <v>79.989999999999995</v>
      </c>
      <c r="K4097">
        <v>0</v>
      </c>
    </row>
    <row r="4098" spans="1:11" x14ac:dyDescent="0.2">
      <c r="B4098">
        <v>285178</v>
      </c>
      <c r="C4098" t="s">
        <v>7634</v>
      </c>
      <c r="D4098">
        <v>11</v>
      </c>
      <c r="E4098">
        <v>2</v>
      </c>
      <c r="F4098">
        <v>0</v>
      </c>
      <c r="G4098">
        <v>0</v>
      </c>
      <c r="H4098">
        <v>18</v>
      </c>
      <c r="I4098">
        <v>0</v>
      </c>
      <c r="J4098">
        <v>64.989999999999995</v>
      </c>
      <c r="K4098">
        <v>0</v>
      </c>
    </row>
    <row r="4099" spans="1:11" x14ac:dyDescent="0.2">
      <c r="B4099">
        <v>285190</v>
      </c>
      <c r="C4099" t="s">
        <v>7635</v>
      </c>
      <c r="D4099">
        <v>10</v>
      </c>
      <c r="E4099">
        <v>1</v>
      </c>
      <c r="F4099">
        <v>0</v>
      </c>
      <c r="G4099">
        <v>0</v>
      </c>
      <c r="H4099">
        <v>30</v>
      </c>
      <c r="I4099">
        <v>0</v>
      </c>
      <c r="J4099">
        <v>42.99</v>
      </c>
      <c r="K4099">
        <v>0</v>
      </c>
    </row>
    <row r="4100" spans="1:11" x14ac:dyDescent="0.2">
      <c r="A4100">
        <v>41802</v>
      </c>
      <c r="B4100">
        <v>285198</v>
      </c>
      <c r="C4100" t="s">
        <v>7636</v>
      </c>
      <c r="D4100">
        <v>10</v>
      </c>
      <c r="E4100">
        <v>4</v>
      </c>
      <c r="F4100">
        <v>0</v>
      </c>
      <c r="G4100">
        <v>0</v>
      </c>
      <c r="H4100">
        <v>28</v>
      </c>
      <c r="I4100">
        <v>0</v>
      </c>
      <c r="J4100">
        <v>24.99</v>
      </c>
      <c r="K4100">
        <v>0</v>
      </c>
    </row>
    <row r="4101" spans="1:11" x14ac:dyDescent="0.2">
      <c r="A4101">
        <v>50334</v>
      </c>
      <c r="B4101">
        <v>285254</v>
      </c>
      <c r="C4101" t="s">
        <v>7637</v>
      </c>
      <c r="D4101">
        <v>10</v>
      </c>
      <c r="E4101">
        <v>4</v>
      </c>
      <c r="F4101">
        <v>0</v>
      </c>
      <c r="G4101">
        <v>0</v>
      </c>
      <c r="H4101">
        <v>85</v>
      </c>
      <c r="I4101">
        <v>0</v>
      </c>
      <c r="J4101">
        <v>16.989999999999998</v>
      </c>
      <c r="K4101">
        <v>0</v>
      </c>
    </row>
    <row r="4102" spans="1:11" x14ac:dyDescent="0.2">
      <c r="A4102">
        <v>35879</v>
      </c>
      <c r="B4102">
        <v>285258</v>
      </c>
      <c r="C4102" t="s">
        <v>7638</v>
      </c>
      <c r="D4102">
        <v>10</v>
      </c>
      <c r="E4102">
        <v>4</v>
      </c>
      <c r="F4102">
        <v>0</v>
      </c>
      <c r="G4102">
        <v>0</v>
      </c>
      <c r="H4102">
        <v>120</v>
      </c>
      <c r="I4102">
        <v>0</v>
      </c>
      <c r="J4102">
        <v>16.989999999999998</v>
      </c>
      <c r="K4102">
        <v>0</v>
      </c>
    </row>
    <row r="4103" spans="1:11" x14ac:dyDescent="0.2">
      <c r="A4103">
        <v>35880</v>
      </c>
      <c r="B4103">
        <v>285283</v>
      </c>
      <c r="C4103" t="s">
        <v>7639</v>
      </c>
      <c r="D4103">
        <v>10</v>
      </c>
      <c r="E4103">
        <v>4</v>
      </c>
      <c r="F4103">
        <v>0</v>
      </c>
      <c r="G4103">
        <v>0</v>
      </c>
      <c r="H4103">
        <v>75</v>
      </c>
      <c r="I4103">
        <v>0</v>
      </c>
      <c r="J4103">
        <v>24.99</v>
      </c>
      <c r="K4103">
        <v>0</v>
      </c>
    </row>
    <row r="4104" spans="1:11" x14ac:dyDescent="0.2">
      <c r="A4104">
        <v>51062</v>
      </c>
      <c r="B4104">
        <v>285285</v>
      </c>
      <c r="C4104" t="s">
        <v>7640</v>
      </c>
      <c r="D4104">
        <v>10</v>
      </c>
      <c r="E4104">
        <v>4</v>
      </c>
      <c r="F4104">
        <v>1</v>
      </c>
      <c r="G4104">
        <v>4</v>
      </c>
      <c r="H4104">
        <v>152</v>
      </c>
      <c r="I4104">
        <v>0</v>
      </c>
      <c r="J4104">
        <v>14.99</v>
      </c>
      <c r="K4104">
        <v>59.96</v>
      </c>
    </row>
    <row r="4105" spans="1:11" x14ac:dyDescent="0.2">
      <c r="B4105">
        <v>285286</v>
      </c>
      <c r="C4105" t="s">
        <v>7641</v>
      </c>
      <c r="D4105">
        <v>11</v>
      </c>
      <c r="E4105">
        <v>4</v>
      </c>
      <c r="F4105">
        <v>0</v>
      </c>
      <c r="G4105">
        <v>0</v>
      </c>
      <c r="H4105">
        <v>60</v>
      </c>
      <c r="I4105">
        <v>0</v>
      </c>
      <c r="J4105">
        <v>19.989999999999998</v>
      </c>
      <c r="K4105">
        <v>0</v>
      </c>
    </row>
    <row r="4106" spans="1:11" x14ac:dyDescent="0.2">
      <c r="B4106">
        <v>285308</v>
      </c>
      <c r="C4106" t="s">
        <v>7642</v>
      </c>
      <c r="D4106">
        <v>10</v>
      </c>
      <c r="E4106">
        <v>20</v>
      </c>
      <c r="F4106">
        <v>0</v>
      </c>
      <c r="G4106">
        <v>0</v>
      </c>
      <c r="H4106">
        <v>20</v>
      </c>
      <c r="I4106">
        <v>0</v>
      </c>
      <c r="J4106">
        <v>4.99</v>
      </c>
      <c r="K4106">
        <v>0</v>
      </c>
    </row>
    <row r="4107" spans="1:11" x14ac:dyDescent="0.2">
      <c r="A4107">
        <v>35881</v>
      </c>
      <c r="B4107">
        <v>285329</v>
      </c>
      <c r="C4107" t="s">
        <v>7643</v>
      </c>
      <c r="D4107">
        <v>10</v>
      </c>
      <c r="E4107">
        <v>1</v>
      </c>
      <c r="F4107">
        <v>0</v>
      </c>
      <c r="G4107">
        <v>0</v>
      </c>
      <c r="H4107">
        <v>40</v>
      </c>
      <c r="I4107">
        <v>0</v>
      </c>
      <c r="J4107">
        <v>39.99</v>
      </c>
      <c r="K4107">
        <v>0</v>
      </c>
    </row>
    <row r="4108" spans="1:11" x14ac:dyDescent="0.2">
      <c r="A4108">
        <v>5100</v>
      </c>
      <c r="B4108">
        <v>285352</v>
      </c>
      <c r="C4108" t="s">
        <v>7644</v>
      </c>
      <c r="D4108">
        <v>10</v>
      </c>
      <c r="E4108">
        <v>12</v>
      </c>
      <c r="F4108">
        <v>173</v>
      </c>
      <c r="G4108">
        <v>2076</v>
      </c>
      <c r="H4108">
        <v>119</v>
      </c>
      <c r="I4108">
        <v>1.5</v>
      </c>
      <c r="J4108">
        <v>4.99</v>
      </c>
      <c r="K4108">
        <v>10359.24</v>
      </c>
    </row>
    <row r="4109" spans="1:11" x14ac:dyDescent="0.2">
      <c r="B4109">
        <v>285355</v>
      </c>
      <c r="C4109" t="s">
        <v>7645</v>
      </c>
      <c r="D4109">
        <v>10</v>
      </c>
      <c r="E4109">
        <v>8</v>
      </c>
      <c r="F4109">
        <v>0</v>
      </c>
      <c r="G4109">
        <v>0</v>
      </c>
      <c r="H4109">
        <v>324</v>
      </c>
      <c r="I4109">
        <v>0</v>
      </c>
      <c r="J4109">
        <v>6.99</v>
      </c>
      <c r="K4109">
        <v>0</v>
      </c>
    </row>
    <row r="4110" spans="1:11" x14ac:dyDescent="0.2">
      <c r="A4110">
        <v>40428</v>
      </c>
      <c r="B4110">
        <v>285364</v>
      </c>
      <c r="C4110" t="s">
        <v>7646</v>
      </c>
      <c r="D4110">
        <v>10</v>
      </c>
      <c r="E4110">
        <v>2</v>
      </c>
      <c r="F4110">
        <v>0</v>
      </c>
      <c r="G4110">
        <v>0</v>
      </c>
      <c r="H4110">
        <v>35</v>
      </c>
      <c r="I4110">
        <v>0</v>
      </c>
      <c r="J4110">
        <v>69.989999999999995</v>
      </c>
      <c r="K4110">
        <v>0</v>
      </c>
    </row>
    <row r="4111" spans="1:11" x14ac:dyDescent="0.2">
      <c r="A4111">
        <v>50340</v>
      </c>
      <c r="B4111">
        <v>285470</v>
      </c>
      <c r="C4111" t="s">
        <v>7647</v>
      </c>
      <c r="D4111">
        <v>10</v>
      </c>
      <c r="E4111">
        <v>12</v>
      </c>
      <c r="F4111">
        <v>0</v>
      </c>
      <c r="G4111">
        <v>0</v>
      </c>
      <c r="H4111">
        <v>54</v>
      </c>
      <c r="I4111">
        <v>0</v>
      </c>
      <c r="J4111">
        <v>6.99</v>
      </c>
      <c r="K4111">
        <v>0</v>
      </c>
    </row>
    <row r="4112" spans="1:11" x14ac:dyDescent="0.2">
      <c r="A4112">
        <v>35882</v>
      </c>
      <c r="B4112">
        <v>285517</v>
      </c>
      <c r="C4112" t="s">
        <v>7648</v>
      </c>
      <c r="D4112">
        <v>10</v>
      </c>
      <c r="E4112">
        <v>4</v>
      </c>
      <c r="F4112">
        <v>0</v>
      </c>
      <c r="G4112">
        <v>0</v>
      </c>
      <c r="H4112">
        <v>38</v>
      </c>
      <c r="I4112">
        <v>0</v>
      </c>
      <c r="J4112">
        <v>5.99</v>
      </c>
      <c r="K4112">
        <v>0</v>
      </c>
    </row>
    <row r="4113" spans="1:11" x14ac:dyDescent="0.2">
      <c r="B4113">
        <v>285527</v>
      </c>
      <c r="C4113" t="s">
        <v>7649</v>
      </c>
      <c r="D4113">
        <v>10</v>
      </c>
      <c r="E4113">
        <v>8</v>
      </c>
      <c r="F4113">
        <v>0</v>
      </c>
      <c r="G4113">
        <v>0</v>
      </c>
      <c r="H4113">
        <v>80</v>
      </c>
      <c r="I4113">
        <v>0</v>
      </c>
      <c r="J4113">
        <v>11.99</v>
      </c>
      <c r="K4113">
        <v>0</v>
      </c>
    </row>
    <row r="4114" spans="1:11" x14ac:dyDescent="0.2">
      <c r="A4114">
        <v>38815</v>
      </c>
      <c r="B4114">
        <v>285535</v>
      </c>
      <c r="C4114" t="s">
        <v>7650</v>
      </c>
      <c r="D4114">
        <v>10</v>
      </c>
      <c r="E4114">
        <v>3</v>
      </c>
      <c r="F4114">
        <v>0</v>
      </c>
      <c r="G4114">
        <v>0</v>
      </c>
      <c r="H4114">
        <v>80</v>
      </c>
      <c r="I4114">
        <v>0</v>
      </c>
      <c r="J4114">
        <v>12.99</v>
      </c>
      <c r="K4114">
        <v>0</v>
      </c>
    </row>
    <row r="4115" spans="1:11" x14ac:dyDescent="0.2">
      <c r="A4115">
        <v>35883</v>
      </c>
      <c r="B4115">
        <v>285570</v>
      </c>
      <c r="C4115" t="s">
        <v>7651</v>
      </c>
      <c r="D4115">
        <v>10</v>
      </c>
      <c r="E4115">
        <v>2</v>
      </c>
      <c r="F4115">
        <v>0</v>
      </c>
      <c r="G4115">
        <v>0</v>
      </c>
      <c r="H4115">
        <v>72</v>
      </c>
      <c r="I4115">
        <v>0</v>
      </c>
      <c r="J4115">
        <v>21.99</v>
      </c>
      <c r="K4115">
        <v>0</v>
      </c>
    </row>
    <row r="4116" spans="1:11" x14ac:dyDescent="0.2">
      <c r="A4116">
        <v>44411</v>
      </c>
      <c r="B4116">
        <v>285625</v>
      </c>
      <c r="C4116" t="s">
        <v>7652</v>
      </c>
      <c r="D4116">
        <v>10</v>
      </c>
      <c r="E4116">
        <v>2</v>
      </c>
      <c r="F4116">
        <v>2</v>
      </c>
      <c r="G4116">
        <v>3</v>
      </c>
      <c r="H4116">
        <v>16</v>
      </c>
      <c r="I4116">
        <v>0.1</v>
      </c>
      <c r="J4116">
        <v>44.99</v>
      </c>
      <c r="K4116">
        <v>134.97</v>
      </c>
    </row>
    <row r="4117" spans="1:11" x14ac:dyDescent="0.2">
      <c r="A4117">
        <v>44412</v>
      </c>
      <c r="B4117">
        <v>285627</v>
      </c>
      <c r="C4117" t="s">
        <v>7653</v>
      </c>
      <c r="D4117">
        <v>10</v>
      </c>
      <c r="E4117">
        <v>6</v>
      </c>
      <c r="F4117">
        <v>-3</v>
      </c>
      <c r="G4117">
        <v>-18</v>
      </c>
      <c r="H4117">
        <v>28</v>
      </c>
      <c r="I4117">
        <v>-0.1</v>
      </c>
      <c r="J4117">
        <v>16.989999999999998</v>
      </c>
      <c r="K4117">
        <v>-305.82</v>
      </c>
    </row>
    <row r="4118" spans="1:11" x14ac:dyDescent="0.2">
      <c r="A4118">
        <v>50336</v>
      </c>
      <c r="B4118">
        <v>285628</v>
      </c>
      <c r="C4118" t="s">
        <v>7654</v>
      </c>
      <c r="D4118">
        <v>10</v>
      </c>
      <c r="E4118">
        <v>6</v>
      </c>
      <c r="F4118">
        <v>0</v>
      </c>
      <c r="G4118">
        <v>0</v>
      </c>
      <c r="H4118">
        <v>60</v>
      </c>
      <c r="I4118">
        <v>0</v>
      </c>
      <c r="J4118">
        <v>14.99</v>
      </c>
      <c r="K4118">
        <v>0</v>
      </c>
    </row>
    <row r="4119" spans="1:11" x14ac:dyDescent="0.2">
      <c r="A4119">
        <v>48105</v>
      </c>
      <c r="B4119">
        <v>285641</v>
      </c>
      <c r="C4119" t="s">
        <v>7655</v>
      </c>
      <c r="D4119">
        <v>10</v>
      </c>
      <c r="E4119">
        <v>4</v>
      </c>
      <c r="F4119">
        <v>1</v>
      </c>
      <c r="G4119">
        <v>4</v>
      </c>
      <c r="H4119">
        <v>24</v>
      </c>
      <c r="I4119">
        <v>0</v>
      </c>
      <c r="J4119">
        <v>19.989999999999998</v>
      </c>
      <c r="K4119">
        <v>79.959999999999994</v>
      </c>
    </row>
    <row r="4120" spans="1:11" x14ac:dyDescent="0.2">
      <c r="A4120">
        <v>48106</v>
      </c>
      <c r="B4120">
        <v>285650</v>
      </c>
      <c r="C4120" t="s">
        <v>7656</v>
      </c>
      <c r="D4120">
        <v>10</v>
      </c>
      <c r="E4120">
        <v>4</v>
      </c>
      <c r="F4120">
        <v>1</v>
      </c>
      <c r="G4120">
        <v>4</v>
      </c>
      <c r="H4120">
        <v>48</v>
      </c>
      <c r="I4120">
        <v>0</v>
      </c>
      <c r="J4120">
        <v>19.989999999999998</v>
      </c>
      <c r="K4120">
        <v>79.959999999999994</v>
      </c>
    </row>
    <row r="4121" spans="1:11" x14ac:dyDescent="0.2">
      <c r="A4121">
        <v>44413</v>
      </c>
      <c r="B4121">
        <v>285653</v>
      </c>
      <c r="C4121" t="s">
        <v>7657</v>
      </c>
      <c r="D4121">
        <v>10</v>
      </c>
      <c r="E4121">
        <v>1</v>
      </c>
      <c r="F4121">
        <v>-7</v>
      </c>
      <c r="G4121">
        <v>-7</v>
      </c>
      <c r="H4121">
        <v>35</v>
      </c>
      <c r="I4121">
        <v>-0.2</v>
      </c>
      <c r="J4121">
        <v>49.99</v>
      </c>
      <c r="K4121">
        <v>-349.93</v>
      </c>
    </row>
    <row r="4122" spans="1:11" x14ac:dyDescent="0.2">
      <c r="A4122">
        <v>48107</v>
      </c>
      <c r="B4122">
        <v>285669</v>
      </c>
      <c r="C4122" t="s">
        <v>7658</v>
      </c>
      <c r="D4122">
        <v>10</v>
      </c>
      <c r="E4122">
        <v>6</v>
      </c>
      <c r="F4122">
        <v>1</v>
      </c>
      <c r="G4122">
        <v>6</v>
      </c>
      <c r="H4122">
        <v>48</v>
      </c>
      <c r="I4122">
        <v>0</v>
      </c>
      <c r="J4122">
        <v>9.99</v>
      </c>
      <c r="K4122">
        <v>59.94</v>
      </c>
    </row>
    <row r="4123" spans="1:11" x14ac:dyDescent="0.2">
      <c r="A4123">
        <v>35884</v>
      </c>
      <c r="B4123">
        <v>285676</v>
      </c>
      <c r="C4123" t="s">
        <v>7659</v>
      </c>
      <c r="D4123">
        <v>10</v>
      </c>
      <c r="E4123">
        <v>10</v>
      </c>
      <c r="F4123">
        <v>0</v>
      </c>
      <c r="G4123">
        <v>0</v>
      </c>
      <c r="H4123">
        <v>65</v>
      </c>
      <c r="I4123">
        <v>0</v>
      </c>
      <c r="J4123">
        <v>19.989999999999998</v>
      </c>
      <c r="K4123">
        <v>0</v>
      </c>
    </row>
    <row r="4124" spans="1:11" x14ac:dyDescent="0.2">
      <c r="A4124">
        <v>48108</v>
      </c>
      <c r="B4124">
        <v>285683</v>
      </c>
      <c r="C4124" t="s">
        <v>7660</v>
      </c>
      <c r="D4124">
        <v>10</v>
      </c>
      <c r="E4124">
        <v>1</v>
      </c>
      <c r="F4124">
        <v>0</v>
      </c>
      <c r="G4124">
        <v>0</v>
      </c>
      <c r="H4124">
        <v>45</v>
      </c>
      <c r="I4124">
        <v>0</v>
      </c>
      <c r="J4124">
        <v>44.99</v>
      </c>
      <c r="K4124">
        <v>0</v>
      </c>
    </row>
    <row r="4125" spans="1:11" x14ac:dyDescent="0.2">
      <c r="A4125">
        <v>43802</v>
      </c>
      <c r="B4125">
        <v>285721</v>
      </c>
      <c r="C4125" t="s">
        <v>7661</v>
      </c>
      <c r="D4125">
        <v>10</v>
      </c>
      <c r="E4125">
        <v>1</v>
      </c>
      <c r="F4125">
        <v>0</v>
      </c>
      <c r="G4125">
        <v>0</v>
      </c>
      <c r="H4125">
        <v>33</v>
      </c>
      <c r="I4125">
        <v>0</v>
      </c>
      <c r="J4125">
        <v>59.89</v>
      </c>
      <c r="K4125">
        <v>0</v>
      </c>
    </row>
    <row r="4126" spans="1:11" x14ac:dyDescent="0.2">
      <c r="A4126">
        <v>44414</v>
      </c>
      <c r="B4126">
        <v>285727</v>
      </c>
      <c r="C4126" t="s">
        <v>7662</v>
      </c>
      <c r="D4126">
        <v>10</v>
      </c>
      <c r="E4126">
        <v>6</v>
      </c>
      <c r="F4126">
        <v>7</v>
      </c>
      <c r="G4126">
        <v>42</v>
      </c>
      <c r="H4126">
        <v>75</v>
      </c>
      <c r="I4126">
        <v>0.1</v>
      </c>
      <c r="J4126">
        <v>9.99</v>
      </c>
      <c r="K4126">
        <v>419.58</v>
      </c>
    </row>
    <row r="4127" spans="1:11" x14ac:dyDescent="0.2">
      <c r="A4127">
        <v>35885</v>
      </c>
      <c r="B4127">
        <v>285734</v>
      </c>
      <c r="C4127" t="s">
        <v>7663</v>
      </c>
      <c r="D4127">
        <v>10</v>
      </c>
      <c r="E4127">
        <v>6</v>
      </c>
      <c r="F4127">
        <v>0</v>
      </c>
      <c r="G4127">
        <v>0</v>
      </c>
      <c r="H4127">
        <v>110</v>
      </c>
      <c r="I4127">
        <v>0</v>
      </c>
      <c r="J4127">
        <v>5.99</v>
      </c>
      <c r="K4127">
        <v>0</v>
      </c>
    </row>
    <row r="4128" spans="1:11" x14ac:dyDescent="0.2">
      <c r="A4128">
        <v>48109</v>
      </c>
      <c r="B4128">
        <v>285737</v>
      </c>
      <c r="C4128" t="s">
        <v>7664</v>
      </c>
      <c r="D4128">
        <v>10</v>
      </c>
      <c r="E4128">
        <v>14</v>
      </c>
      <c r="F4128">
        <v>0</v>
      </c>
      <c r="G4128">
        <v>5</v>
      </c>
      <c r="H4128">
        <v>50</v>
      </c>
      <c r="I4128">
        <v>0</v>
      </c>
      <c r="J4128">
        <v>4.99</v>
      </c>
      <c r="K4128">
        <v>24.95</v>
      </c>
    </row>
    <row r="4129" spans="1:11" x14ac:dyDescent="0.2">
      <c r="A4129">
        <v>35886</v>
      </c>
      <c r="B4129">
        <v>285741</v>
      </c>
      <c r="C4129" t="s">
        <v>7665</v>
      </c>
      <c r="D4129">
        <v>10</v>
      </c>
      <c r="E4129">
        <v>12</v>
      </c>
      <c r="F4129">
        <v>0</v>
      </c>
      <c r="G4129">
        <v>0</v>
      </c>
      <c r="H4129">
        <v>18</v>
      </c>
      <c r="I4129">
        <v>0</v>
      </c>
      <c r="J4129">
        <v>9.99</v>
      </c>
      <c r="K4129">
        <v>0</v>
      </c>
    </row>
    <row r="4130" spans="1:11" x14ac:dyDescent="0.2">
      <c r="A4130">
        <v>48111</v>
      </c>
      <c r="B4130">
        <v>285752</v>
      </c>
      <c r="C4130" t="s">
        <v>7666</v>
      </c>
      <c r="D4130">
        <v>10</v>
      </c>
      <c r="E4130">
        <v>6</v>
      </c>
      <c r="F4130">
        <v>-7</v>
      </c>
      <c r="G4130">
        <v>-42</v>
      </c>
      <c r="H4130">
        <v>30</v>
      </c>
      <c r="I4130">
        <v>-0.2</v>
      </c>
      <c r="J4130">
        <v>12.99</v>
      </c>
      <c r="K4130">
        <v>-545.58000000000004</v>
      </c>
    </row>
    <row r="4131" spans="1:11" x14ac:dyDescent="0.2">
      <c r="A4131">
        <v>44415</v>
      </c>
      <c r="B4131">
        <v>285753</v>
      </c>
      <c r="C4131" t="s">
        <v>7667</v>
      </c>
      <c r="D4131">
        <v>10</v>
      </c>
      <c r="E4131">
        <v>1</v>
      </c>
      <c r="F4131">
        <v>0</v>
      </c>
      <c r="G4131">
        <v>0</v>
      </c>
      <c r="H4131">
        <v>63</v>
      </c>
      <c r="I4131">
        <v>0</v>
      </c>
      <c r="J4131">
        <v>59.99</v>
      </c>
      <c r="K4131">
        <v>0</v>
      </c>
    </row>
    <row r="4132" spans="1:11" x14ac:dyDescent="0.2">
      <c r="A4132">
        <v>44416</v>
      </c>
      <c r="B4132">
        <v>285785</v>
      </c>
      <c r="C4132" t="s">
        <v>7668</v>
      </c>
      <c r="D4132">
        <v>10</v>
      </c>
      <c r="E4132">
        <v>3</v>
      </c>
      <c r="F4132">
        <v>0</v>
      </c>
      <c r="G4132">
        <v>0</v>
      </c>
      <c r="H4132">
        <v>20</v>
      </c>
      <c r="I4132">
        <v>0</v>
      </c>
      <c r="J4132">
        <v>29.99</v>
      </c>
      <c r="K4132">
        <v>0</v>
      </c>
    </row>
    <row r="4133" spans="1:11" x14ac:dyDescent="0.2">
      <c r="A4133">
        <v>37807</v>
      </c>
      <c r="B4133">
        <v>285791</v>
      </c>
      <c r="C4133" t="s">
        <v>7669</v>
      </c>
      <c r="D4133">
        <v>10</v>
      </c>
      <c r="E4133">
        <v>8</v>
      </c>
      <c r="F4133">
        <v>0</v>
      </c>
      <c r="G4133">
        <v>0</v>
      </c>
      <c r="H4133">
        <v>20</v>
      </c>
      <c r="I4133">
        <v>0</v>
      </c>
      <c r="J4133">
        <v>9.99</v>
      </c>
      <c r="K4133">
        <v>0</v>
      </c>
    </row>
    <row r="4134" spans="1:11" x14ac:dyDescent="0.2">
      <c r="A4134">
        <v>37808</v>
      </c>
      <c r="B4134">
        <v>285792</v>
      </c>
      <c r="C4134" t="s">
        <v>7670</v>
      </c>
      <c r="D4134">
        <v>10</v>
      </c>
      <c r="E4134">
        <v>12</v>
      </c>
      <c r="F4134">
        <v>0</v>
      </c>
      <c r="G4134">
        <v>0</v>
      </c>
      <c r="H4134">
        <v>88</v>
      </c>
      <c r="I4134">
        <v>0</v>
      </c>
      <c r="J4134">
        <v>3.49</v>
      </c>
      <c r="K4134">
        <v>0</v>
      </c>
    </row>
    <row r="4135" spans="1:11" x14ac:dyDescent="0.2">
      <c r="A4135">
        <v>35887</v>
      </c>
      <c r="B4135">
        <v>285794</v>
      </c>
      <c r="C4135" t="s">
        <v>7671</v>
      </c>
      <c r="D4135">
        <v>10</v>
      </c>
      <c r="E4135">
        <v>2</v>
      </c>
      <c r="F4135">
        <v>0</v>
      </c>
      <c r="G4135">
        <v>0</v>
      </c>
      <c r="H4135">
        <v>60</v>
      </c>
      <c r="I4135">
        <v>0</v>
      </c>
      <c r="J4135">
        <v>29.99</v>
      </c>
      <c r="K4135">
        <v>0</v>
      </c>
    </row>
    <row r="4136" spans="1:11" x14ac:dyDescent="0.2">
      <c r="A4136">
        <v>35888</v>
      </c>
      <c r="B4136">
        <v>285806</v>
      </c>
      <c r="C4136" t="s">
        <v>7672</v>
      </c>
      <c r="D4136">
        <v>10</v>
      </c>
      <c r="E4136">
        <v>2</v>
      </c>
      <c r="F4136">
        <v>0</v>
      </c>
      <c r="G4136">
        <v>0</v>
      </c>
      <c r="H4136">
        <v>28</v>
      </c>
      <c r="I4136">
        <v>0</v>
      </c>
      <c r="J4136">
        <v>29.99</v>
      </c>
      <c r="K4136">
        <v>0</v>
      </c>
    </row>
    <row r="4137" spans="1:11" x14ac:dyDescent="0.2">
      <c r="A4137">
        <v>40802</v>
      </c>
      <c r="B4137">
        <v>285810</v>
      </c>
      <c r="C4137" t="s">
        <v>7673</v>
      </c>
      <c r="D4137">
        <v>10</v>
      </c>
      <c r="E4137">
        <v>10</v>
      </c>
      <c r="F4137">
        <v>0</v>
      </c>
      <c r="G4137">
        <v>0</v>
      </c>
      <c r="H4137">
        <v>24</v>
      </c>
      <c r="I4137">
        <v>0</v>
      </c>
      <c r="J4137">
        <v>5.99</v>
      </c>
      <c r="K4137">
        <v>0</v>
      </c>
    </row>
    <row r="4138" spans="1:11" x14ac:dyDescent="0.2">
      <c r="A4138">
        <v>35889</v>
      </c>
      <c r="B4138">
        <v>285817</v>
      </c>
      <c r="C4138" t="s">
        <v>7674</v>
      </c>
      <c r="D4138">
        <v>10</v>
      </c>
      <c r="E4138">
        <v>15</v>
      </c>
      <c r="F4138">
        <v>0</v>
      </c>
      <c r="G4138">
        <v>0</v>
      </c>
      <c r="H4138">
        <v>20</v>
      </c>
      <c r="I4138">
        <v>0</v>
      </c>
      <c r="J4138">
        <v>5.99</v>
      </c>
      <c r="K4138">
        <v>0</v>
      </c>
    </row>
    <row r="4139" spans="1:11" x14ac:dyDescent="0.2">
      <c r="A4139">
        <v>32937</v>
      </c>
      <c r="B4139">
        <v>285842</v>
      </c>
      <c r="C4139" t="s">
        <v>7675</v>
      </c>
      <c r="D4139">
        <v>10</v>
      </c>
      <c r="E4139">
        <v>14</v>
      </c>
      <c r="F4139">
        <v>0</v>
      </c>
      <c r="G4139">
        <v>0</v>
      </c>
      <c r="H4139">
        <v>119</v>
      </c>
      <c r="I4139">
        <v>0</v>
      </c>
      <c r="J4139">
        <v>1</v>
      </c>
      <c r="K4139">
        <v>0</v>
      </c>
    </row>
    <row r="4140" spans="1:11" x14ac:dyDescent="0.2">
      <c r="A4140">
        <v>35890</v>
      </c>
      <c r="B4140">
        <v>285880</v>
      </c>
      <c r="C4140" t="s">
        <v>7676</v>
      </c>
      <c r="D4140">
        <v>10</v>
      </c>
      <c r="E4140">
        <v>12</v>
      </c>
      <c r="F4140">
        <v>0</v>
      </c>
      <c r="G4140">
        <v>0</v>
      </c>
      <c r="H4140">
        <v>24</v>
      </c>
      <c r="I4140">
        <v>0</v>
      </c>
      <c r="J4140">
        <v>3.99</v>
      </c>
      <c r="K4140">
        <v>0</v>
      </c>
    </row>
    <row r="4141" spans="1:11" x14ac:dyDescent="0.2">
      <c r="A4141">
        <v>50337</v>
      </c>
      <c r="B4141">
        <v>285881</v>
      </c>
      <c r="C4141" t="s">
        <v>7677</v>
      </c>
      <c r="D4141">
        <v>10</v>
      </c>
      <c r="E4141">
        <v>5</v>
      </c>
      <c r="F4141">
        <v>0</v>
      </c>
      <c r="G4141">
        <v>0</v>
      </c>
      <c r="H4141">
        <v>112</v>
      </c>
      <c r="I4141">
        <v>0</v>
      </c>
      <c r="J4141">
        <v>4.99</v>
      </c>
      <c r="K4141">
        <v>0</v>
      </c>
    </row>
    <row r="4142" spans="1:11" x14ac:dyDescent="0.2">
      <c r="A4142">
        <v>40914</v>
      </c>
      <c r="B4142">
        <v>285882</v>
      </c>
      <c r="C4142" t="s">
        <v>7678</v>
      </c>
      <c r="D4142">
        <v>10</v>
      </c>
      <c r="E4142">
        <v>14</v>
      </c>
      <c r="F4142">
        <v>0</v>
      </c>
      <c r="G4142">
        <v>0</v>
      </c>
      <c r="H4142">
        <v>78</v>
      </c>
      <c r="I4142">
        <v>0</v>
      </c>
      <c r="J4142">
        <v>1</v>
      </c>
      <c r="K4142">
        <v>0</v>
      </c>
    </row>
    <row r="4143" spans="1:11" x14ac:dyDescent="0.2">
      <c r="A4143">
        <v>32938</v>
      </c>
      <c r="B4143">
        <v>285891</v>
      </c>
      <c r="C4143" t="s">
        <v>7603</v>
      </c>
      <c r="D4143">
        <v>10</v>
      </c>
      <c r="E4143">
        <v>14</v>
      </c>
      <c r="F4143">
        <v>0</v>
      </c>
      <c r="G4143">
        <v>0</v>
      </c>
      <c r="H4143">
        <v>84</v>
      </c>
      <c r="I4143">
        <v>0</v>
      </c>
      <c r="J4143">
        <v>1</v>
      </c>
      <c r="K4143">
        <v>0</v>
      </c>
    </row>
    <row r="4144" spans="1:11" x14ac:dyDescent="0.2">
      <c r="A4144">
        <v>6247</v>
      </c>
      <c r="B4144">
        <v>285903</v>
      </c>
      <c r="C4144" t="s">
        <v>7679</v>
      </c>
      <c r="D4144">
        <v>10</v>
      </c>
      <c r="E4144">
        <v>1</v>
      </c>
      <c r="F4144">
        <v>0</v>
      </c>
      <c r="G4144">
        <v>0</v>
      </c>
      <c r="H4144">
        <v>60</v>
      </c>
      <c r="I4144">
        <v>0</v>
      </c>
      <c r="J4144">
        <v>99</v>
      </c>
      <c r="K4144">
        <v>0</v>
      </c>
    </row>
    <row r="4145" spans="1:11" x14ac:dyDescent="0.2">
      <c r="A4145">
        <v>50339</v>
      </c>
      <c r="B4145">
        <v>285921</v>
      </c>
      <c r="C4145" t="s">
        <v>7680</v>
      </c>
      <c r="D4145">
        <v>10</v>
      </c>
      <c r="E4145">
        <v>6</v>
      </c>
      <c r="F4145">
        <v>0</v>
      </c>
      <c r="G4145">
        <v>0</v>
      </c>
      <c r="H4145">
        <v>18</v>
      </c>
      <c r="I4145">
        <v>0</v>
      </c>
      <c r="J4145">
        <v>22.99</v>
      </c>
      <c r="K4145">
        <v>0</v>
      </c>
    </row>
    <row r="4146" spans="1:11" x14ac:dyDescent="0.2">
      <c r="B4146">
        <v>285949</v>
      </c>
      <c r="C4146" t="s">
        <v>7681</v>
      </c>
      <c r="D4146">
        <v>10</v>
      </c>
      <c r="E4146">
        <v>10</v>
      </c>
      <c r="F4146">
        <v>0</v>
      </c>
      <c r="G4146">
        <v>0</v>
      </c>
      <c r="H4146">
        <v>112</v>
      </c>
      <c r="I4146">
        <v>0</v>
      </c>
      <c r="J4146">
        <v>11.99</v>
      </c>
      <c r="K4146">
        <v>0</v>
      </c>
    </row>
    <row r="4147" spans="1:11" x14ac:dyDescent="0.2">
      <c r="A4147">
        <v>32939</v>
      </c>
      <c r="B4147">
        <v>285952</v>
      </c>
      <c r="C4147" t="s">
        <v>7604</v>
      </c>
      <c r="D4147">
        <v>10</v>
      </c>
      <c r="E4147">
        <v>14</v>
      </c>
      <c r="F4147">
        <v>0</v>
      </c>
      <c r="G4147">
        <v>0</v>
      </c>
      <c r="H4147">
        <v>42</v>
      </c>
      <c r="I4147">
        <v>0</v>
      </c>
      <c r="J4147">
        <v>1</v>
      </c>
      <c r="K4147">
        <v>0</v>
      </c>
    </row>
    <row r="4148" spans="1:11" x14ac:dyDescent="0.2">
      <c r="A4148">
        <v>38816</v>
      </c>
      <c r="B4148">
        <v>285981</v>
      </c>
      <c r="C4148" t="s">
        <v>7682</v>
      </c>
      <c r="D4148">
        <v>10</v>
      </c>
      <c r="E4148">
        <v>4</v>
      </c>
      <c r="F4148">
        <v>0</v>
      </c>
      <c r="G4148">
        <v>0</v>
      </c>
      <c r="H4148">
        <v>35</v>
      </c>
      <c r="I4148">
        <v>0</v>
      </c>
      <c r="J4148">
        <v>12.99</v>
      </c>
      <c r="K4148">
        <v>0</v>
      </c>
    </row>
    <row r="4149" spans="1:11" x14ac:dyDescent="0.2">
      <c r="A4149">
        <v>46802</v>
      </c>
      <c r="B4149">
        <v>285991</v>
      </c>
      <c r="C4149" t="s">
        <v>7683</v>
      </c>
      <c r="D4149">
        <v>10</v>
      </c>
      <c r="E4149">
        <v>4</v>
      </c>
      <c r="F4149">
        <v>0</v>
      </c>
      <c r="G4149">
        <v>0</v>
      </c>
      <c r="H4149">
        <v>27</v>
      </c>
      <c r="I4149">
        <v>0</v>
      </c>
      <c r="J4149">
        <v>24.99</v>
      </c>
      <c r="K4149">
        <v>0</v>
      </c>
    </row>
    <row r="4150" spans="1:11" x14ac:dyDescent="0.2">
      <c r="A4150">
        <v>41803</v>
      </c>
      <c r="B4150">
        <v>285993</v>
      </c>
      <c r="C4150" t="s">
        <v>7684</v>
      </c>
      <c r="D4150">
        <v>10</v>
      </c>
      <c r="E4150">
        <v>6</v>
      </c>
      <c r="F4150">
        <v>0</v>
      </c>
      <c r="G4150">
        <v>0</v>
      </c>
      <c r="H4150">
        <v>98</v>
      </c>
      <c r="I4150">
        <v>0</v>
      </c>
      <c r="J4150">
        <v>12.99</v>
      </c>
      <c r="K4150">
        <v>0</v>
      </c>
    </row>
    <row r="4151" spans="1:11" x14ac:dyDescent="0.2">
      <c r="A4151">
        <v>32940</v>
      </c>
      <c r="B4151">
        <v>286190</v>
      </c>
      <c r="C4151" t="s">
        <v>7685</v>
      </c>
      <c r="D4151">
        <v>10</v>
      </c>
      <c r="E4151">
        <v>16</v>
      </c>
      <c r="F4151">
        <v>0</v>
      </c>
      <c r="G4151">
        <v>0</v>
      </c>
      <c r="H4151">
        <v>54</v>
      </c>
      <c r="I4151">
        <v>0</v>
      </c>
      <c r="J4151">
        <v>5.99</v>
      </c>
      <c r="K4151">
        <v>0</v>
      </c>
    </row>
    <row r="4152" spans="1:11" x14ac:dyDescent="0.2">
      <c r="A4152">
        <v>32941</v>
      </c>
      <c r="B4152">
        <v>286251</v>
      </c>
      <c r="C4152" t="s">
        <v>7686</v>
      </c>
      <c r="D4152">
        <v>10</v>
      </c>
      <c r="E4152">
        <v>10</v>
      </c>
      <c r="F4152">
        <v>0</v>
      </c>
      <c r="G4152">
        <v>0</v>
      </c>
      <c r="H4152">
        <v>224</v>
      </c>
      <c r="I4152">
        <v>0</v>
      </c>
      <c r="J4152">
        <v>1</v>
      </c>
      <c r="K4152">
        <v>0</v>
      </c>
    </row>
    <row r="4153" spans="1:11" x14ac:dyDescent="0.2">
      <c r="A4153">
        <v>25920</v>
      </c>
      <c r="B4153">
        <v>286297</v>
      </c>
      <c r="C4153" t="s">
        <v>6287</v>
      </c>
      <c r="D4153">
        <v>10</v>
      </c>
      <c r="E4153">
        <v>14</v>
      </c>
      <c r="F4153">
        <v>0</v>
      </c>
      <c r="G4153">
        <v>0</v>
      </c>
      <c r="H4153">
        <v>40</v>
      </c>
      <c r="I4153">
        <v>0</v>
      </c>
      <c r="J4153">
        <v>1</v>
      </c>
      <c r="K4153">
        <v>0</v>
      </c>
    </row>
    <row r="4154" spans="1:11" x14ac:dyDescent="0.2">
      <c r="A4154">
        <v>44801</v>
      </c>
      <c r="B4154">
        <v>286507</v>
      </c>
      <c r="C4154" t="s">
        <v>7687</v>
      </c>
      <c r="D4154">
        <v>11</v>
      </c>
      <c r="E4154">
        <v>2</v>
      </c>
      <c r="F4154">
        <v>0</v>
      </c>
      <c r="G4154">
        <v>0</v>
      </c>
      <c r="H4154">
        <v>48</v>
      </c>
      <c r="I4154">
        <v>0</v>
      </c>
      <c r="J4154">
        <v>49.99</v>
      </c>
      <c r="K4154">
        <v>0</v>
      </c>
    </row>
    <row r="4155" spans="1:11" x14ac:dyDescent="0.2">
      <c r="B4155">
        <v>286511</v>
      </c>
      <c r="C4155" t="s">
        <v>7688</v>
      </c>
      <c r="D4155">
        <v>12</v>
      </c>
      <c r="E4155">
        <v>10</v>
      </c>
      <c r="F4155">
        <v>0</v>
      </c>
      <c r="G4155">
        <v>0</v>
      </c>
      <c r="H4155">
        <v>84</v>
      </c>
      <c r="I4155">
        <v>0</v>
      </c>
      <c r="J4155">
        <v>4.99</v>
      </c>
      <c r="K4155">
        <v>0</v>
      </c>
    </row>
    <row r="4156" spans="1:11" x14ac:dyDescent="0.2">
      <c r="B4156">
        <v>286512</v>
      </c>
      <c r="C4156" t="s">
        <v>7689</v>
      </c>
      <c r="D4156">
        <v>12</v>
      </c>
      <c r="E4156">
        <v>6</v>
      </c>
      <c r="F4156">
        <v>0</v>
      </c>
      <c r="G4156">
        <v>0</v>
      </c>
      <c r="H4156">
        <v>120</v>
      </c>
      <c r="I4156">
        <v>0</v>
      </c>
      <c r="J4156">
        <v>3.99</v>
      </c>
      <c r="K4156">
        <v>0</v>
      </c>
    </row>
    <row r="4157" spans="1:11" x14ac:dyDescent="0.2">
      <c r="B4157">
        <v>286591</v>
      </c>
      <c r="C4157" t="s">
        <v>7690</v>
      </c>
      <c r="D4157">
        <v>12</v>
      </c>
      <c r="E4157">
        <v>10</v>
      </c>
      <c r="F4157">
        <v>0</v>
      </c>
      <c r="G4157">
        <v>0</v>
      </c>
      <c r="H4157">
        <v>90</v>
      </c>
      <c r="I4157">
        <v>0</v>
      </c>
      <c r="J4157">
        <v>6.99</v>
      </c>
      <c r="K4157">
        <v>0</v>
      </c>
    </row>
    <row r="4158" spans="1:11" x14ac:dyDescent="0.2">
      <c r="B4158">
        <v>286693</v>
      </c>
      <c r="C4158" t="s">
        <v>7691</v>
      </c>
      <c r="D4158">
        <v>10</v>
      </c>
      <c r="E4158">
        <v>12</v>
      </c>
      <c r="F4158">
        <v>0</v>
      </c>
      <c r="G4158">
        <v>0</v>
      </c>
      <c r="H4158">
        <v>84</v>
      </c>
      <c r="I4158">
        <v>0</v>
      </c>
      <c r="J4158">
        <v>5.99</v>
      </c>
      <c r="K4158">
        <v>0</v>
      </c>
    </row>
    <row r="4159" spans="1:11" x14ac:dyDescent="0.2">
      <c r="A4159">
        <v>50341</v>
      </c>
      <c r="B4159">
        <v>286771</v>
      </c>
      <c r="C4159" t="s">
        <v>7692</v>
      </c>
      <c r="D4159">
        <v>10</v>
      </c>
      <c r="E4159">
        <v>4</v>
      </c>
      <c r="F4159">
        <v>0</v>
      </c>
      <c r="G4159">
        <v>0</v>
      </c>
      <c r="H4159">
        <v>16</v>
      </c>
      <c r="I4159">
        <v>0</v>
      </c>
      <c r="J4159">
        <v>49.99</v>
      </c>
      <c r="K4159">
        <v>0</v>
      </c>
    </row>
    <row r="4160" spans="1:11" x14ac:dyDescent="0.2">
      <c r="B4160">
        <v>286805</v>
      </c>
      <c r="C4160" t="s">
        <v>7693</v>
      </c>
      <c r="D4160">
        <v>12</v>
      </c>
      <c r="E4160">
        <v>8</v>
      </c>
      <c r="F4160">
        <v>0</v>
      </c>
      <c r="G4160">
        <v>0</v>
      </c>
      <c r="H4160">
        <v>10</v>
      </c>
      <c r="I4160">
        <v>0</v>
      </c>
      <c r="J4160">
        <v>34.99</v>
      </c>
      <c r="K4160">
        <v>0</v>
      </c>
    </row>
    <row r="4161" spans="1:11" x14ac:dyDescent="0.2">
      <c r="B4161">
        <v>286815</v>
      </c>
      <c r="C4161" t="s">
        <v>7694</v>
      </c>
      <c r="D4161">
        <v>10</v>
      </c>
      <c r="E4161">
        <v>20</v>
      </c>
      <c r="F4161">
        <v>0</v>
      </c>
      <c r="G4161">
        <v>0</v>
      </c>
      <c r="H4161">
        <v>54</v>
      </c>
      <c r="I4161">
        <v>0</v>
      </c>
      <c r="J4161">
        <v>5.49</v>
      </c>
      <c r="K4161">
        <v>0</v>
      </c>
    </row>
    <row r="4162" spans="1:11" x14ac:dyDescent="0.2">
      <c r="B4162">
        <v>286821</v>
      </c>
      <c r="C4162" t="s">
        <v>7695</v>
      </c>
      <c r="D4162">
        <v>11</v>
      </c>
      <c r="E4162">
        <v>20</v>
      </c>
      <c r="F4162">
        <v>0</v>
      </c>
      <c r="G4162">
        <v>0</v>
      </c>
      <c r="H4162">
        <v>327</v>
      </c>
      <c r="I4162">
        <v>0</v>
      </c>
      <c r="J4162">
        <v>1</v>
      </c>
      <c r="K4162">
        <v>0</v>
      </c>
    </row>
    <row r="4163" spans="1:11" x14ac:dyDescent="0.2">
      <c r="A4163">
        <v>35891</v>
      </c>
      <c r="B4163">
        <v>286851</v>
      </c>
      <c r="C4163" t="s">
        <v>7696</v>
      </c>
      <c r="D4163">
        <v>10</v>
      </c>
      <c r="E4163">
        <v>4</v>
      </c>
      <c r="F4163">
        <v>0</v>
      </c>
      <c r="G4163">
        <v>0</v>
      </c>
      <c r="H4163">
        <v>40</v>
      </c>
      <c r="I4163">
        <v>0</v>
      </c>
      <c r="J4163">
        <v>24.99</v>
      </c>
      <c r="K4163">
        <v>0</v>
      </c>
    </row>
    <row r="4164" spans="1:11" x14ac:dyDescent="0.2">
      <c r="A4164">
        <v>50342</v>
      </c>
      <c r="B4164">
        <v>286904</v>
      </c>
      <c r="C4164" t="s">
        <v>7697</v>
      </c>
      <c r="D4164">
        <v>10</v>
      </c>
      <c r="E4164">
        <v>10</v>
      </c>
      <c r="F4164">
        <v>0</v>
      </c>
      <c r="G4164">
        <v>0</v>
      </c>
      <c r="H4164">
        <v>80</v>
      </c>
      <c r="I4164">
        <v>0</v>
      </c>
      <c r="J4164">
        <v>9.99</v>
      </c>
      <c r="K4164">
        <v>0</v>
      </c>
    </row>
    <row r="4165" spans="1:11" x14ac:dyDescent="0.2">
      <c r="A4165">
        <v>43803</v>
      </c>
      <c r="B4165">
        <v>287053</v>
      </c>
      <c r="C4165" t="s">
        <v>7698</v>
      </c>
      <c r="D4165">
        <v>10</v>
      </c>
      <c r="E4165">
        <v>6</v>
      </c>
      <c r="F4165">
        <v>2</v>
      </c>
      <c r="G4165">
        <v>9</v>
      </c>
      <c r="H4165">
        <v>54</v>
      </c>
      <c r="I4165">
        <v>0</v>
      </c>
      <c r="J4165">
        <v>13.99</v>
      </c>
      <c r="K4165">
        <v>125.91</v>
      </c>
    </row>
    <row r="4166" spans="1:11" x14ac:dyDescent="0.2">
      <c r="A4166">
        <v>38817</v>
      </c>
      <c r="B4166">
        <v>287120</v>
      </c>
      <c r="C4166" t="s">
        <v>7699</v>
      </c>
      <c r="D4166">
        <v>10</v>
      </c>
      <c r="E4166">
        <v>12</v>
      </c>
      <c r="F4166">
        <v>0</v>
      </c>
      <c r="G4166">
        <v>0</v>
      </c>
      <c r="H4166">
        <v>32</v>
      </c>
      <c r="I4166">
        <v>0</v>
      </c>
      <c r="J4166">
        <v>4.99</v>
      </c>
      <c r="K4166">
        <v>0</v>
      </c>
    </row>
    <row r="4167" spans="1:11" x14ac:dyDescent="0.2">
      <c r="B4167">
        <v>287135</v>
      </c>
      <c r="C4167" t="s">
        <v>7700</v>
      </c>
      <c r="D4167">
        <v>12</v>
      </c>
      <c r="E4167">
        <v>6</v>
      </c>
      <c r="F4167">
        <v>0</v>
      </c>
      <c r="G4167">
        <v>0</v>
      </c>
      <c r="H4167">
        <v>25</v>
      </c>
      <c r="I4167">
        <v>0</v>
      </c>
      <c r="J4167">
        <v>7.99</v>
      </c>
      <c r="K4167">
        <v>0</v>
      </c>
    </row>
    <row r="4168" spans="1:11" x14ac:dyDescent="0.2">
      <c r="A4168">
        <v>48801</v>
      </c>
      <c r="B4168">
        <v>287155</v>
      </c>
      <c r="C4168" t="s">
        <v>7701</v>
      </c>
      <c r="D4168">
        <v>10</v>
      </c>
      <c r="E4168">
        <v>6</v>
      </c>
      <c r="F4168">
        <v>0</v>
      </c>
      <c r="G4168">
        <v>0</v>
      </c>
      <c r="H4168">
        <v>14</v>
      </c>
      <c r="I4168">
        <v>0</v>
      </c>
      <c r="J4168">
        <v>24.99</v>
      </c>
      <c r="K4168">
        <v>0</v>
      </c>
    </row>
    <row r="4169" spans="1:11" x14ac:dyDescent="0.2">
      <c r="B4169">
        <v>287201</v>
      </c>
      <c r="C4169" t="s">
        <v>7702</v>
      </c>
      <c r="D4169">
        <v>11</v>
      </c>
      <c r="E4169">
        <v>50</v>
      </c>
      <c r="F4169">
        <v>0</v>
      </c>
      <c r="G4169">
        <v>0</v>
      </c>
      <c r="H4169">
        <v>77</v>
      </c>
      <c r="I4169">
        <v>0</v>
      </c>
      <c r="J4169">
        <v>1</v>
      </c>
      <c r="K4169">
        <v>0</v>
      </c>
    </row>
    <row r="4170" spans="1:11" x14ac:dyDescent="0.2">
      <c r="A4170">
        <v>38818</v>
      </c>
      <c r="B4170">
        <v>287483</v>
      </c>
      <c r="C4170" t="s">
        <v>7703</v>
      </c>
      <c r="D4170">
        <v>10</v>
      </c>
      <c r="E4170">
        <v>6</v>
      </c>
      <c r="F4170">
        <v>0</v>
      </c>
      <c r="G4170">
        <v>0</v>
      </c>
      <c r="H4170">
        <v>15</v>
      </c>
      <c r="I4170">
        <v>0</v>
      </c>
      <c r="J4170">
        <v>19.989999999999998</v>
      </c>
      <c r="K4170">
        <v>0</v>
      </c>
    </row>
    <row r="4171" spans="1:11" x14ac:dyDescent="0.2">
      <c r="A4171">
        <v>48112</v>
      </c>
      <c r="B4171">
        <v>287533</v>
      </c>
      <c r="C4171" t="s">
        <v>7704</v>
      </c>
      <c r="D4171">
        <v>10</v>
      </c>
      <c r="E4171">
        <v>16</v>
      </c>
      <c r="F4171">
        <v>1</v>
      </c>
      <c r="G4171">
        <v>16</v>
      </c>
      <c r="H4171">
        <v>11</v>
      </c>
      <c r="I4171">
        <v>0.1</v>
      </c>
      <c r="J4171">
        <v>8.99</v>
      </c>
      <c r="K4171">
        <v>143.84</v>
      </c>
    </row>
    <row r="4172" spans="1:11" x14ac:dyDescent="0.2">
      <c r="B4172">
        <v>287710</v>
      </c>
      <c r="C4172" t="s">
        <v>7705</v>
      </c>
      <c r="D4172">
        <v>11</v>
      </c>
      <c r="E4172">
        <v>16</v>
      </c>
      <c r="F4172">
        <v>0</v>
      </c>
      <c r="G4172">
        <v>0</v>
      </c>
      <c r="H4172">
        <v>35</v>
      </c>
      <c r="I4172">
        <v>0</v>
      </c>
      <c r="J4172">
        <v>5.99</v>
      </c>
      <c r="K4172">
        <v>0</v>
      </c>
    </row>
    <row r="4173" spans="1:11" x14ac:dyDescent="0.2">
      <c r="B4173">
        <v>287913</v>
      </c>
      <c r="C4173" t="s">
        <v>7706</v>
      </c>
      <c r="D4173">
        <v>11</v>
      </c>
      <c r="E4173">
        <v>18</v>
      </c>
      <c r="F4173">
        <v>0</v>
      </c>
      <c r="G4173">
        <v>0</v>
      </c>
      <c r="H4173">
        <v>24</v>
      </c>
      <c r="I4173">
        <v>0</v>
      </c>
      <c r="J4173">
        <v>11.99</v>
      </c>
      <c r="K4173">
        <v>0</v>
      </c>
    </row>
    <row r="4174" spans="1:11" x14ac:dyDescent="0.2">
      <c r="A4174">
        <v>39424</v>
      </c>
      <c r="B4174">
        <v>287918</v>
      </c>
      <c r="C4174" t="s">
        <v>7707</v>
      </c>
      <c r="D4174">
        <v>10</v>
      </c>
      <c r="E4174">
        <v>12</v>
      </c>
      <c r="F4174">
        <v>0</v>
      </c>
      <c r="G4174">
        <v>0</v>
      </c>
      <c r="H4174">
        <v>100</v>
      </c>
      <c r="I4174">
        <v>0</v>
      </c>
      <c r="J4174">
        <v>9.99</v>
      </c>
      <c r="K4174">
        <v>0</v>
      </c>
    </row>
    <row r="4175" spans="1:11" x14ac:dyDescent="0.2">
      <c r="A4175">
        <v>48113</v>
      </c>
      <c r="B4175">
        <v>287925</v>
      </c>
      <c r="C4175" t="s">
        <v>7708</v>
      </c>
      <c r="D4175">
        <v>10</v>
      </c>
      <c r="E4175">
        <v>18</v>
      </c>
      <c r="F4175">
        <v>0</v>
      </c>
      <c r="G4175">
        <v>0</v>
      </c>
      <c r="H4175">
        <v>30</v>
      </c>
      <c r="I4175">
        <v>0</v>
      </c>
      <c r="J4175">
        <v>5.99</v>
      </c>
      <c r="K4175">
        <v>0</v>
      </c>
    </row>
    <row r="4176" spans="1:11" x14ac:dyDescent="0.2">
      <c r="A4176">
        <v>35892</v>
      </c>
      <c r="B4176">
        <v>287935</v>
      </c>
      <c r="C4176" t="s">
        <v>7709</v>
      </c>
      <c r="D4176">
        <v>10</v>
      </c>
      <c r="E4176">
        <v>4</v>
      </c>
      <c r="F4176">
        <v>0</v>
      </c>
      <c r="G4176">
        <v>0</v>
      </c>
      <c r="H4176">
        <v>65</v>
      </c>
      <c r="I4176">
        <v>0</v>
      </c>
      <c r="J4176">
        <v>4.99</v>
      </c>
      <c r="K4176">
        <v>0</v>
      </c>
    </row>
    <row r="4177" spans="1:11" x14ac:dyDescent="0.2">
      <c r="A4177">
        <v>38819</v>
      </c>
      <c r="B4177">
        <v>287981</v>
      </c>
      <c r="C4177" t="s">
        <v>7710</v>
      </c>
      <c r="D4177">
        <v>10</v>
      </c>
      <c r="E4177">
        <v>10</v>
      </c>
      <c r="F4177">
        <v>0</v>
      </c>
      <c r="G4177">
        <v>0</v>
      </c>
      <c r="H4177">
        <v>42</v>
      </c>
      <c r="I4177">
        <v>0</v>
      </c>
      <c r="J4177">
        <v>7.99</v>
      </c>
      <c r="K4177">
        <v>0</v>
      </c>
    </row>
    <row r="4178" spans="1:11" x14ac:dyDescent="0.2">
      <c r="A4178">
        <v>30803</v>
      </c>
      <c r="B4178">
        <v>288007</v>
      </c>
      <c r="C4178" t="s">
        <v>7711</v>
      </c>
      <c r="D4178">
        <v>10</v>
      </c>
      <c r="E4178">
        <v>10</v>
      </c>
      <c r="F4178">
        <v>0</v>
      </c>
      <c r="G4178">
        <v>0</v>
      </c>
      <c r="H4178">
        <v>88</v>
      </c>
      <c r="I4178">
        <v>0</v>
      </c>
      <c r="J4178">
        <v>3.99</v>
      </c>
      <c r="K4178">
        <v>0</v>
      </c>
    </row>
    <row r="4179" spans="1:11" x14ac:dyDescent="0.2">
      <c r="A4179">
        <v>45800</v>
      </c>
      <c r="B4179">
        <v>288019</v>
      </c>
      <c r="C4179" t="s">
        <v>7712</v>
      </c>
      <c r="D4179">
        <v>10</v>
      </c>
      <c r="E4179">
        <v>12</v>
      </c>
      <c r="F4179">
        <v>-3</v>
      </c>
      <c r="G4179">
        <v>-36</v>
      </c>
      <c r="H4179">
        <v>99</v>
      </c>
      <c r="I4179">
        <v>0</v>
      </c>
      <c r="J4179">
        <v>9.99</v>
      </c>
      <c r="K4179">
        <v>-359.64</v>
      </c>
    </row>
    <row r="4180" spans="1:11" x14ac:dyDescent="0.2">
      <c r="A4180">
        <v>1352</v>
      </c>
      <c r="B4180">
        <v>288164</v>
      </c>
      <c r="C4180" t="s">
        <v>7713</v>
      </c>
      <c r="D4180">
        <v>10</v>
      </c>
      <c r="E4180">
        <v>40</v>
      </c>
      <c r="F4180">
        <v>0</v>
      </c>
      <c r="G4180">
        <v>0</v>
      </c>
      <c r="H4180">
        <v>80</v>
      </c>
      <c r="I4180">
        <v>0</v>
      </c>
      <c r="J4180">
        <v>3.99</v>
      </c>
      <c r="K4180">
        <v>0</v>
      </c>
    </row>
    <row r="4181" spans="1:11" x14ac:dyDescent="0.2">
      <c r="A4181">
        <v>25418</v>
      </c>
      <c r="B4181">
        <v>288172</v>
      </c>
      <c r="C4181" t="s">
        <v>7714</v>
      </c>
      <c r="D4181">
        <v>10</v>
      </c>
      <c r="E4181">
        <v>4</v>
      </c>
      <c r="F4181">
        <v>0</v>
      </c>
      <c r="G4181">
        <v>0</v>
      </c>
      <c r="H4181">
        <v>66</v>
      </c>
      <c r="I4181">
        <v>0</v>
      </c>
      <c r="J4181">
        <v>14.99</v>
      </c>
      <c r="K4181">
        <v>0</v>
      </c>
    </row>
    <row r="4182" spans="1:11" x14ac:dyDescent="0.2">
      <c r="A4182">
        <v>47801</v>
      </c>
      <c r="B4182">
        <v>288184</v>
      </c>
      <c r="C4182" t="s">
        <v>7715</v>
      </c>
      <c r="D4182">
        <v>10</v>
      </c>
      <c r="E4182">
        <v>1</v>
      </c>
      <c r="F4182">
        <v>1</v>
      </c>
      <c r="G4182">
        <v>1</v>
      </c>
      <c r="H4182">
        <v>20</v>
      </c>
      <c r="I4182">
        <v>0.1</v>
      </c>
      <c r="J4182">
        <v>56.99</v>
      </c>
      <c r="K4182">
        <v>56.99</v>
      </c>
    </row>
    <row r="4183" spans="1:11" x14ac:dyDescent="0.2">
      <c r="A4183">
        <v>29922</v>
      </c>
      <c r="B4183">
        <v>288189</v>
      </c>
      <c r="C4183" t="s">
        <v>7716</v>
      </c>
      <c r="D4183">
        <v>10</v>
      </c>
      <c r="E4183">
        <v>24</v>
      </c>
      <c r="F4183">
        <v>0</v>
      </c>
      <c r="G4183">
        <v>0</v>
      </c>
      <c r="H4183">
        <v>120</v>
      </c>
      <c r="I4183">
        <v>0</v>
      </c>
      <c r="J4183">
        <v>0.5</v>
      </c>
      <c r="K4183">
        <v>0</v>
      </c>
    </row>
    <row r="4184" spans="1:11" x14ac:dyDescent="0.2">
      <c r="B4184">
        <v>288192</v>
      </c>
      <c r="C4184" t="s">
        <v>7717</v>
      </c>
      <c r="D4184">
        <v>10</v>
      </c>
      <c r="E4184">
        <v>1</v>
      </c>
      <c r="F4184">
        <v>0</v>
      </c>
      <c r="G4184">
        <v>0</v>
      </c>
      <c r="H4184">
        <v>24</v>
      </c>
      <c r="I4184">
        <v>0</v>
      </c>
      <c r="J4184">
        <v>99.99</v>
      </c>
      <c r="K4184">
        <v>0</v>
      </c>
    </row>
    <row r="4185" spans="1:11" x14ac:dyDescent="0.2">
      <c r="A4185">
        <v>29923</v>
      </c>
      <c r="B4185">
        <v>288237</v>
      </c>
      <c r="C4185" t="s">
        <v>7718</v>
      </c>
      <c r="D4185">
        <v>10</v>
      </c>
      <c r="E4185">
        <v>20</v>
      </c>
      <c r="F4185">
        <v>0</v>
      </c>
      <c r="G4185">
        <v>0</v>
      </c>
      <c r="H4185">
        <v>75</v>
      </c>
      <c r="I4185">
        <v>0</v>
      </c>
      <c r="J4185">
        <v>1</v>
      </c>
      <c r="K4185">
        <v>0</v>
      </c>
    </row>
    <row r="4186" spans="1:11" x14ac:dyDescent="0.2">
      <c r="A4186">
        <v>39805</v>
      </c>
      <c r="B4186">
        <v>288240</v>
      </c>
      <c r="C4186" t="s">
        <v>7719</v>
      </c>
      <c r="D4186">
        <v>10</v>
      </c>
      <c r="E4186">
        <v>2</v>
      </c>
      <c r="F4186">
        <v>5</v>
      </c>
      <c r="G4186">
        <v>10</v>
      </c>
      <c r="H4186">
        <v>136</v>
      </c>
      <c r="I4186">
        <v>0</v>
      </c>
      <c r="J4186">
        <v>54.99</v>
      </c>
      <c r="K4186">
        <v>549.9</v>
      </c>
    </row>
    <row r="4187" spans="1:11" x14ac:dyDescent="0.2">
      <c r="A4187">
        <v>50343</v>
      </c>
      <c r="B4187">
        <v>288254</v>
      </c>
      <c r="C4187" t="s">
        <v>7720</v>
      </c>
      <c r="D4187">
        <v>10</v>
      </c>
      <c r="E4187">
        <v>4</v>
      </c>
      <c r="F4187">
        <v>0</v>
      </c>
      <c r="G4187">
        <v>0</v>
      </c>
      <c r="H4187">
        <v>143</v>
      </c>
      <c r="I4187">
        <v>0</v>
      </c>
      <c r="J4187">
        <v>19.989999999999998</v>
      </c>
      <c r="K4187">
        <v>0</v>
      </c>
    </row>
    <row r="4188" spans="1:11" x14ac:dyDescent="0.2">
      <c r="A4188">
        <v>38820</v>
      </c>
      <c r="B4188">
        <v>288304</v>
      </c>
      <c r="C4188" t="s">
        <v>7721</v>
      </c>
      <c r="D4188">
        <v>10</v>
      </c>
      <c r="E4188">
        <v>4</v>
      </c>
      <c r="F4188">
        <v>0</v>
      </c>
      <c r="G4188">
        <v>0</v>
      </c>
      <c r="H4188">
        <v>16</v>
      </c>
      <c r="I4188">
        <v>0</v>
      </c>
      <c r="J4188">
        <v>21.99</v>
      </c>
      <c r="K4188">
        <v>0</v>
      </c>
    </row>
    <row r="4189" spans="1:11" x14ac:dyDescent="0.2">
      <c r="A4189">
        <v>38821</v>
      </c>
      <c r="B4189">
        <v>288305</v>
      </c>
      <c r="C4189" t="s">
        <v>7722</v>
      </c>
      <c r="D4189">
        <v>10</v>
      </c>
      <c r="E4189">
        <v>2</v>
      </c>
      <c r="F4189">
        <v>0</v>
      </c>
      <c r="G4189">
        <v>0</v>
      </c>
      <c r="H4189">
        <v>18</v>
      </c>
      <c r="I4189">
        <v>0</v>
      </c>
      <c r="J4189">
        <v>79.989999999999995</v>
      </c>
      <c r="K4189">
        <v>0</v>
      </c>
    </row>
    <row r="4190" spans="1:11" x14ac:dyDescent="0.2">
      <c r="A4190">
        <v>35894</v>
      </c>
      <c r="B4190">
        <v>288316</v>
      </c>
      <c r="C4190" t="s">
        <v>7723</v>
      </c>
      <c r="D4190">
        <v>10</v>
      </c>
      <c r="E4190">
        <v>4</v>
      </c>
      <c r="F4190">
        <v>0</v>
      </c>
      <c r="G4190">
        <v>0</v>
      </c>
      <c r="H4190">
        <v>25</v>
      </c>
      <c r="I4190">
        <v>0</v>
      </c>
      <c r="J4190">
        <v>19.989999999999998</v>
      </c>
      <c r="K4190">
        <v>0</v>
      </c>
    </row>
    <row r="4191" spans="1:11" x14ac:dyDescent="0.2">
      <c r="A4191">
        <v>39806</v>
      </c>
      <c r="B4191">
        <v>288334</v>
      </c>
      <c r="C4191" t="s">
        <v>7724</v>
      </c>
      <c r="D4191">
        <v>10</v>
      </c>
      <c r="E4191">
        <v>1</v>
      </c>
      <c r="F4191">
        <v>0</v>
      </c>
      <c r="G4191">
        <v>0</v>
      </c>
      <c r="H4191">
        <v>24</v>
      </c>
      <c r="I4191">
        <v>0</v>
      </c>
      <c r="J4191">
        <v>229</v>
      </c>
      <c r="K4191">
        <v>0</v>
      </c>
    </row>
    <row r="4192" spans="1:11" x14ac:dyDescent="0.2">
      <c r="A4192">
        <v>43804</v>
      </c>
      <c r="B4192">
        <v>288353</v>
      </c>
      <c r="C4192" t="s">
        <v>7725</v>
      </c>
      <c r="D4192">
        <v>10</v>
      </c>
      <c r="E4192">
        <v>2</v>
      </c>
      <c r="F4192">
        <v>9</v>
      </c>
      <c r="G4192">
        <v>18</v>
      </c>
      <c r="H4192">
        <v>30</v>
      </c>
      <c r="I4192">
        <v>0.3</v>
      </c>
      <c r="J4192">
        <v>29.99</v>
      </c>
      <c r="K4192">
        <v>539.82000000000005</v>
      </c>
    </row>
    <row r="4193" spans="1:11" x14ac:dyDescent="0.2">
      <c r="B4193">
        <v>288360</v>
      </c>
      <c r="C4193" t="s">
        <v>7726</v>
      </c>
      <c r="D4193">
        <v>12</v>
      </c>
      <c r="E4193">
        <v>1</v>
      </c>
      <c r="F4193">
        <v>0</v>
      </c>
      <c r="G4193">
        <v>0</v>
      </c>
      <c r="H4193">
        <v>40</v>
      </c>
      <c r="I4193">
        <v>0</v>
      </c>
      <c r="J4193">
        <v>14.99</v>
      </c>
      <c r="K4193">
        <v>0</v>
      </c>
    </row>
    <row r="4194" spans="1:11" x14ac:dyDescent="0.2">
      <c r="A4194">
        <v>25910</v>
      </c>
      <c r="B4194">
        <v>288361</v>
      </c>
      <c r="C4194" t="s">
        <v>7727</v>
      </c>
      <c r="D4194">
        <v>10</v>
      </c>
      <c r="E4194">
        <v>3</v>
      </c>
      <c r="F4194">
        <v>0</v>
      </c>
      <c r="G4194">
        <v>0</v>
      </c>
      <c r="H4194">
        <v>40</v>
      </c>
      <c r="I4194">
        <v>0</v>
      </c>
      <c r="J4194">
        <v>1</v>
      </c>
      <c r="K4194">
        <v>0</v>
      </c>
    </row>
    <row r="4195" spans="1:11" x14ac:dyDescent="0.2">
      <c r="A4195">
        <v>51103</v>
      </c>
      <c r="B4195">
        <v>288368</v>
      </c>
      <c r="C4195" t="s">
        <v>7728</v>
      </c>
      <c r="D4195">
        <v>10</v>
      </c>
      <c r="E4195">
        <v>4</v>
      </c>
      <c r="F4195">
        <v>433</v>
      </c>
      <c r="G4195">
        <v>1732</v>
      </c>
      <c r="H4195">
        <v>32</v>
      </c>
      <c r="I4195">
        <v>13.5</v>
      </c>
      <c r="J4195">
        <v>15.99</v>
      </c>
      <c r="K4195">
        <v>27694.68</v>
      </c>
    </row>
    <row r="4196" spans="1:11" x14ac:dyDescent="0.2">
      <c r="B4196">
        <v>288369</v>
      </c>
      <c r="C4196" t="s">
        <v>7729</v>
      </c>
      <c r="D4196">
        <v>12</v>
      </c>
      <c r="E4196">
        <v>1</v>
      </c>
      <c r="F4196">
        <v>0</v>
      </c>
      <c r="G4196">
        <v>0</v>
      </c>
      <c r="H4196">
        <v>110</v>
      </c>
      <c r="I4196">
        <v>0</v>
      </c>
      <c r="J4196">
        <v>7.99</v>
      </c>
      <c r="K4196">
        <v>0</v>
      </c>
    </row>
    <row r="4197" spans="1:11" x14ac:dyDescent="0.2">
      <c r="B4197">
        <v>288374</v>
      </c>
      <c r="C4197" t="s">
        <v>7730</v>
      </c>
      <c r="D4197">
        <v>12</v>
      </c>
      <c r="E4197">
        <v>1</v>
      </c>
      <c r="F4197">
        <v>0</v>
      </c>
      <c r="G4197">
        <v>0</v>
      </c>
      <c r="H4197">
        <v>100</v>
      </c>
      <c r="I4197">
        <v>0</v>
      </c>
      <c r="J4197">
        <v>13.99</v>
      </c>
      <c r="K4197">
        <v>0</v>
      </c>
    </row>
    <row r="4198" spans="1:11" x14ac:dyDescent="0.2">
      <c r="A4198">
        <v>3201</v>
      </c>
      <c r="B4198">
        <v>288381</v>
      </c>
      <c r="C4198" t="s">
        <v>7731</v>
      </c>
      <c r="D4198">
        <v>6</v>
      </c>
      <c r="E4198">
        <v>4</v>
      </c>
      <c r="F4198">
        <v>0</v>
      </c>
      <c r="G4198">
        <v>0</v>
      </c>
      <c r="H4198">
        <v>100</v>
      </c>
      <c r="I4198">
        <v>0</v>
      </c>
      <c r="J4198">
        <v>27.99</v>
      </c>
      <c r="K4198">
        <v>0</v>
      </c>
    </row>
    <row r="4199" spans="1:11" x14ac:dyDescent="0.2">
      <c r="A4199">
        <v>28807</v>
      </c>
      <c r="B4199">
        <v>288383</v>
      </c>
      <c r="C4199" t="s">
        <v>7732</v>
      </c>
      <c r="D4199">
        <v>10</v>
      </c>
      <c r="E4199">
        <v>8</v>
      </c>
      <c r="F4199">
        <v>0</v>
      </c>
      <c r="G4199">
        <v>0</v>
      </c>
      <c r="H4199">
        <v>126</v>
      </c>
      <c r="I4199">
        <v>0</v>
      </c>
      <c r="J4199">
        <v>5.99</v>
      </c>
      <c r="K4199">
        <v>0</v>
      </c>
    </row>
    <row r="4200" spans="1:11" x14ac:dyDescent="0.2">
      <c r="A4200">
        <v>51803</v>
      </c>
      <c r="B4200">
        <v>288386</v>
      </c>
      <c r="C4200" t="s">
        <v>7733</v>
      </c>
      <c r="D4200">
        <v>10</v>
      </c>
      <c r="E4200">
        <v>2</v>
      </c>
      <c r="F4200">
        <v>2</v>
      </c>
      <c r="G4200">
        <v>4</v>
      </c>
      <c r="H4200">
        <v>36</v>
      </c>
      <c r="I4200">
        <v>0.1</v>
      </c>
      <c r="J4200">
        <v>34.99</v>
      </c>
      <c r="K4200">
        <v>139.96</v>
      </c>
    </row>
    <row r="4201" spans="1:11" x14ac:dyDescent="0.2">
      <c r="A4201">
        <v>32802</v>
      </c>
      <c r="B4201">
        <v>288404</v>
      </c>
      <c r="C4201" t="s">
        <v>7734</v>
      </c>
      <c r="D4201">
        <v>10</v>
      </c>
      <c r="E4201">
        <v>6</v>
      </c>
      <c r="F4201">
        <v>0</v>
      </c>
      <c r="G4201">
        <v>0</v>
      </c>
      <c r="H4201">
        <v>55</v>
      </c>
      <c r="I4201">
        <v>0</v>
      </c>
      <c r="J4201">
        <v>18.989999999999998</v>
      </c>
      <c r="K4201">
        <v>0</v>
      </c>
    </row>
    <row r="4202" spans="1:11" x14ac:dyDescent="0.2">
      <c r="A4202">
        <v>40880</v>
      </c>
      <c r="B4202">
        <v>288416</v>
      </c>
      <c r="C4202" t="s">
        <v>7735</v>
      </c>
      <c r="D4202">
        <v>10</v>
      </c>
      <c r="E4202">
        <v>30</v>
      </c>
      <c r="F4202">
        <v>0</v>
      </c>
      <c r="G4202">
        <v>0</v>
      </c>
      <c r="H4202">
        <v>42</v>
      </c>
      <c r="I4202">
        <v>0</v>
      </c>
      <c r="J4202">
        <v>2.99</v>
      </c>
      <c r="K4202">
        <v>0</v>
      </c>
    </row>
    <row r="4203" spans="1:11" x14ac:dyDescent="0.2">
      <c r="B4203">
        <v>288419</v>
      </c>
      <c r="C4203" t="s">
        <v>7736</v>
      </c>
      <c r="D4203">
        <v>12</v>
      </c>
      <c r="E4203">
        <v>12</v>
      </c>
      <c r="F4203">
        <v>0</v>
      </c>
      <c r="G4203">
        <v>0</v>
      </c>
      <c r="H4203">
        <v>70</v>
      </c>
      <c r="I4203">
        <v>0</v>
      </c>
      <c r="J4203">
        <v>4.99</v>
      </c>
      <c r="K4203">
        <v>0</v>
      </c>
    </row>
    <row r="4204" spans="1:11" x14ac:dyDescent="0.2">
      <c r="A4204">
        <v>47802</v>
      </c>
      <c r="B4204">
        <v>288424</v>
      </c>
      <c r="C4204" t="s">
        <v>7737</v>
      </c>
      <c r="D4204">
        <v>10</v>
      </c>
      <c r="E4204">
        <v>8</v>
      </c>
      <c r="F4204">
        <v>0</v>
      </c>
      <c r="G4204">
        <v>0</v>
      </c>
      <c r="H4204">
        <v>36</v>
      </c>
      <c r="I4204">
        <v>0</v>
      </c>
      <c r="J4204">
        <v>9.99</v>
      </c>
      <c r="K4204">
        <v>0</v>
      </c>
    </row>
    <row r="4205" spans="1:11" x14ac:dyDescent="0.2">
      <c r="B4205">
        <v>288425</v>
      </c>
      <c r="C4205" t="s">
        <v>7738</v>
      </c>
      <c r="D4205">
        <v>12</v>
      </c>
      <c r="E4205">
        <v>6</v>
      </c>
      <c r="F4205">
        <v>0</v>
      </c>
      <c r="G4205">
        <v>0</v>
      </c>
      <c r="H4205">
        <v>70</v>
      </c>
      <c r="I4205">
        <v>0</v>
      </c>
      <c r="J4205">
        <v>9.99</v>
      </c>
      <c r="K4205">
        <v>0</v>
      </c>
    </row>
    <row r="4206" spans="1:11" x14ac:dyDescent="0.2">
      <c r="A4206">
        <v>50344</v>
      </c>
      <c r="B4206">
        <v>288426</v>
      </c>
      <c r="C4206" t="s">
        <v>7739</v>
      </c>
      <c r="D4206">
        <v>10</v>
      </c>
      <c r="E4206">
        <v>8</v>
      </c>
      <c r="F4206">
        <v>0</v>
      </c>
      <c r="G4206">
        <v>0</v>
      </c>
      <c r="H4206">
        <v>51</v>
      </c>
      <c r="I4206">
        <v>0</v>
      </c>
      <c r="J4206">
        <v>7.99</v>
      </c>
      <c r="K4206">
        <v>0</v>
      </c>
    </row>
    <row r="4207" spans="1:11" x14ac:dyDescent="0.2">
      <c r="A4207">
        <v>32942</v>
      </c>
      <c r="B4207">
        <v>288435</v>
      </c>
      <c r="C4207" t="s">
        <v>7740</v>
      </c>
      <c r="D4207">
        <v>10</v>
      </c>
      <c r="E4207">
        <v>16</v>
      </c>
      <c r="F4207">
        <v>0</v>
      </c>
      <c r="G4207">
        <v>0</v>
      </c>
      <c r="H4207">
        <v>40</v>
      </c>
      <c r="I4207">
        <v>0</v>
      </c>
      <c r="J4207">
        <v>1</v>
      </c>
      <c r="K4207">
        <v>0</v>
      </c>
    </row>
    <row r="4208" spans="1:11" x14ac:dyDescent="0.2">
      <c r="A4208">
        <v>44417</v>
      </c>
      <c r="B4208">
        <v>288439</v>
      </c>
      <c r="C4208" t="s">
        <v>7741</v>
      </c>
      <c r="D4208">
        <v>10</v>
      </c>
      <c r="E4208">
        <v>40</v>
      </c>
      <c r="F4208">
        <v>0</v>
      </c>
      <c r="G4208">
        <v>0</v>
      </c>
      <c r="H4208">
        <v>42</v>
      </c>
      <c r="I4208">
        <v>0</v>
      </c>
      <c r="J4208">
        <v>0.99</v>
      </c>
      <c r="K4208">
        <v>0</v>
      </c>
    </row>
    <row r="4209" spans="1:11" x14ac:dyDescent="0.2">
      <c r="A4209">
        <v>32943</v>
      </c>
      <c r="B4209">
        <v>288444</v>
      </c>
      <c r="C4209" t="s">
        <v>7742</v>
      </c>
      <c r="D4209">
        <v>10</v>
      </c>
      <c r="E4209">
        <v>16</v>
      </c>
      <c r="F4209">
        <v>0</v>
      </c>
      <c r="G4209">
        <v>0</v>
      </c>
      <c r="H4209">
        <v>56</v>
      </c>
      <c r="I4209">
        <v>0</v>
      </c>
      <c r="J4209">
        <v>1</v>
      </c>
      <c r="K4209">
        <v>0</v>
      </c>
    </row>
    <row r="4210" spans="1:11" x14ac:dyDescent="0.2">
      <c r="A4210">
        <v>48802</v>
      </c>
      <c r="B4210">
        <v>288506</v>
      </c>
      <c r="C4210" t="s">
        <v>7743</v>
      </c>
      <c r="D4210">
        <v>10</v>
      </c>
      <c r="E4210">
        <v>2</v>
      </c>
      <c r="F4210">
        <v>-1</v>
      </c>
      <c r="G4210">
        <v>-1</v>
      </c>
      <c r="H4210">
        <v>8</v>
      </c>
      <c r="I4210">
        <v>-0.1</v>
      </c>
      <c r="J4210">
        <v>64.989999999999995</v>
      </c>
      <c r="K4210">
        <v>-64.989999999999995</v>
      </c>
    </row>
    <row r="4211" spans="1:11" x14ac:dyDescent="0.2">
      <c r="A4211">
        <v>48803</v>
      </c>
      <c r="B4211">
        <v>288512</v>
      </c>
      <c r="C4211" t="s">
        <v>7744</v>
      </c>
      <c r="D4211">
        <v>10</v>
      </c>
      <c r="E4211">
        <v>6</v>
      </c>
      <c r="F4211">
        <v>1</v>
      </c>
      <c r="G4211">
        <v>6</v>
      </c>
      <c r="H4211">
        <v>16</v>
      </c>
      <c r="I4211">
        <v>0.1</v>
      </c>
      <c r="J4211">
        <v>21.99</v>
      </c>
      <c r="K4211">
        <v>131.94</v>
      </c>
    </row>
    <row r="4212" spans="1:11" x14ac:dyDescent="0.2">
      <c r="A4212">
        <v>48804</v>
      </c>
      <c r="B4212">
        <v>288524</v>
      </c>
      <c r="C4212" t="s">
        <v>7745</v>
      </c>
      <c r="D4212">
        <v>11</v>
      </c>
      <c r="E4212">
        <v>20</v>
      </c>
      <c r="F4212">
        <v>0</v>
      </c>
      <c r="G4212">
        <v>0</v>
      </c>
      <c r="H4212">
        <v>70</v>
      </c>
      <c r="I4212">
        <v>0</v>
      </c>
      <c r="J4212">
        <v>6.99</v>
      </c>
      <c r="K4212">
        <v>0</v>
      </c>
    </row>
    <row r="4213" spans="1:11" x14ac:dyDescent="0.2">
      <c r="A4213">
        <v>32924</v>
      </c>
      <c r="B4213">
        <v>288540</v>
      </c>
      <c r="C4213" t="s">
        <v>7746</v>
      </c>
      <c r="D4213">
        <v>10</v>
      </c>
      <c r="E4213">
        <v>24</v>
      </c>
      <c r="F4213">
        <v>0</v>
      </c>
      <c r="G4213">
        <v>0</v>
      </c>
      <c r="H4213">
        <v>63</v>
      </c>
      <c r="I4213">
        <v>0</v>
      </c>
      <c r="J4213">
        <v>1</v>
      </c>
      <c r="K4213">
        <v>0</v>
      </c>
    </row>
    <row r="4214" spans="1:11" x14ac:dyDescent="0.2">
      <c r="A4214">
        <v>48028</v>
      </c>
      <c r="B4214">
        <v>288598</v>
      </c>
      <c r="C4214" t="s">
        <v>7747</v>
      </c>
      <c r="D4214">
        <v>10</v>
      </c>
      <c r="E4214">
        <v>6</v>
      </c>
      <c r="F4214">
        <v>0</v>
      </c>
      <c r="G4214">
        <v>0</v>
      </c>
      <c r="H4214">
        <v>54</v>
      </c>
      <c r="I4214">
        <v>0</v>
      </c>
      <c r="J4214">
        <v>4.99</v>
      </c>
      <c r="K4214">
        <v>0</v>
      </c>
    </row>
    <row r="4215" spans="1:11" x14ac:dyDescent="0.2">
      <c r="B4215">
        <v>288608</v>
      </c>
      <c r="C4215" t="s">
        <v>7748</v>
      </c>
      <c r="D4215">
        <v>11</v>
      </c>
      <c r="E4215">
        <v>14</v>
      </c>
      <c r="F4215">
        <v>0</v>
      </c>
      <c r="G4215">
        <v>0</v>
      </c>
      <c r="H4215">
        <v>90</v>
      </c>
      <c r="I4215">
        <v>0</v>
      </c>
      <c r="J4215">
        <v>4.99</v>
      </c>
      <c r="K4215">
        <v>0</v>
      </c>
    </row>
    <row r="4216" spans="1:11" x14ac:dyDescent="0.2">
      <c r="B4216">
        <v>288640</v>
      </c>
      <c r="C4216" t="s">
        <v>7749</v>
      </c>
      <c r="D4216">
        <v>10</v>
      </c>
      <c r="E4216">
        <v>12</v>
      </c>
      <c r="F4216">
        <v>0</v>
      </c>
      <c r="G4216">
        <v>0</v>
      </c>
      <c r="H4216">
        <v>378</v>
      </c>
      <c r="I4216">
        <v>0</v>
      </c>
      <c r="J4216">
        <v>4.99</v>
      </c>
      <c r="K4216">
        <v>0</v>
      </c>
    </row>
    <row r="4217" spans="1:11" x14ac:dyDescent="0.2">
      <c r="A4217">
        <v>50345</v>
      </c>
      <c r="B4217">
        <v>288644</v>
      </c>
      <c r="C4217" t="s">
        <v>7750</v>
      </c>
      <c r="D4217">
        <v>10</v>
      </c>
      <c r="E4217">
        <v>1</v>
      </c>
      <c r="F4217">
        <v>0</v>
      </c>
      <c r="G4217">
        <v>0</v>
      </c>
      <c r="H4217">
        <v>50</v>
      </c>
      <c r="I4217">
        <v>0</v>
      </c>
      <c r="J4217">
        <v>74.989999999999995</v>
      </c>
      <c r="K4217">
        <v>0</v>
      </c>
    </row>
    <row r="4218" spans="1:11" x14ac:dyDescent="0.2">
      <c r="A4218">
        <v>50346</v>
      </c>
      <c r="B4218">
        <v>288652</v>
      </c>
      <c r="C4218" t="s">
        <v>7751</v>
      </c>
      <c r="D4218">
        <v>10</v>
      </c>
      <c r="E4218">
        <v>40</v>
      </c>
      <c r="F4218">
        <v>0</v>
      </c>
      <c r="G4218">
        <v>0</v>
      </c>
      <c r="H4218">
        <v>112</v>
      </c>
      <c r="I4218">
        <v>0</v>
      </c>
      <c r="J4218">
        <v>3.99</v>
      </c>
      <c r="K4218">
        <v>0</v>
      </c>
    </row>
    <row r="4219" spans="1:11" x14ac:dyDescent="0.2">
      <c r="A4219">
        <v>35897</v>
      </c>
      <c r="B4219">
        <v>288653</v>
      </c>
      <c r="C4219" t="s">
        <v>7752</v>
      </c>
      <c r="D4219">
        <v>10</v>
      </c>
      <c r="E4219">
        <v>14</v>
      </c>
      <c r="F4219">
        <v>0</v>
      </c>
      <c r="G4219">
        <v>0</v>
      </c>
      <c r="H4219">
        <v>24</v>
      </c>
      <c r="I4219">
        <v>0</v>
      </c>
      <c r="J4219">
        <v>0.01</v>
      </c>
      <c r="K4219">
        <v>0</v>
      </c>
    </row>
    <row r="4220" spans="1:11" x14ac:dyDescent="0.2">
      <c r="A4220">
        <v>43805</v>
      </c>
      <c r="B4220">
        <v>288655</v>
      </c>
      <c r="C4220" t="s">
        <v>7753</v>
      </c>
      <c r="D4220">
        <v>10</v>
      </c>
      <c r="E4220">
        <v>12</v>
      </c>
      <c r="F4220">
        <v>1</v>
      </c>
      <c r="G4220">
        <v>12</v>
      </c>
      <c r="H4220">
        <v>114</v>
      </c>
      <c r="I4220">
        <v>0</v>
      </c>
      <c r="J4220">
        <v>12.99</v>
      </c>
      <c r="K4220">
        <v>155.88</v>
      </c>
    </row>
    <row r="4221" spans="1:11" x14ac:dyDescent="0.2">
      <c r="B4221">
        <v>288664</v>
      </c>
      <c r="C4221" t="s">
        <v>7754</v>
      </c>
      <c r="D4221">
        <v>12</v>
      </c>
      <c r="E4221">
        <v>40</v>
      </c>
      <c r="F4221">
        <v>0</v>
      </c>
      <c r="G4221">
        <v>0</v>
      </c>
      <c r="H4221">
        <v>102</v>
      </c>
      <c r="I4221">
        <v>0</v>
      </c>
      <c r="J4221">
        <v>1</v>
      </c>
      <c r="K4221">
        <v>0</v>
      </c>
    </row>
    <row r="4222" spans="1:11" x14ac:dyDescent="0.2">
      <c r="B4222">
        <v>288761</v>
      </c>
      <c r="C4222" t="s">
        <v>7555</v>
      </c>
      <c r="D4222">
        <v>12</v>
      </c>
      <c r="E4222">
        <v>4</v>
      </c>
      <c r="F4222">
        <v>0</v>
      </c>
      <c r="G4222">
        <v>0</v>
      </c>
      <c r="H4222">
        <v>75</v>
      </c>
      <c r="I4222">
        <v>0</v>
      </c>
      <c r="J4222">
        <v>12.99</v>
      </c>
      <c r="K4222">
        <v>0</v>
      </c>
    </row>
    <row r="4223" spans="1:11" x14ac:dyDescent="0.2">
      <c r="B4223">
        <v>288794</v>
      </c>
      <c r="C4223" t="s">
        <v>7755</v>
      </c>
      <c r="D4223">
        <v>11</v>
      </c>
      <c r="E4223">
        <v>10</v>
      </c>
      <c r="F4223">
        <v>0</v>
      </c>
      <c r="G4223">
        <v>0</v>
      </c>
      <c r="H4223">
        <v>30</v>
      </c>
      <c r="I4223">
        <v>0</v>
      </c>
      <c r="J4223">
        <v>2.99</v>
      </c>
      <c r="K4223">
        <v>0</v>
      </c>
    </row>
    <row r="4224" spans="1:11" x14ac:dyDescent="0.2">
      <c r="B4224">
        <v>288822</v>
      </c>
      <c r="C4224" t="s">
        <v>7756</v>
      </c>
      <c r="D4224">
        <v>12</v>
      </c>
      <c r="E4224">
        <v>20</v>
      </c>
      <c r="F4224">
        <v>0</v>
      </c>
      <c r="G4224">
        <v>0</v>
      </c>
      <c r="H4224">
        <v>30</v>
      </c>
      <c r="I4224">
        <v>0</v>
      </c>
      <c r="J4224">
        <v>2.99</v>
      </c>
      <c r="K4224">
        <v>0</v>
      </c>
    </row>
    <row r="4225" spans="1:11" x14ac:dyDescent="0.2">
      <c r="A4225">
        <v>46025</v>
      </c>
      <c r="B4225">
        <v>288824</v>
      </c>
      <c r="C4225" t="s">
        <v>7757</v>
      </c>
      <c r="D4225">
        <v>10</v>
      </c>
      <c r="E4225">
        <v>10</v>
      </c>
      <c r="F4225">
        <v>0</v>
      </c>
      <c r="G4225">
        <v>0</v>
      </c>
      <c r="H4225">
        <v>88</v>
      </c>
      <c r="I4225">
        <v>0</v>
      </c>
      <c r="J4225">
        <v>1</v>
      </c>
      <c r="K4225">
        <v>0</v>
      </c>
    </row>
    <row r="4226" spans="1:11" x14ac:dyDescent="0.2">
      <c r="A4226">
        <v>32944</v>
      </c>
      <c r="B4226">
        <v>288835</v>
      </c>
      <c r="C4226" t="s">
        <v>7758</v>
      </c>
      <c r="D4226">
        <v>10</v>
      </c>
      <c r="E4226">
        <v>14</v>
      </c>
      <c r="F4226">
        <v>0</v>
      </c>
      <c r="G4226">
        <v>0</v>
      </c>
      <c r="H4226">
        <v>28</v>
      </c>
      <c r="I4226">
        <v>0</v>
      </c>
      <c r="J4226">
        <v>1</v>
      </c>
      <c r="K4226">
        <v>0</v>
      </c>
    </row>
    <row r="4227" spans="1:11" x14ac:dyDescent="0.2">
      <c r="A4227">
        <v>38825</v>
      </c>
      <c r="B4227">
        <v>288839</v>
      </c>
      <c r="C4227" t="s">
        <v>7759</v>
      </c>
      <c r="D4227">
        <v>10</v>
      </c>
      <c r="E4227">
        <v>5</v>
      </c>
      <c r="F4227">
        <v>0</v>
      </c>
      <c r="G4227">
        <v>0</v>
      </c>
      <c r="H4227">
        <v>66</v>
      </c>
      <c r="I4227">
        <v>0</v>
      </c>
      <c r="J4227">
        <v>89.99</v>
      </c>
      <c r="K4227">
        <v>0</v>
      </c>
    </row>
    <row r="4228" spans="1:11" x14ac:dyDescent="0.2">
      <c r="A4228">
        <v>33804</v>
      </c>
      <c r="B4228">
        <v>288840</v>
      </c>
      <c r="C4228" t="s">
        <v>7760</v>
      </c>
      <c r="D4228">
        <v>10</v>
      </c>
      <c r="E4228">
        <v>8</v>
      </c>
      <c r="F4228">
        <v>0</v>
      </c>
      <c r="G4228">
        <v>0</v>
      </c>
      <c r="H4228">
        <v>56</v>
      </c>
      <c r="I4228">
        <v>0</v>
      </c>
      <c r="J4228">
        <v>9.99</v>
      </c>
      <c r="K4228">
        <v>0</v>
      </c>
    </row>
    <row r="4229" spans="1:11" x14ac:dyDescent="0.2">
      <c r="B4229">
        <v>288858</v>
      </c>
      <c r="C4229" t="s">
        <v>7761</v>
      </c>
      <c r="D4229">
        <v>12</v>
      </c>
      <c r="E4229">
        <v>6</v>
      </c>
      <c r="F4229">
        <v>0</v>
      </c>
      <c r="G4229">
        <v>0</v>
      </c>
      <c r="H4229">
        <v>24</v>
      </c>
      <c r="I4229">
        <v>0</v>
      </c>
      <c r="J4229">
        <v>11.99</v>
      </c>
      <c r="K4229">
        <v>0</v>
      </c>
    </row>
    <row r="4230" spans="1:11" x14ac:dyDescent="0.2">
      <c r="A4230">
        <v>44802</v>
      </c>
      <c r="B4230">
        <v>288875</v>
      </c>
      <c r="C4230" t="s">
        <v>7762</v>
      </c>
      <c r="D4230">
        <v>10</v>
      </c>
      <c r="E4230">
        <v>1</v>
      </c>
      <c r="F4230">
        <v>0</v>
      </c>
      <c r="G4230">
        <v>0</v>
      </c>
      <c r="H4230">
        <v>100</v>
      </c>
      <c r="I4230">
        <v>0</v>
      </c>
      <c r="J4230">
        <v>69.989999999999995</v>
      </c>
      <c r="K4230">
        <v>0</v>
      </c>
    </row>
    <row r="4231" spans="1:11" x14ac:dyDescent="0.2">
      <c r="A4231">
        <v>50801</v>
      </c>
      <c r="B4231">
        <v>288920</v>
      </c>
      <c r="C4231" t="s">
        <v>7763</v>
      </c>
      <c r="D4231">
        <v>10</v>
      </c>
      <c r="E4231">
        <v>10</v>
      </c>
      <c r="F4231">
        <v>0</v>
      </c>
      <c r="G4231">
        <v>2</v>
      </c>
      <c r="H4231">
        <v>18</v>
      </c>
      <c r="I4231">
        <v>0</v>
      </c>
      <c r="J4231">
        <v>8.99</v>
      </c>
      <c r="K4231">
        <v>17.98</v>
      </c>
    </row>
    <row r="4232" spans="1:11" x14ac:dyDescent="0.2">
      <c r="A4232">
        <v>50347</v>
      </c>
      <c r="B4232">
        <v>288949</v>
      </c>
      <c r="C4232" t="s">
        <v>7764</v>
      </c>
      <c r="D4232">
        <v>10</v>
      </c>
      <c r="E4232">
        <v>6</v>
      </c>
      <c r="F4232">
        <v>0</v>
      </c>
      <c r="G4232">
        <v>0</v>
      </c>
      <c r="H4232">
        <v>72</v>
      </c>
      <c r="I4232">
        <v>0</v>
      </c>
      <c r="J4232">
        <v>21.99</v>
      </c>
      <c r="K4232">
        <v>0</v>
      </c>
    </row>
    <row r="4233" spans="1:11" x14ac:dyDescent="0.2">
      <c r="B4233">
        <v>288960</v>
      </c>
      <c r="C4233" t="s">
        <v>7765</v>
      </c>
      <c r="D4233">
        <v>12</v>
      </c>
      <c r="E4233">
        <v>16</v>
      </c>
      <c r="F4233">
        <v>0</v>
      </c>
      <c r="G4233">
        <v>0</v>
      </c>
      <c r="H4233">
        <v>36</v>
      </c>
      <c r="I4233">
        <v>0</v>
      </c>
      <c r="J4233">
        <v>4.99</v>
      </c>
      <c r="K4233">
        <v>0</v>
      </c>
    </row>
    <row r="4234" spans="1:11" x14ac:dyDescent="0.2">
      <c r="A4234">
        <v>25909</v>
      </c>
      <c r="B4234">
        <v>288961</v>
      </c>
      <c r="C4234" t="s">
        <v>7766</v>
      </c>
      <c r="D4234">
        <v>10</v>
      </c>
      <c r="E4234">
        <v>10</v>
      </c>
      <c r="F4234">
        <v>0</v>
      </c>
      <c r="G4234">
        <v>0</v>
      </c>
      <c r="H4234">
        <v>154</v>
      </c>
      <c r="I4234">
        <v>0</v>
      </c>
      <c r="J4234">
        <v>1</v>
      </c>
      <c r="K4234">
        <v>0</v>
      </c>
    </row>
    <row r="4235" spans="1:11" x14ac:dyDescent="0.2">
      <c r="A4235">
        <v>48114</v>
      </c>
      <c r="B4235">
        <v>288970</v>
      </c>
      <c r="C4235" t="s">
        <v>7767</v>
      </c>
      <c r="D4235">
        <v>10</v>
      </c>
      <c r="E4235">
        <v>6</v>
      </c>
      <c r="F4235">
        <v>0</v>
      </c>
      <c r="G4235">
        <v>0</v>
      </c>
      <c r="H4235">
        <v>60</v>
      </c>
      <c r="I4235">
        <v>0</v>
      </c>
      <c r="J4235">
        <v>12.99</v>
      </c>
      <c r="K4235">
        <v>0</v>
      </c>
    </row>
    <row r="4236" spans="1:11" x14ac:dyDescent="0.2">
      <c r="A4236">
        <v>25908</v>
      </c>
      <c r="B4236">
        <v>289003</v>
      </c>
      <c r="C4236" t="s">
        <v>7768</v>
      </c>
      <c r="D4236">
        <v>10</v>
      </c>
      <c r="E4236">
        <v>30</v>
      </c>
      <c r="F4236">
        <v>0</v>
      </c>
      <c r="G4236">
        <v>0</v>
      </c>
      <c r="H4236">
        <v>144</v>
      </c>
      <c r="I4236">
        <v>0</v>
      </c>
      <c r="J4236">
        <v>1</v>
      </c>
      <c r="K4236">
        <v>0</v>
      </c>
    </row>
    <row r="4237" spans="1:11" x14ac:dyDescent="0.2">
      <c r="A4237">
        <v>26804</v>
      </c>
      <c r="B4237">
        <v>289005</v>
      </c>
      <c r="C4237" t="s">
        <v>7769</v>
      </c>
      <c r="D4237">
        <v>10</v>
      </c>
      <c r="E4237">
        <v>10</v>
      </c>
      <c r="F4237">
        <v>0</v>
      </c>
      <c r="G4237">
        <v>0</v>
      </c>
      <c r="H4237">
        <v>90</v>
      </c>
      <c r="I4237">
        <v>0</v>
      </c>
      <c r="J4237">
        <v>5.99</v>
      </c>
      <c r="K4237">
        <v>0</v>
      </c>
    </row>
    <row r="4238" spans="1:11" x14ac:dyDescent="0.2">
      <c r="A4238">
        <v>51150</v>
      </c>
      <c r="B4238">
        <v>289018</v>
      </c>
      <c r="C4238" t="s">
        <v>7770</v>
      </c>
      <c r="D4238">
        <v>10</v>
      </c>
      <c r="E4238">
        <v>14</v>
      </c>
      <c r="F4238">
        <v>3</v>
      </c>
      <c r="G4238">
        <v>42</v>
      </c>
      <c r="H4238">
        <v>30</v>
      </c>
      <c r="I4238">
        <v>0.1</v>
      </c>
      <c r="J4238">
        <v>4.99</v>
      </c>
      <c r="K4238">
        <v>209.58</v>
      </c>
    </row>
    <row r="4239" spans="1:11" x14ac:dyDescent="0.2">
      <c r="A4239">
        <v>25907</v>
      </c>
      <c r="B4239">
        <v>289042</v>
      </c>
      <c r="C4239" t="s">
        <v>7771</v>
      </c>
      <c r="D4239">
        <v>10</v>
      </c>
      <c r="E4239">
        <v>30</v>
      </c>
      <c r="F4239">
        <v>0</v>
      </c>
      <c r="G4239">
        <v>0</v>
      </c>
      <c r="H4239">
        <v>55</v>
      </c>
      <c r="I4239">
        <v>0</v>
      </c>
      <c r="J4239">
        <v>1</v>
      </c>
      <c r="K4239">
        <v>0</v>
      </c>
    </row>
    <row r="4240" spans="1:11" x14ac:dyDescent="0.2">
      <c r="A4240">
        <v>25912</v>
      </c>
      <c r="B4240">
        <v>289045</v>
      </c>
      <c r="C4240" t="s">
        <v>7772</v>
      </c>
      <c r="D4240">
        <v>10</v>
      </c>
      <c r="E4240">
        <v>25</v>
      </c>
      <c r="F4240">
        <v>0</v>
      </c>
      <c r="G4240">
        <v>0</v>
      </c>
      <c r="H4240">
        <v>128</v>
      </c>
      <c r="I4240">
        <v>0</v>
      </c>
      <c r="J4240">
        <v>0.5</v>
      </c>
      <c r="K4240">
        <v>0</v>
      </c>
    </row>
    <row r="4241" spans="1:11" x14ac:dyDescent="0.2">
      <c r="A4241">
        <v>26805</v>
      </c>
      <c r="B4241">
        <v>289059</v>
      </c>
      <c r="C4241" t="s">
        <v>7773</v>
      </c>
      <c r="D4241">
        <v>10</v>
      </c>
      <c r="E4241">
        <v>4</v>
      </c>
      <c r="F4241">
        <v>0</v>
      </c>
      <c r="G4241">
        <v>0</v>
      </c>
      <c r="H4241">
        <v>30</v>
      </c>
      <c r="I4241">
        <v>0</v>
      </c>
      <c r="J4241">
        <v>6.99</v>
      </c>
      <c r="K4241">
        <v>0</v>
      </c>
    </row>
    <row r="4242" spans="1:11" x14ac:dyDescent="0.2">
      <c r="A4242">
        <v>43806</v>
      </c>
      <c r="B4242">
        <v>289064</v>
      </c>
      <c r="C4242" t="s">
        <v>7774</v>
      </c>
      <c r="D4242">
        <v>10</v>
      </c>
      <c r="E4242">
        <v>10</v>
      </c>
      <c r="F4242">
        <v>3</v>
      </c>
      <c r="G4242">
        <v>31</v>
      </c>
      <c r="H4242">
        <v>40</v>
      </c>
      <c r="I4242">
        <v>0.1</v>
      </c>
      <c r="J4242">
        <v>5.99</v>
      </c>
      <c r="K4242">
        <v>185.69</v>
      </c>
    </row>
    <row r="4243" spans="1:11" x14ac:dyDescent="0.2">
      <c r="A4243">
        <v>25826</v>
      </c>
      <c r="B4243">
        <v>289065</v>
      </c>
      <c r="C4243" t="s">
        <v>7775</v>
      </c>
      <c r="D4243">
        <v>10</v>
      </c>
      <c r="E4243">
        <v>8</v>
      </c>
      <c r="F4243">
        <v>0</v>
      </c>
      <c r="G4243">
        <v>0</v>
      </c>
      <c r="H4243">
        <v>36</v>
      </c>
      <c r="I4243">
        <v>0</v>
      </c>
      <c r="J4243">
        <v>8.99</v>
      </c>
      <c r="K4243">
        <v>0</v>
      </c>
    </row>
    <row r="4244" spans="1:11" x14ac:dyDescent="0.2">
      <c r="B4244">
        <v>289066</v>
      </c>
      <c r="C4244" t="s">
        <v>7776</v>
      </c>
      <c r="D4244">
        <v>12</v>
      </c>
      <c r="E4244">
        <v>30</v>
      </c>
      <c r="F4244">
        <v>0</v>
      </c>
      <c r="G4244">
        <v>0</v>
      </c>
      <c r="H4244">
        <v>126</v>
      </c>
      <c r="I4244">
        <v>0</v>
      </c>
      <c r="J4244">
        <v>3.99</v>
      </c>
      <c r="K4244">
        <v>0</v>
      </c>
    </row>
    <row r="4245" spans="1:11" x14ac:dyDescent="0.2">
      <c r="A4245">
        <v>32925</v>
      </c>
      <c r="B4245">
        <v>289067</v>
      </c>
      <c r="C4245" t="s">
        <v>7777</v>
      </c>
      <c r="D4245">
        <v>10</v>
      </c>
      <c r="E4245">
        <v>32</v>
      </c>
      <c r="F4245">
        <v>0</v>
      </c>
      <c r="G4245">
        <v>0</v>
      </c>
      <c r="H4245">
        <v>40</v>
      </c>
      <c r="I4245">
        <v>0</v>
      </c>
      <c r="J4245">
        <v>0.99</v>
      </c>
      <c r="K4245">
        <v>0</v>
      </c>
    </row>
    <row r="4246" spans="1:11" x14ac:dyDescent="0.2">
      <c r="A4246">
        <v>40889</v>
      </c>
      <c r="B4246">
        <v>289088</v>
      </c>
      <c r="C4246" t="s">
        <v>7778</v>
      </c>
      <c r="D4246">
        <v>10</v>
      </c>
      <c r="E4246">
        <v>15</v>
      </c>
      <c r="F4246">
        <v>0</v>
      </c>
      <c r="G4246">
        <v>0</v>
      </c>
      <c r="H4246">
        <v>168</v>
      </c>
      <c r="I4246">
        <v>0</v>
      </c>
      <c r="J4246">
        <v>1</v>
      </c>
      <c r="K4246">
        <v>0</v>
      </c>
    </row>
    <row r="4247" spans="1:11" x14ac:dyDescent="0.2">
      <c r="A4247">
        <v>32926</v>
      </c>
      <c r="B4247">
        <v>289098</v>
      </c>
      <c r="C4247" t="s">
        <v>7777</v>
      </c>
      <c r="D4247">
        <v>10</v>
      </c>
      <c r="E4247">
        <v>28</v>
      </c>
      <c r="F4247">
        <v>0</v>
      </c>
      <c r="G4247">
        <v>0</v>
      </c>
      <c r="H4247">
        <v>40</v>
      </c>
      <c r="I4247">
        <v>0</v>
      </c>
      <c r="J4247">
        <v>1.99</v>
      </c>
      <c r="K4247">
        <v>0</v>
      </c>
    </row>
    <row r="4248" spans="1:11" x14ac:dyDescent="0.2">
      <c r="A4248">
        <v>50348</v>
      </c>
      <c r="B4248">
        <v>289142</v>
      </c>
      <c r="C4248" t="s">
        <v>7779</v>
      </c>
      <c r="D4248">
        <v>10</v>
      </c>
      <c r="E4248">
        <v>4</v>
      </c>
      <c r="F4248">
        <v>0</v>
      </c>
      <c r="G4248">
        <v>0</v>
      </c>
      <c r="H4248">
        <v>252</v>
      </c>
      <c r="I4248">
        <v>0</v>
      </c>
      <c r="J4248">
        <v>11.99</v>
      </c>
      <c r="K4248">
        <v>0</v>
      </c>
    </row>
    <row r="4249" spans="1:11" x14ac:dyDescent="0.2">
      <c r="A4249">
        <v>32945</v>
      </c>
      <c r="B4249">
        <v>289155</v>
      </c>
      <c r="C4249" t="s">
        <v>7780</v>
      </c>
      <c r="D4249">
        <v>10</v>
      </c>
      <c r="E4249">
        <v>20</v>
      </c>
      <c r="F4249">
        <v>0</v>
      </c>
      <c r="G4249">
        <v>0</v>
      </c>
      <c r="H4249">
        <v>140</v>
      </c>
      <c r="I4249">
        <v>0</v>
      </c>
      <c r="J4249">
        <v>1</v>
      </c>
      <c r="K4249">
        <v>0</v>
      </c>
    </row>
    <row r="4250" spans="1:11" x14ac:dyDescent="0.2">
      <c r="A4250">
        <v>44803</v>
      </c>
      <c r="B4250">
        <v>289164</v>
      </c>
      <c r="C4250" t="s">
        <v>7781</v>
      </c>
      <c r="D4250">
        <v>10</v>
      </c>
      <c r="E4250">
        <v>16</v>
      </c>
      <c r="F4250">
        <v>3</v>
      </c>
      <c r="G4250">
        <v>48</v>
      </c>
      <c r="H4250">
        <v>45</v>
      </c>
      <c r="I4250">
        <v>0.1</v>
      </c>
      <c r="J4250">
        <v>4.99</v>
      </c>
      <c r="K4250">
        <v>239.52</v>
      </c>
    </row>
    <row r="4251" spans="1:11" x14ac:dyDescent="0.2">
      <c r="B4251">
        <v>289183</v>
      </c>
      <c r="C4251" t="s">
        <v>7782</v>
      </c>
      <c r="D4251">
        <v>12</v>
      </c>
      <c r="E4251">
        <v>12</v>
      </c>
      <c r="F4251">
        <v>0</v>
      </c>
      <c r="G4251">
        <v>0</v>
      </c>
      <c r="H4251">
        <v>48</v>
      </c>
      <c r="I4251">
        <v>0</v>
      </c>
      <c r="J4251">
        <v>4.99</v>
      </c>
      <c r="K4251">
        <v>0</v>
      </c>
    </row>
    <row r="4252" spans="1:11" x14ac:dyDescent="0.2">
      <c r="A4252">
        <v>26806</v>
      </c>
      <c r="B4252">
        <v>289193</v>
      </c>
      <c r="C4252" t="s">
        <v>7783</v>
      </c>
      <c r="D4252">
        <v>10</v>
      </c>
      <c r="E4252">
        <v>11</v>
      </c>
      <c r="F4252">
        <v>0</v>
      </c>
      <c r="G4252">
        <v>0</v>
      </c>
      <c r="H4252">
        <v>40</v>
      </c>
      <c r="I4252">
        <v>0</v>
      </c>
      <c r="J4252">
        <v>3.49</v>
      </c>
      <c r="K4252">
        <v>0</v>
      </c>
    </row>
    <row r="4253" spans="1:11" x14ac:dyDescent="0.2">
      <c r="A4253">
        <v>27802</v>
      </c>
      <c r="B4253">
        <v>289196</v>
      </c>
      <c r="C4253" t="s">
        <v>7784</v>
      </c>
      <c r="D4253">
        <v>11</v>
      </c>
      <c r="E4253">
        <v>6</v>
      </c>
      <c r="F4253">
        <v>0</v>
      </c>
      <c r="G4253">
        <v>0</v>
      </c>
      <c r="H4253">
        <v>24</v>
      </c>
      <c r="I4253">
        <v>0</v>
      </c>
      <c r="J4253">
        <v>16.989999999999998</v>
      </c>
      <c r="K4253">
        <v>0</v>
      </c>
    </row>
    <row r="4254" spans="1:11" x14ac:dyDescent="0.2">
      <c r="A4254">
        <v>40915</v>
      </c>
      <c r="B4254">
        <v>289237</v>
      </c>
      <c r="C4254" t="s">
        <v>7785</v>
      </c>
      <c r="D4254">
        <v>6</v>
      </c>
      <c r="E4254">
        <v>16</v>
      </c>
      <c r="F4254">
        <v>0</v>
      </c>
      <c r="G4254">
        <v>0</v>
      </c>
      <c r="H4254">
        <v>40</v>
      </c>
      <c r="I4254">
        <v>0</v>
      </c>
      <c r="J4254">
        <v>1</v>
      </c>
      <c r="K4254">
        <v>0</v>
      </c>
    </row>
    <row r="4255" spans="1:11" x14ac:dyDescent="0.2">
      <c r="A4255">
        <v>27803</v>
      </c>
      <c r="B4255">
        <v>289278</v>
      </c>
      <c r="C4255" t="s">
        <v>7786</v>
      </c>
      <c r="D4255">
        <v>11</v>
      </c>
      <c r="E4255">
        <v>10</v>
      </c>
      <c r="F4255">
        <v>0</v>
      </c>
      <c r="G4255">
        <v>0</v>
      </c>
      <c r="H4255">
        <v>48</v>
      </c>
      <c r="I4255">
        <v>0</v>
      </c>
      <c r="J4255">
        <v>6.99</v>
      </c>
      <c r="K4255">
        <v>0</v>
      </c>
    </row>
    <row r="4256" spans="1:11" x14ac:dyDescent="0.2">
      <c r="A4256">
        <v>27804</v>
      </c>
      <c r="B4256">
        <v>289279</v>
      </c>
      <c r="C4256" t="s">
        <v>7787</v>
      </c>
      <c r="D4256">
        <v>11</v>
      </c>
      <c r="E4256">
        <v>6</v>
      </c>
      <c r="F4256">
        <v>0</v>
      </c>
      <c r="G4256">
        <v>0</v>
      </c>
      <c r="H4256">
        <v>25</v>
      </c>
      <c r="I4256">
        <v>0</v>
      </c>
      <c r="J4256">
        <v>9.99</v>
      </c>
      <c r="K4256">
        <v>0</v>
      </c>
    </row>
    <row r="4257" spans="1:11" x14ac:dyDescent="0.2">
      <c r="A4257">
        <v>27805</v>
      </c>
      <c r="B4257">
        <v>289280</v>
      </c>
      <c r="C4257" t="s">
        <v>7544</v>
      </c>
      <c r="D4257">
        <v>11</v>
      </c>
      <c r="E4257">
        <v>20</v>
      </c>
      <c r="F4257">
        <v>0</v>
      </c>
      <c r="G4257">
        <v>0</v>
      </c>
      <c r="H4257">
        <v>154</v>
      </c>
      <c r="I4257">
        <v>0</v>
      </c>
      <c r="J4257">
        <v>3.99</v>
      </c>
      <c r="K4257">
        <v>0</v>
      </c>
    </row>
    <row r="4258" spans="1:11" x14ac:dyDescent="0.2">
      <c r="A4258">
        <v>26807</v>
      </c>
      <c r="B4258">
        <v>289281</v>
      </c>
      <c r="C4258" t="s">
        <v>7545</v>
      </c>
      <c r="D4258">
        <v>10</v>
      </c>
      <c r="E4258">
        <v>4</v>
      </c>
      <c r="F4258">
        <v>0</v>
      </c>
      <c r="G4258">
        <v>0</v>
      </c>
      <c r="H4258">
        <v>36</v>
      </c>
      <c r="I4258">
        <v>0</v>
      </c>
      <c r="J4258">
        <v>27.99</v>
      </c>
      <c r="K4258">
        <v>0</v>
      </c>
    </row>
    <row r="4259" spans="1:11" x14ac:dyDescent="0.2">
      <c r="A4259">
        <v>26808</v>
      </c>
      <c r="B4259">
        <v>289283</v>
      </c>
      <c r="C4259" t="s">
        <v>7546</v>
      </c>
      <c r="D4259">
        <v>10</v>
      </c>
      <c r="E4259">
        <v>15</v>
      </c>
      <c r="F4259">
        <v>0</v>
      </c>
      <c r="G4259">
        <v>0</v>
      </c>
      <c r="H4259">
        <v>286</v>
      </c>
      <c r="I4259">
        <v>0</v>
      </c>
      <c r="J4259">
        <v>3.99</v>
      </c>
      <c r="K4259">
        <v>0</v>
      </c>
    </row>
    <row r="4260" spans="1:11" x14ac:dyDescent="0.2">
      <c r="A4260">
        <v>27806</v>
      </c>
      <c r="B4260">
        <v>289285</v>
      </c>
      <c r="C4260" t="s">
        <v>7788</v>
      </c>
      <c r="D4260">
        <v>11</v>
      </c>
      <c r="E4260">
        <v>4</v>
      </c>
      <c r="F4260">
        <v>0</v>
      </c>
      <c r="G4260">
        <v>0</v>
      </c>
      <c r="H4260">
        <v>108</v>
      </c>
      <c r="I4260">
        <v>0</v>
      </c>
      <c r="J4260">
        <v>24.99</v>
      </c>
      <c r="K4260">
        <v>0</v>
      </c>
    </row>
    <row r="4261" spans="1:11" x14ac:dyDescent="0.2">
      <c r="A4261">
        <v>30804</v>
      </c>
      <c r="B4261">
        <v>289290</v>
      </c>
      <c r="C4261" t="s">
        <v>7789</v>
      </c>
      <c r="D4261">
        <v>10</v>
      </c>
      <c r="E4261">
        <v>4</v>
      </c>
      <c r="F4261">
        <v>0</v>
      </c>
      <c r="G4261">
        <v>0</v>
      </c>
      <c r="H4261">
        <v>98</v>
      </c>
      <c r="I4261">
        <v>0</v>
      </c>
      <c r="J4261">
        <v>19.989999999999998</v>
      </c>
      <c r="K4261">
        <v>0</v>
      </c>
    </row>
    <row r="4262" spans="1:11" x14ac:dyDescent="0.2">
      <c r="A4262">
        <v>26809</v>
      </c>
      <c r="B4262">
        <v>289293</v>
      </c>
      <c r="C4262" t="s">
        <v>7790</v>
      </c>
      <c r="D4262">
        <v>10</v>
      </c>
      <c r="E4262">
        <v>20</v>
      </c>
      <c r="F4262">
        <v>0</v>
      </c>
      <c r="G4262">
        <v>0</v>
      </c>
      <c r="H4262">
        <v>64</v>
      </c>
      <c r="I4262">
        <v>0</v>
      </c>
      <c r="J4262">
        <v>3.99</v>
      </c>
      <c r="K4262">
        <v>0</v>
      </c>
    </row>
    <row r="4263" spans="1:11" x14ac:dyDescent="0.2">
      <c r="A4263">
        <v>32946</v>
      </c>
      <c r="B4263">
        <v>289301</v>
      </c>
      <c r="C4263" t="s">
        <v>7791</v>
      </c>
      <c r="D4263">
        <v>10</v>
      </c>
      <c r="E4263">
        <v>12</v>
      </c>
      <c r="F4263">
        <v>0</v>
      </c>
      <c r="G4263">
        <v>0</v>
      </c>
      <c r="H4263">
        <v>200</v>
      </c>
      <c r="I4263">
        <v>0</v>
      </c>
      <c r="J4263">
        <v>1</v>
      </c>
      <c r="K4263">
        <v>0</v>
      </c>
    </row>
    <row r="4264" spans="1:11" x14ac:dyDescent="0.2">
      <c r="A4264">
        <v>26810</v>
      </c>
      <c r="B4264">
        <v>289306</v>
      </c>
      <c r="C4264" t="s">
        <v>7792</v>
      </c>
      <c r="D4264">
        <v>10</v>
      </c>
      <c r="E4264">
        <v>10</v>
      </c>
      <c r="F4264">
        <v>0</v>
      </c>
      <c r="G4264">
        <v>0</v>
      </c>
      <c r="H4264">
        <v>88</v>
      </c>
      <c r="I4264">
        <v>0</v>
      </c>
      <c r="J4264">
        <v>4.99</v>
      </c>
      <c r="K4264">
        <v>0</v>
      </c>
    </row>
    <row r="4265" spans="1:11" x14ac:dyDescent="0.2">
      <c r="A4265">
        <v>26811</v>
      </c>
      <c r="B4265">
        <v>289317</v>
      </c>
      <c r="C4265" t="s">
        <v>7793</v>
      </c>
      <c r="D4265">
        <v>10</v>
      </c>
      <c r="E4265">
        <v>4</v>
      </c>
      <c r="F4265">
        <v>0</v>
      </c>
      <c r="G4265">
        <v>0</v>
      </c>
      <c r="H4265">
        <v>84</v>
      </c>
      <c r="I4265">
        <v>0</v>
      </c>
      <c r="J4265">
        <v>11.99</v>
      </c>
      <c r="K4265">
        <v>0</v>
      </c>
    </row>
    <row r="4266" spans="1:11" x14ac:dyDescent="0.2">
      <c r="A4266">
        <v>33805</v>
      </c>
      <c r="B4266">
        <v>289323</v>
      </c>
      <c r="C4266" t="s">
        <v>7794</v>
      </c>
      <c r="D4266">
        <v>10</v>
      </c>
      <c r="E4266">
        <v>9</v>
      </c>
      <c r="F4266">
        <v>0</v>
      </c>
      <c r="G4266">
        <v>0</v>
      </c>
      <c r="H4266">
        <v>45</v>
      </c>
      <c r="I4266">
        <v>0</v>
      </c>
      <c r="J4266">
        <v>5.99</v>
      </c>
      <c r="K4266">
        <v>0</v>
      </c>
    </row>
    <row r="4267" spans="1:11" x14ac:dyDescent="0.2">
      <c r="B4267">
        <v>289336</v>
      </c>
      <c r="C4267" t="s">
        <v>7795</v>
      </c>
      <c r="D4267">
        <v>12</v>
      </c>
      <c r="E4267">
        <v>8</v>
      </c>
      <c r="F4267">
        <v>0</v>
      </c>
      <c r="G4267">
        <v>0</v>
      </c>
      <c r="H4267">
        <v>63</v>
      </c>
      <c r="I4267">
        <v>0</v>
      </c>
      <c r="J4267">
        <v>11.99</v>
      </c>
      <c r="K4267">
        <v>0</v>
      </c>
    </row>
    <row r="4268" spans="1:11" x14ac:dyDescent="0.2">
      <c r="A4268">
        <v>27807</v>
      </c>
      <c r="B4268">
        <v>289354</v>
      </c>
      <c r="C4268" t="s">
        <v>7796</v>
      </c>
      <c r="D4268">
        <v>11</v>
      </c>
      <c r="E4268">
        <v>8</v>
      </c>
      <c r="F4268">
        <v>0</v>
      </c>
      <c r="G4268">
        <v>0</v>
      </c>
      <c r="H4268">
        <v>208</v>
      </c>
      <c r="I4268">
        <v>0</v>
      </c>
      <c r="J4268">
        <v>4.99</v>
      </c>
      <c r="K4268">
        <v>0</v>
      </c>
    </row>
    <row r="4269" spans="1:11" x14ac:dyDescent="0.2">
      <c r="A4269">
        <v>45411</v>
      </c>
      <c r="B4269">
        <v>289413</v>
      </c>
      <c r="C4269" t="s">
        <v>7797</v>
      </c>
      <c r="D4269">
        <v>10</v>
      </c>
      <c r="E4269">
        <v>14</v>
      </c>
      <c r="F4269">
        <v>0</v>
      </c>
      <c r="G4269">
        <v>0</v>
      </c>
      <c r="H4269">
        <v>77</v>
      </c>
      <c r="I4269">
        <v>0</v>
      </c>
      <c r="J4269">
        <v>7.99</v>
      </c>
      <c r="K4269">
        <v>0</v>
      </c>
    </row>
    <row r="4270" spans="1:11" x14ac:dyDescent="0.2">
      <c r="B4270">
        <v>289416</v>
      </c>
      <c r="C4270" t="s">
        <v>7798</v>
      </c>
      <c r="D4270">
        <v>12</v>
      </c>
      <c r="E4270">
        <v>14</v>
      </c>
      <c r="F4270">
        <v>0</v>
      </c>
      <c r="G4270">
        <v>0</v>
      </c>
      <c r="H4270">
        <v>60</v>
      </c>
      <c r="I4270">
        <v>0</v>
      </c>
      <c r="J4270">
        <v>11.99</v>
      </c>
      <c r="K4270">
        <v>0</v>
      </c>
    </row>
    <row r="4271" spans="1:11" x14ac:dyDescent="0.2">
      <c r="B4271">
        <v>289417</v>
      </c>
      <c r="C4271" t="s">
        <v>7799</v>
      </c>
      <c r="D4271">
        <v>12</v>
      </c>
      <c r="E4271">
        <v>14</v>
      </c>
      <c r="F4271">
        <v>0</v>
      </c>
      <c r="G4271">
        <v>0</v>
      </c>
      <c r="H4271">
        <v>54</v>
      </c>
      <c r="I4271">
        <v>0</v>
      </c>
      <c r="J4271">
        <v>14.99</v>
      </c>
      <c r="K4271">
        <v>0</v>
      </c>
    </row>
    <row r="4272" spans="1:11" x14ac:dyDescent="0.2">
      <c r="A4272">
        <v>45412</v>
      </c>
      <c r="B4272">
        <v>289418</v>
      </c>
      <c r="C4272" t="s">
        <v>7800</v>
      </c>
      <c r="D4272">
        <v>10</v>
      </c>
      <c r="E4272">
        <v>24</v>
      </c>
      <c r="F4272">
        <v>2</v>
      </c>
      <c r="G4272">
        <v>41</v>
      </c>
      <c r="H4272">
        <v>112</v>
      </c>
      <c r="I4272">
        <v>0</v>
      </c>
      <c r="J4272">
        <v>2.99</v>
      </c>
      <c r="K4272">
        <v>122.59</v>
      </c>
    </row>
    <row r="4273" spans="1:11" x14ac:dyDescent="0.2">
      <c r="A4273">
        <v>45413</v>
      </c>
      <c r="B4273">
        <v>289419</v>
      </c>
      <c r="C4273" t="s">
        <v>7801</v>
      </c>
      <c r="D4273">
        <v>10</v>
      </c>
      <c r="E4273">
        <v>14</v>
      </c>
      <c r="F4273">
        <v>0</v>
      </c>
      <c r="G4273">
        <v>0</v>
      </c>
      <c r="H4273">
        <v>48</v>
      </c>
      <c r="I4273">
        <v>0</v>
      </c>
      <c r="J4273">
        <v>7.99</v>
      </c>
      <c r="K4273">
        <v>0</v>
      </c>
    </row>
    <row r="4274" spans="1:11" x14ac:dyDescent="0.2">
      <c r="A4274">
        <v>45414</v>
      </c>
      <c r="B4274">
        <v>289420</v>
      </c>
      <c r="C4274" t="s">
        <v>7802</v>
      </c>
      <c r="D4274">
        <v>10</v>
      </c>
      <c r="E4274">
        <v>14</v>
      </c>
      <c r="F4274">
        <v>1</v>
      </c>
      <c r="G4274">
        <v>14</v>
      </c>
      <c r="H4274">
        <v>20</v>
      </c>
      <c r="I4274">
        <v>0.1</v>
      </c>
      <c r="J4274">
        <v>9.99</v>
      </c>
      <c r="K4274">
        <v>139.86000000000001</v>
      </c>
    </row>
    <row r="4275" spans="1:11" x14ac:dyDescent="0.2">
      <c r="A4275">
        <v>30805</v>
      </c>
      <c r="B4275">
        <v>289426</v>
      </c>
      <c r="C4275" t="s">
        <v>7803</v>
      </c>
      <c r="D4275">
        <v>10</v>
      </c>
      <c r="E4275">
        <v>6</v>
      </c>
      <c r="F4275">
        <v>0</v>
      </c>
      <c r="G4275">
        <v>0</v>
      </c>
      <c r="H4275">
        <v>40</v>
      </c>
      <c r="I4275">
        <v>0</v>
      </c>
      <c r="J4275">
        <v>9.99</v>
      </c>
      <c r="K4275">
        <v>0</v>
      </c>
    </row>
    <row r="4276" spans="1:11" x14ac:dyDescent="0.2">
      <c r="A4276">
        <v>40890</v>
      </c>
      <c r="B4276">
        <v>289438</v>
      </c>
      <c r="C4276" t="s">
        <v>7804</v>
      </c>
      <c r="D4276">
        <v>10</v>
      </c>
      <c r="E4276">
        <v>12</v>
      </c>
      <c r="F4276">
        <v>0</v>
      </c>
      <c r="G4276">
        <v>0</v>
      </c>
      <c r="H4276">
        <v>72</v>
      </c>
      <c r="I4276">
        <v>0</v>
      </c>
      <c r="J4276">
        <v>1</v>
      </c>
      <c r="K4276">
        <v>0</v>
      </c>
    </row>
    <row r="4277" spans="1:11" x14ac:dyDescent="0.2">
      <c r="A4277">
        <v>41804</v>
      </c>
      <c r="B4277">
        <v>289440</v>
      </c>
      <c r="C4277" t="s">
        <v>7805</v>
      </c>
      <c r="D4277">
        <v>10</v>
      </c>
      <c r="E4277">
        <v>4</v>
      </c>
      <c r="F4277">
        <v>16</v>
      </c>
      <c r="G4277">
        <v>64</v>
      </c>
      <c r="H4277">
        <v>28</v>
      </c>
      <c r="I4277">
        <v>0.6</v>
      </c>
      <c r="J4277">
        <v>19.989999999999998</v>
      </c>
      <c r="K4277">
        <v>1279.3599999999999</v>
      </c>
    </row>
    <row r="4278" spans="1:11" x14ac:dyDescent="0.2">
      <c r="A4278">
        <v>51063</v>
      </c>
      <c r="B4278">
        <v>289447</v>
      </c>
      <c r="C4278" t="s">
        <v>7806</v>
      </c>
      <c r="D4278">
        <v>10</v>
      </c>
      <c r="E4278">
        <v>13</v>
      </c>
      <c r="F4278">
        <v>0</v>
      </c>
      <c r="G4278">
        <v>2</v>
      </c>
      <c r="H4278">
        <v>40</v>
      </c>
      <c r="I4278">
        <v>0</v>
      </c>
      <c r="J4278">
        <v>4.99</v>
      </c>
      <c r="K4278">
        <v>9.98</v>
      </c>
    </row>
    <row r="4279" spans="1:11" x14ac:dyDescent="0.2">
      <c r="A4279">
        <v>41400</v>
      </c>
      <c r="B4279">
        <v>289478</v>
      </c>
      <c r="C4279" t="s">
        <v>7807</v>
      </c>
      <c r="D4279">
        <v>10</v>
      </c>
      <c r="E4279">
        <v>16</v>
      </c>
      <c r="F4279">
        <v>0</v>
      </c>
      <c r="G4279">
        <v>0</v>
      </c>
      <c r="H4279">
        <v>48</v>
      </c>
      <c r="I4279">
        <v>0</v>
      </c>
      <c r="J4279">
        <v>2.99</v>
      </c>
      <c r="K4279">
        <v>0</v>
      </c>
    </row>
    <row r="4280" spans="1:11" x14ac:dyDescent="0.2">
      <c r="A4280">
        <v>48805</v>
      </c>
      <c r="B4280">
        <v>289485</v>
      </c>
      <c r="C4280" t="s">
        <v>7808</v>
      </c>
      <c r="D4280">
        <v>10</v>
      </c>
      <c r="E4280">
        <v>8</v>
      </c>
      <c r="F4280">
        <v>0</v>
      </c>
      <c r="G4280">
        <v>3</v>
      </c>
      <c r="H4280">
        <v>99</v>
      </c>
      <c r="I4280">
        <v>0</v>
      </c>
      <c r="J4280">
        <v>17.989999999999998</v>
      </c>
      <c r="K4280">
        <v>53.97</v>
      </c>
    </row>
    <row r="4281" spans="1:11" x14ac:dyDescent="0.2">
      <c r="B4281">
        <v>289489</v>
      </c>
      <c r="C4281" t="s">
        <v>7809</v>
      </c>
      <c r="D4281">
        <v>10</v>
      </c>
      <c r="E4281">
        <v>14</v>
      </c>
      <c r="F4281">
        <v>0</v>
      </c>
      <c r="G4281">
        <v>0</v>
      </c>
      <c r="H4281">
        <v>36</v>
      </c>
      <c r="I4281">
        <v>0</v>
      </c>
      <c r="J4281">
        <v>1</v>
      </c>
      <c r="K4281">
        <v>0</v>
      </c>
    </row>
    <row r="4282" spans="1:11" x14ac:dyDescent="0.2">
      <c r="B4282">
        <v>289495</v>
      </c>
      <c r="C4282" t="s">
        <v>7810</v>
      </c>
      <c r="D4282">
        <v>10</v>
      </c>
      <c r="E4282">
        <v>12</v>
      </c>
      <c r="F4282">
        <v>0</v>
      </c>
      <c r="G4282">
        <v>0</v>
      </c>
      <c r="H4282">
        <v>285</v>
      </c>
      <c r="I4282">
        <v>0</v>
      </c>
      <c r="J4282">
        <v>1</v>
      </c>
      <c r="K4282">
        <v>0</v>
      </c>
    </row>
    <row r="4283" spans="1:11" x14ac:dyDescent="0.2">
      <c r="A4283">
        <v>29927</v>
      </c>
      <c r="B4283">
        <v>289509</v>
      </c>
      <c r="C4283" t="s">
        <v>7811</v>
      </c>
      <c r="D4283">
        <v>10</v>
      </c>
      <c r="E4283">
        <v>20</v>
      </c>
      <c r="F4283">
        <v>0</v>
      </c>
      <c r="G4283">
        <v>0</v>
      </c>
      <c r="H4283">
        <v>192</v>
      </c>
      <c r="I4283">
        <v>0</v>
      </c>
      <c r="J4283">
        <v>1</v>
      </c>
      <c r="K4283">
        <v>0</v>
      </c>
    </row>
    <row r="4284" spans="1:11" x14ac:dyDescent="0.2">
      <c r="A4284">
        <v>42800</v>
      </c>
      <c r="B4284">
        <v>289515</v>
      </c>
      <c r="C4284" t="s">
        <v>7812</v>
      </c>
      <c r="D4284">
        <v>10</v>
      </c>
      <c r="E4284">
        <v>10</v>
      </c>
      <c r="F4284">
        <v>0</v>
      </c>
      <c r="G4284">
        <v>0</v>
      </c>
      <c r="H4284">
        <v>50</v>
      </c>
      <c r="I4284">
        <v>0</v>
      </c>
      <c r="J4284">
        <v>13.99</v>
      </c>
      <c r="K4284">
        <v>0</v>
      </c>
    </row>
    <row r="4285" spans="1:11" x14ac:dyDescent="0.2">
      <c r="A4285">
        <v>27808</v>
      </c>
      <c r="B4285">
        <v>289532</v>
      </c>
      <c r="C4285" t="s">
        <v>7813</v>
      </c>
      <c r="D4285">
        <v>11</v>
      </c>
      <c r="E4285">
        <v>6</v>
      </c>
      <c r="F4285">
        <v>0</v>
      </c>
      <c r="G4285">
        <v>0</v>
      </c>
      <c r="H4285">
        <v>36</v>
      </c>
      <c r="I4285">
        <v>0</v>
      </c>
      <c r="J4285">
        <v>9.99</v>
      </c>
      <c r="K4285">
        <v>0</v>
      </c>
    </row>
    <row r="4286" spans="1:11" x14ac:dyDescent="0.2">
      <c r="A4286">
        <v>30806</v>
      </c>
      <c r="B4286">
        <v>289538</v>
      </c>
      <c r="C4286" t="s">
        <v>7814</v>
      </c>
      <c r="D4286">
        <v>6</v>
      </c>
      <c r="E4286">
        <v>8</v>
      </c>
      <c r="F4286">
        <v>0</v>
      </c>
      <c r="G4286">
        <v>0</v>
      </c>
      <c r="H4286">
        <v>100</v>
      </c>
      <c r="I4286">
        <v>0</v>
      </c>
      <c r="J4286">
        <v>6.99</v>
      </c>
      <c r="K4286">
        <v>0</v>
      </c>
    </row>
    <row r="4287" spans="1:11" x14ac:dyDescent="0.2">
      <c r="A4287">
        <v>40891</v>
      </c>
      <c r="B4287">
        <v>289539</v>
      </c>
      <c r="C4287" t="s">
        <v>7815</v>
      </c>
      <c r="D4287">
        <v>10</v>
      </c>
      <c r="E4287">
        <v>24</v>
      </c>
      <c r="F4287">
        <v>0</v>
      </c>
      <c r="G4287">
        <v>0</v>
      </c>
      <c r="H4287">
        <v>48</v>
      </c>
      <c r="I4287">
        <v>0</v>
      </c>
      <c r="J4287">
        <v>1.99</v>
      </c>
      <c r="K4287">
        <v>0</v>
      </c>
    </row>
    <row r="4288" spans="1:11" x14ac:dyDescent="0.2">
      <c r="A4288">
        <v>26812</v>
      </c>
      <c r="B4288">
        <v>289540</v>
      </c>
      <c r="C4288" t="s">
        <v>7816</v>
      </c>
      <c r="D4288">
        <v>10</v>
      </c>
      <c r="E4288">
        <v>4</v>
      </c>
      <c r="F4288">
        <v>0</v>
      </c>
      <c r="G4288">
        <v>0</v>
      </c>
      <c r="H4288">
        <v>100</v>
      </c>
      <c r="I4288">
        <v>0</v>
      </c>
      <c r="J4288">
        <v>24.99</v>
      </c>
      <c r="K4288">
        <v>0</v>
      </c>
    </row>
    <row r="4289" spans="1:11" x14ac:dyDescent="0.2">
      <c r="A4289">
        <v>35898</v>
      </c>
      <c r="B4289">
        <v>289555</v>
      </c>
      <c r="C4289" t="s">
        <v>7817</v>
      </c>
      <c r="D4289">
        <v>10</v>
      </c>
      <c r="E4289">
        <v>10</v>
      </c>
      <c r="F4289">
        <v>0</v>
      </c>
      <c r="G4289">
        <v>0</v>
      </c>
      <c r="H4289">
        <v>60</v>
      </c>
      <c r="I4289">
        <v>0</v>
      </c>
      <c r="J4289">
        <v>7.99</v>
      </c>
      <c r="K4289">
        <v>0</v>
      </c>
    </row>
    <row r="4290" spans="1:11" x14ac:dyDescent="0.2">
      <c r="A4290">
        <v>50349</v>
      </c>
      <c r="B4290">
        <v>289565</v>
      </c>
      <c r="C4290" t="s">
        <v>7818</v>
      </c>
      <c r="D4290">
        <v>10</v>
      </c>
      <c r="E4290">
        <v>12</v>
      </c>
      <c r="F4290">
        <v>0</v>
      </c>
      <c r="G4290">
        <v>0</v>
      </c>
      <c r="H4290">
        <v>92</v>
      </c>
      <c r="I4290">
        <v>0</v>
      </c>
      <c r="J4290">
        <v>12.99</v>
      </c>
      <c r="K4290">
        <v>0</v>
      </c>
    </row>
    <row r="4291" spans="1:11" x14ac:dyDescent="0.2">
      <c r="A4291">
        <v>25921</v>
      </c>
      <c r="B4291">
        <v>289572</v>
      </c>
      <c r="C4291" t="s">
        <v>7819</v>
      </c>
      <c r="D4291">
        <v>10</v>
      </c>
      <c r="E4291">
        <v>12</v>
      </c>
      <c r="F4291">
        <v>0</v>
      </c>
      <c r="G4291">
        <v>0</v>
      </c>
      <c r="H4291">
        <v>81</v>
      </c>
      <c r="I4291">
        <v>0</v>
      </c>
      <c r="J4291">
        <v>1</v>
      </c>
      <c r="K4291">
        <v>0</v>
      </c>
    </row>
    <row r="4292" spans="1:11" x14ac:dyDescent="0.2">
      <c r="A4292">
        <v>25922</v>
      </c>
      <c r="B4292">
        <v>289586</v>
      </c>
      <c r="C4292" t="s">
        <v>6479</v>
      </c>
      <c r="D4292">
        <v>10</v>
      </c>
      <c r="E4292">
        <v>14</v>
      </c>
      <c r="F4292">
        <v>0</v>
      </c>
      <c r="G4292">
        <v>0</v>
      </c>
      <c r="H4292">
        <v>54</v>
      </c>
      <c r="I4292">
        <v>0</v>
      </c>
      <c r="J4292">
        <v>1</v>
      </c>
      <c r="K4292">
        <v>0</v>
      </c>
    </row>
    <row r="4293" spans="1:11" x14ac:dyDescent="0.2">
      <c r="A4293">
        <v>25923</v>
      </c>
      <c r="B4293">
        <v>289598</v>
      </c>
      <c r="C4293" t="s">
        <v>7820</v>
      </c>
      <c r="D4293">
        <v>10</v>
      </c>
      <c r="E4293">
        <v>16</v>
      </c>
      <c r="F4293">
        <v>0</v>
      </c>
      <c r="G4293">
        <v>0</v>
      </c>
      <c r="H4293">
        <v>30</v>
      </c>
      <c r="I4293">
        <v>0</v>
      </c>
      <c r="J4293">
        <v>1</v>
      </c>
      <c r="K4293">
        <v>0</v>
      </c>
    </row>
    <row r="4294" spans="1:11" x14ac:dyDescent="0.2">
      <c r="B4294">
        <v>289602</v>
      </c>
      <c r="C4294" t="s">
        <v>7821</v>
      </c>
      <c r="D4294">
        <v>12</v>
      </c>
      <c r="E4294">
        <v>2</v>
      </c>
      <c r="F4294">
        <v>0</v>
      </c>
      <c r="G4294">
        <v>0</v>
      </c>
      <c r="H4294">
        <v>20</v>
      </c>
      <c r="I4294">
        <v>0</v>
      </c>
      <c r="J4294">
        <v>32.99</v>
      </c>
      <c r="K4294">
        <v>0</v>
      </c>
    </row>
    <row r="4295" spans="1:11" x14ac:dyDescent="0.2">
      <c r="A4295">
        <v>25924</v>
      </c>
      <c r="B4295">
        <v>289637</v>
      </c>
      <c r="C4295" t="s">
        <v>7822</v>
      </c>
      <c r="D4295">
        <v>10</v>
      </c>
      <c r="E4295">
        <v>12</v>
      </c>
      <c r="F4295">
        <v>0</v>
      </c>
      <c r="G4295">
        <v>0</v>
      </c>
      <c r="H4295">
        <v>28</v>
      </c>
      <c r="I4295">
        <v>0</v>
      </c>
      <c r="J4295">
        <v>1</v>
      </c>
      <c r="K4295">
        <v>0</v>
      </c>
    </row>
    <row r="4296" spans="1:11" x14ac:dyDescent="0.2">
      <c r="A4296">
        <v>25925</v>
      </c>
      <c r="B4296">
        <v>289638</v>
      </c>
      <c r="C4296" t="s">
        <v>7819</v>
      </c>
      <c r="D4296">
        <v>10</v>
      </c>
      <c r="E4296">
        <v>14</v>
      </c>
      <c r="F4296">
        <v>0</v>
      </c>
      <c r="G4296">
        <v>0</v>
      </c>
      <c r="H4296">
        <v>60</v>
      </c>
      <c r="I4296">
        <v>0</v>
      </c>
      <c r="J4296">
        <v>1</v>
      </c>
      <c r="K4296">
        <v>0</v>
      </c>
    </row>
    <row r="4297" spans="1:11" x14ac:dyDescent="0.2">
      <c r="A4297">
        <v>25926</v>
      </c>
      <c r="B4297">
        <v>289640</v>
      </c>
      <c r="C4297" t="s">
        <v>7823</v>
      </c>
      <c r="D4297">
        <v>10</v>
      </c>
      <c r="E4297">
        <v>14</v>
      </c>
      <c r="F4297">
        <v>0</v>
      </c>
      <c r="G4297">
        <v>0</v>
      </c>
      <c r="H4297">
        <v>24</v>
      </c>
      <c r="I4297">
        <v>0</v>
      </c>
      <c r="J4297">
        <v>1</v>
      </c>
      <c r="K4297">
        <v>0</v>
      </c>
    </row>
    <row r="4298" spans="1:11" x14ac:dyDescent="0.2">
      <c r="A4298">
        <v>29928</v>
      </c>
      <c r="B4298">
        <v>289650</v>
      </c>
      <c r="C4298" t="s">
        <v>7824</v>
      </c>
      <c r="D4298">
        <v>10</v>
      </c>
      <c r="E4298">
        <v>9</v>
      </c>
      <c r="F4298">
        <v>0</v>
      </c>
      <c r="G4298">
        <v>0</v>
      </c>
      <c r="H4298">
        <v>194</v>
      </c>
      <c r="I4298">
        <v>0</v>
      </c>
      <c r="J4298">
        <v>1</v>
      </c>
      <c r="K4298">
        <v>0</v>
      </c>
    </row>
    <row r="4299" spans="1:11" x14ac:dyDescent="0.2">
      <c r="A4299">
        <v>29929</v>
      </c>
      <c r="B4299">
        <v>289652</v>
      </c>
      <c r="C4299" t="s">
        <v>7825</v>
      </c>
      <c r="D4299">
        <v>10</v>
      </c>
      <c r="E4299">
        <v>12</v>
      </c>
      <c r="F4299">
        <v>0</v>
      </c>
      <c r="G4299">
        <v>0</v>
      </c>
      <c r="H4299">
        <v>240</v>
      </c>
      <c r="I4299">
        <v>0</v>
      </c>
      <c r="J4299">
        <v>1</v>
      </c>
      <c r="K4299">
        <v>0</v>
      </c>
    </row>
    <row r="4300" spans="1:11" x14ac:dyDescent="0.2">
      <c r="A4300">
        <v>29930</v>
      </c>
      <c r="B4300">
        <v>289658</v>
      </c>
      <c r="C4300" t="s">
        <v>7826</v>
      </c>
      <c r="D4300">
        <v>10</v>
      </c>
      <c r="E4300">
        <v>12</v>
      </c>
      <c r="F4300">
        <v>0</v>
      </c>
      <c r="G4300">
        <v>0</v>
      </c>
      <c r="H4300">
        <v>288</v>
      </c>
      <c r="I4300">
        <v>0</v>
      </c>
      <c r="J4300">
        <v>1</v>
      </c>
      <c r="K4300">
        <v>0</v>
      </c>
    </row>
    <row r="4301" spans="1:11" x14ac:dyDescent="0.2">
      <c r="A4301">
        <v>25928</v>
      </c>
      <c r="B4301">
        <v>289662</v>
      </c>
      <c r="C4301" t="s">
        <v>7807</v>
      </c>
      <c r="D4301">
        <v>10</v>
      </c>
      <c r="E4301">
        <v>24</v>
      </c>
      <c r="F4301">
        <v>0</v>
      </c>
      <c r="G4301">
        <v>0</v>
      </c>
      <c r="H4301">
        <v>32</v>
      </c>
      <c r="I4301">
        <v>0</v>
      </c>
      <c r="J4301">
        <v>1</v>
      </c>
      <c r="K4301">
        <v>0</v>
      </c>
    </row>
    <row r="4302" spans="1:11" x14ac:dyDescent="0.2">
      <c r="A4302">
        <v>29931</v>
      </c>
      <c r="B4302">
        <v>289663</v>
      </c>
      <c r="C4302" t="s">
        <v>7827</v>
      </c>
      <c r="D4302">
        <v>10</v>
      </c>
      <c r="E4302">
        <v>24</v>
      </c>
      <c r="F4302">
        <v>0</v>
      </c>
      <c r="G4302">
        <v>0</v>
      </c>
      <c r="H4302">
        <v>210</v>
      </c>
      <c r="I4302">
        <v>0</v>
      </c>
      <c r="J4302">
        <v>1</v>
      </c>
      <c r="K4302">
        <v>0</v>
      </c>
    </row>
    <row r="4303" spans="1:11" x14ac:dyDescent="0.2">
      <c r="A4303">
        <v>25929</v>
      </c>
      <c r="B4303">
        <v>289672</v>
      </c>
      <c r="C4303" t="s">
        <v>7828</v>
      </c>
      <c r="D4303">
        <v>10</v>
      </c>
      <c r="E4303">
        <v>14</v>
      </c>
      <c r="F4303">
        <v>0</v>
      </c>
      <c r="G4303">
        <v>0</v>
      </c>
      <c r="H4303">
        <v>40</v>
      </c>
      <c r="I4303">
        <v>0</v>
      </c>
      <c r="J4303">
        <v>1</v>
      </c>
      <c r="K4303">
        <v>0</v>
      </c>
    </row>
    <row r="4304" spans="1:11" x14ac:dyDescent="0.2">
      <c r="A4304">
        <v>25930</v>
      </c>
      <c r="B4304">
        <v>289678</v>
      </c>
      <c r="C4304" t="s">
        <v>7829</v>
      </c>
      <c r="D4304">
        <v>10</v>
      </c>
      <c r="E4304">
        <v>12</v>
      </c>
      <c r="F4304">
        <v>0</v>
      </c>
      <c r="G4304">
        <v>0</v>
      </c>
      <c r="H4304">
        <v>112</v>
      </c>
      <c r="I4304">
        <v>0</v>
      </c>
      <c r="J4304">
        <v>1</v>
      </c>
      <c r="K4304">
        <v>0</v>
      </c>
    </row>
    <row r="4305" spans="1:11" x14ac:dyDescent="0.2">
      <c r="A4305">
        <v>51804</v>
      </c>
      <c r="B4305">
        <v>289684</v>
      </c>
      <c r="C4305" t="s">
        <v>7830</v>
      </c>
      <c r="D4305">
        <v>10</v>
      </c>
      <c r="E4305">
        <v>4</v>
      </c>
      <c r="F4305">
        <v>0</v>
      </c>
      <c r="G4305">
        <v>0</v>
      </c>
      <c r="H4305">
        <v>126</v>
      </c>
      <c r="I4305">
        <v>0</v>
      </c>
      <c r="J4305">
        <v>19.989999999999998</v>
      </c>
      <c r="K4305">
        <v>0</v>
      </c>
    </row>
    <row r="4306" spans="1:11" x14ac:dyDescent="0.2">
      <c r="A4306">
        <v>25931</v>
      </c>
      <c r="B4306">
        <v>289686</v>
      </c>
      <c r="C4306" t="s">
        <v>7831</v>
      </c>
      <c r="D4306">
        <v>10</v>
      </c>
      <c r="E4306">
        <v>12</v>
      </c>
      <c r="F4306">
        <v>0</v>
      </c>
      <c r="G4306">
        <v>0</v>
      </c>
      <c r="H4306">
        <v>24</v>
      </c>
      <c r="I4306">
        <v>0</v>
      </c>
      <c r="J4306">
        <v>1</v>
      </c>
      <c r="K4306">
        <v>0</v>
      </c>
    </row>
    <row r="4307" spans="1:11" x14ac:dyDescent="0.2">
      <c r="A4307">
        <v>50350</v>
      </c>
      <c r="B4307">
        <v>289687</v>
      </c>
      <c r="C4307" t="s">
        <v>7832</v>
      </c>
      <c r="D4307">
        <v>10</v>
      </c>
      <c r="E4307">
        <v>8</v>
      </c>
      <c r="F4307">
        <v>0</v>
      </c>
      <c r="G4307">
        <v>0</v>
      </c>
      <c r="H4307">
        <v>112</v>
      </c>
      <c r="I4307">
        <v>0</v>
      </c>
      <c r="J4307">
        <v>13.99</v>
      </c>
      <c r="K4307">
        <v>0</v>
      </c>
    </row>
    <row r="4308" spans="1:11" x14ac:dyDescent="0.2">
      <c r="A4308">
        <v>25932</v>
      </c>
      <c r="B4308">
        <v>289690</v>
      </c>
      <c r="C4308" t="s">
        <v>7833</v>
      </c>
      <c r="D4308">
        <v>10</v>
      </c>
      <c r="E4308">
        <v>14</v>
      </c>
      <c r="F4308">
        <v>0</v>
      </c>
      <c r="G4308">
        <v>0</v>
      </c>
      <c r="H4308">
        <v>70</v>
      </c>
      <c r="I4308">
        <v>0</v>
      </c>
      <c r="J4308">
        <v>1</v>
      </c>
      <c r="K4308">
        <v>0</v>
      </c>
    </row>
    <row r="4309" spans="1:11" x14ac:dyDescent="0.2">
      <c r="A4309">
        <v>25933</v>
      </c>
      <c r="B4309">
        <v>289691</v>
      </c>
      <c r="C4309" t="s">
        <v>7834</v>
      </c>
      <c r="D4309">
        <v>10</v>
      </c>
      <c r="E4309">
        <v>14</v>
      </c>
      <c r="F4309">
        <v>0</v>
      </c>
      <c r="G4309">
        <v>0</v>
      </c>
      <c r="H4309">
        <v>49</v>
      </c>
      <c r="I4309">
        <v>0</v>
      </c>
      <c r="J4309">
        <v>7.99</v>
      </c>
      <c r="K4309">
        <v>0</v>
      </c>
    </row>
    <row r="4310" spans="1:11" x14ac:dyDescent="0.2">
      <c r="B4310">
        <v>289726</v>
      </c>
      <c r="C4310" t="s">
        <v>7835</v>
      </c>
      <c r="D4310">
        <v>12</v>
      </c>
      <c r="E4310">
        <v>14</v>
      </c>
      <c r="F4310">
        <v>0</v>
      </c>
      <c r="G4310">
        <v>0</v>
      </c>
      <c r="H4310">
        <v>123</v>
      </c>
      <c r="I4310">
        <v>0</v>
      </c>
      <c r="J4310">
        <v>11.99</v>
      </c>
      <c r="K4310">
        <v>0</v>
      </c>
    </row>
    <row r="4311" spans="1:11" x14ac:dyDescent="0.2">
      <c r="A4311">
        <v>29950</v>
      </c>
      <c r="B4311">
        <v>289736</v>
      </c>
      <c r="C4311" t="s">
        <v>7836</v>
      </c>
      <c r="D4311">
        <v>10</v>
      </c>
      <c r="E4311">
        <v>14</v>
      </c>
      <c r="F4311">
        <v>0</v>
      </c>
      <c r="G4311">
        <v>0</v>
      </c>
      <c r="H4311">
        <v>80</v>
      </c>
      <c r="I4311">
        <v>0</v>
      </c>
      <c r="J4311">
        <v>6.99</v>
      </c>
      <c r="K4311">
        <v>0</v>
      </c>
    </row>
    <row r="4312" spans="1:11" x14ac:dyDescent="0.2">
      <c r="B4312">
        <v>289751</v>
      </c>
      <c r="C4312" t="s">
        <v>7837</v>
      </c>
      <c r="D4312">
        <v>11</v>
      </c>
      <c r="E4312">
        <v>12</v>
      </c>
      <c r="F4312">
        <v>0</v>
      </c>
      <c r="G4312">
        <v>0</v>
      </c>
      <c r="H4312">
        <v>40</v>
      </c>
      <c r="I4312">
        <v>0</v>
      </c>
      <c r="J4312">
        <v>6.99</v>
      </c>
      <c r="K4312">
        <v>0</v>
      </c>
    </row>
    <row r="4313" spans="1:11" x14ac:dyDescent="0.2">
      <c r="B4313">
        <v>289801</v>
      </c>
      <c r="C4313" t="s">
        <v>7838</v>
      </c>
      <c r="D4313">
        <v>12</v>
      </c>
      <c r="E4313">
        <v>6</v>
      </c>
      <c r="F4313">
        <v>0</v>
      </c>
      <c r="G4313">
        <v>0</v>
      </c>
      <c r="H4313">
        <v>28</v>
      </c>
      <c r="I4313">
        <v>0</v>
      </c>
      <c r="J4313">
        <v>18.989999999999998</v>
      </c>
      <c r="K4313">
        <v>0</v>
      </c>
    </row>
    <row r="4314" spans="1:11" x14ac:dyDescent="0.2">
      <c r="A4314">
        <v>37809</v>
      </c>
      <c r="B4314">
        <v>289820</v>
      </c>
      <c r="C4314" t="s">
        <v>7839</v>
      </c>
      <c r="D4314">
        <v>10</v>
      </c>
      <c r="E4314">
        <v>4</v>
      </c>
      <c r="F4314">
        <v>0</v>
      </c>
      <c r="G4314">
        <v>0</v>
      </c>
      <c r="H4314">
        <v>22</v>
      </c>
      <c r="I4314">
        <v>0</v>
      </c>
      <c r="J4314">
        <v>19.989999999999998</v>
      </c>
      <c r="K4314">
        <v>0</v>
      </c>
    </row>
    <row r="4315" spans="1:11" x14ac:dyDescent="0.2">
      <c r="B4315">
        <v>289825</v>
      </c>
      <c r="C4315" t="s">
        <v>7840</v>
      </c>
      <c r="D4315">
        <v>12</v>
      </c>
      <c r="E4315">
        <v>6</v>
      </c>
      <c r="F4315">
        <v>0</v>
      </c>
      <c r="G4315">
        <v>0</v>
      </c>
      <c r="H4315">
        <v>40</v>
      </c>
      <c r="I4315">
        <v>0</v>
      </c>
      <c r="J4315">
        <v>14.99</v>
      </c>
      <c r="K4315">
        <v>0</v>
      </c>
    </row>
    <row r="4316" spans="1:11" x14ac:dyDescent="0.2">
      <c r="B4316">
        <v>289828</v>
      </c>
      <c r="C4316" t="s">
        <v>7841</v>
      </c>
      <c r="D4316">
        <v>12</v>
      </c>
      <c r="E4316">
        <v>6</v>
      </c>
      <c r="F4316">
        <v>0</v>
      </c>
      <c r="G4316">
        <v>0</v>
      </c>
      <c r="H4316">
        <v>60</v>
      </c>
      <c r="I4316">
        <v>0</v>
      </c>
      <c r="J4316">
        <v>12.99</v>
      </c>
      <c r="K4316">
        <v>0</v>
      </c>
    </row>
    <row r="4317" spans="1:11" x14ac:dyDescent="0.2">
      <c r="A4317">
        <v>46803</v>
      </c>
      <c r="B4317">
        <v>289861</v>
      </c>
      <c r="C4317" t="s">
        <v>7842</v>
      </c>
      <c r="D4317">
        <v>10</v>
      </c>
      <c r="E4317">
        <v>4</v>
      </c>
      <c r="F4317">
        <v>0</v>
      </c>
      <c r="G4317">
        <v>0</v>
      </c>
      <c r="H4317">
        <v>70</v>
      </c>
      <c r="I4317">
        <v>0</v>
      </c>
      <c r="J4317">
        <v>8.99</v>
      </c>
      <c r="K4317">
        <v>0</v>
      </c>
    </row>
    <row r="4318" spans="1:11" x14ac:dyDescent="0.2">
      <c r="A4318">
        <v>47916</v>
      </c>
      <c r="B4318">
        <v>289866</v>
      </c>
      <c r="C4318" t="s">
        <v>7842</v>
      </c>
      <c r="D4318">
        <v>10</v>
      </c>
      <c r="E4318">
        <v>6</v>
      </c>
      <c r="F4318">
        <v>0</v>
      </c>
      <c r="G4318">
        <v>0</v>
      </c>
      <c r="H4318">
        <v>120</v>
      </c>
      <c r="I4318">
        <v>0</v>
      </c>
      <c r="J4318">
        <v>1</v>
      </c>
      <c r="K4318">
        <v>0</v>
      </c>
    </row>
    <row r="4319" spans="1:11" x14ac:dyDescent="0.2">
      <c r="A4319">
        <v>28809</v>
      </c>
      <c r="B4319">
        <v>289869</v>
      </c>
      <c r="C4319" t="s">
        <v>7843</v>
      </c>
      <c r="D4319">
        <v>10</v>
      </c>
      <c r="E4319">
        <v>4</v>
      </c>
      <c r="F4319">
        <v>0</v>
      </c>
      <c r="G4319">
        <v>0</v>
      </c>
      <c r="H4319">
        <v>12</v>
      </c>
      <c r="I4319">
        <v>0</v>
      </c>
      <c r="J4319">
        <v>29.99</v>
      </c>
      <c r="K4319">
        <v>0</v>
      </c>
    </row>
    <row r="4320" spans="1:11" x14ac:dyDescent="0.2">
      <c r="A4320">
        <v>28810</v>
      </c>
      <c r="B4320">
        <v>289870</v>
      </c>
      <c r="C4320" t="s">
        <v>7844</v>
      </c>
      <c r="D4320">
        <v>10</v>
      </c>
      <c r="E4320">
        <v>6</v>
      </c>
      <c r="F4320">
        <v>0</v>
      </c>
      <c r="G4320">
        <v>0</v>
      </c>
      <c r="H4320">
        <v>88</v>
      </c>
      <c r="I4320">
        <v>0</v>
      </c>
      <c r="J4320">
        <v>14.99</v>
      </c>
      <c r="K4320">
        <v>0</v>
      </c>
    </row>
    <row r="4321" spans="1:11" x14ac:dyDescent="0.2">
      <c r="A4321">
        <v>50351</v>
      </c>
      <c r="B4321">
        <v>289871</v>
      </c>
      <c r="C4321" t="s">
        <v>7845</v>
      </c>
      <c r="D4321">
        <v>10</v>
      </c>
      <c r="E4321">
        <v>4</v>
      </c>
      <c r="F4321">
        <v>0</v>
      </c>
      <c r="G4321">
        <v>0</v>
      </c>
      <c r="H4321">
        <v>30</v>
      </c>
      <c r="I4321">
        <v>0</v>
      </c>
      <c r="J4321">
        <v>24.99</v>
      </c>
      <c r="K4321">
        <v>0</v>
      </c>
    </row>
    <row r="4322" spans="1:11" x14ac:dyDescent="0.2">
      <c r="A4322">
        <v>43807</v>
      </c>
      <c r="B4322">
        <v>289872</v>
      </c>
      <c r="C4322" t="s">
        <v>7846</v>
      </c>
      <c r="D4322">
        <v>10</v>
      </c>
      <c r="E4322">
        <v>6</v>
      </c>
      <c r="F4322">
        <v>2</v>
      </c>
      <c r="G4322">
        <v>12</v>
      </c>
      <c r="H4322">
        <v>40</v>
      </c>
      <c r="I4322">
        <v>0.1</v>
      </c>
      <c r="J4322">
        <v>9.99</v>
      </c>
      <c r="K4322">
        <v>119.88</v>
      </c>
    </row>
    <row r="4323" spans="1:11" x14ac:dyDescent="0.2">
      <c r="A4323">
        <v>46026</v>
      </c>
      <c r="B4323">
        <v>289877</v>
      </c>
      <c r="C4323" t="s">
        <v>7847</v>
      </c>
      <c r="D4323">
        <v>10</v>
      </c>
      <c r="E4323">
        <v>12</v>
      </c>
      <c r="F4323">
        <v>0</v>
      </c>
      <c r="G4323">
        <v>0</v>
      </c>
      <c r="H4323">
        <v>70</v>
      </c>
      <c r="I4323">
        <v>0</v>
      </c>
      <c r="J4323">
        <v>1</v>
      </c>
      <c r="K4323">
        <v>0</v>
      </c>
    </row>
    <row r="4324" spans="1:11" x14ac:dyDescent="0.2">
      <c r="A4324">
        <v>32927</v>
      </c>
      <c r="B4324">
        <v>289878</v>
      </c>
      <c r="C4324" t="s">
        <v>7848</v>
      </c>
      <c r="D4324">
        <v>10</v>
      </c>
      <c r="E4324">
        <v>24</v>
      </c>
      <c r="F4324">
        <v>0</v>
      </c>
      <c r="G4324">
        <v>0</v>
      </c>
      <c r="H4324">
        <v>120</v>
      </c>
      <c r="I4324">
        <v>0</v>
      </c>
      <c r="J4324">
        <v>1</v>
      </c>
      <c r="K4324">
        <v>0</v>
      </c>
    </row>
    <row r="4325" spans="1:11" x14ac:dyDescent="0.2">
      <c r="A4325">
        <v>46027</v>
      </c>
      <c r="B4325">
        <v>289886</v>
      </c>
      <c r="C4325" t="s">
        <v>7849</v>
      </c>
      <c r="D4325">
        <v>10</v>
      </c>
      <c r="E4325">
        <v>15</v>
      </c>
      <c r="F4325">
        <v>1</v>
      </c>
      <c r="G4325">
        <v>12</v>
      </c>
      <c r="H4325">
        <v>32</v>
      </c>
      <c r="I4325">
        <v>0</v>
      </c>
      <c r="J4325">
        <v>1</v>
      </c>
      <c r="K4325">
        <v>12</v>
      </c>
    </row>
    <row r="4326" spans="1:11" x14ac:dyDescent="0.2">
      <c r="A4326">
        <v>43808</v>
      </c>
      <c r="B4326">
        <v>289910</v>
      </c>
      <c r="C4326" t="s">
        <v>7850</v>
      </c>
      <c r="D4326">
        <v>10</v>
      </c>
      <c r="E4326">
        <v>4</v>
      </c>
      <c r="F4326">
        <v>1</v>
      </c>
      <c r="G4326">
        <v>4</v>
      </c>
      <c r="H4326">
        <v>60</v>
      </c>
      <c r="I4326">
        <v>0</v>
      </c>
      <c r="J4326">
        <v>29.99</v>
      </c>
      <c r="K4326">
        <v>119.96</v>
      </c>
    </row>
    <row r="4327" spans="1:11" x14ac:dyDescent="0.2">
      <c r="A4327">
        <v>28812</v>
      </c>
      <c r="B4327">
        <v>289916</v>
      </c>
      <c r="C4327" t="s">
        <v>7851</v>
      </c>
      <c r="D4327">
        <v>6</v>
      </c>
      <c r="E4327">
        <v>10</v>
      </c>
      <c r="F4327">
        <v>0</v>
      </c>
      <c r="G4327">
        <v>0</v>
      </c>
      <c r="H4327">
        <v>42</v>
      </c>
      <c r="I4327">
        <v>0</v>
      </c>
      <c r="J4327">
        <v>5.99</v>
      </c>
      <c r="K4327">
        <v>0</v>
      </c>
    </row>
    <row r="4328" spans="1:11" x14ac:dyDescent="0.2">
      <c r="A4328">
        <v>28813</v>
      </c>
      <c r="B4328">
        <v>289918</v>
      </c>
      <c r="C4328" t="s">
        <v>7852</v>
      </c>
      <c r="D4328">
        <v>10</v>
      </c>
      <c r="E4328">
        <v>4</v>
      </c>
      <c r="F4328">
        <v>0</v>
      </c>
      <c r="G4328">
        <v>0</v>
      </c>
      <c r="H4328">
        <v>60</v>
      </c>
      <c r="I4328">
        <v>0</v>
      </c>
      <c r="J4328">
        <v>17.989999999999998</v>
      </c>
      <c r="K4328">
        <v>0</v>
      </c>
    </row>
    <row r="4329" spans="1:11" x14ac:dyDescent="0.2">
      <c r="A4329">
        <v>41805</v>
      </c>
      <c r="B4329">
        <v>289930</v>
      </c>
      <c r="C4329" t="s">
        <v>7853</v>
      </c>
      <c r="D4329">
        <v>10</v>
      </c>
      <c r="E4329">
        <v>4</v>
      </c>
      <c r="F4329">
        <v>0</v>
      </c>
      <c r="G4329">
        <v>0</v>
      </c>
      <c r="H4329">
        <v>100</v>
      </c>
      <c r="I4329">
        <v>0</v>
      </c>
      <c r="J4329">
        <v>17.989999999999998</v>
      </c>
      <c r="K4329">
        <v>0</v>
      </c>
    </row>
    <row r="4330" spans="1:11" x14ac:dyDescent="0.2">
      <c r="A4330">
        <v>50352</v>
      </c>
      <c r="B4330">
        <v>289939</v>
      </c>
      <c r="C4330" t="s">
        <v>7854</v>
      </c>
      <c r="D4330">
        <v>10</v>
      </c>
      <c r="E4330">
        <v>12</v>
      </c>
      <c r="F4330">
        <v>0</v>
      </c>
      <c r="G4330">
        <v>0</v>
      </c>
      <c r="H4330">
        <v>100</v>
      </c>
      <c r="I4330">
        <v>0</v>
      </c>
      <c r="J4330">
        <v>8.99</v>
      </c>
      <c r="K4330">
        <v>0</v>
      </c>
    </row>
    <row r="4331" spans="1:11" x14ac:dyDescent="0.2">
      <c r="A4331">
        <v>28815</v>
      </c>
      <c r="B4331">
        <v>289945</v>
      </c>
      <c r="C4331" t="s">
        <v>7855</v>
      </c>
      <c r="D4331">
        <v>10</v>
      </c>
      <c r="E4331">
        <v>20</v>
      </c>
      <c r="F4331">
        <v>0</v>
      </c>
      <c r="G4331">
        <v>0</v>
      </c>
      <c r="H4331">
        <v>24</v>
      </c>
      <c r="I4331">
        <v>0</v>
      </c>
      <c r="J4331">
        <v>3.49</v>
      </c>
      <c r="K4331">
        <v>0</v>
      </c>
    </row>
    <row r="4332" spans="1:11" x14ac:dyDescent="0.2">
      <c r="A4332">
        <v>32928</v>
      </c>
      <c r="B4332">
        <v>289949</v>
      </c>
      <c r="C4332" t="s">
        <v>7856</v>
      </c>
      <c r="D4332">
        <v>10</v>
      </c>
      <c r="E4332">
        <v>12</v>
      </c>
      <c r="F4332">
        <v>0</v>
      </c>
      <c r="G4332">
        <v>0</v>
      </c>
      <c r="H4332">
        <v>228</v>
      </c>
      <c r="I4332">
        <v>0</v>
      </c>
      <c r="J4332">
        <v>1</v>
      </c>
      <c r="K4332">
        <v>0</v>
      </c>
    </row>
    <row r="4333" spans="1:11" x14ac:dyDescent="0.2">
      <c r="A4333">
        <v>28816</v>
      </c>
      <c r="B4333">
        <v>289973</v>
      </c>
      <c r="C4333" t="s">
        <v>7857</v>
      </c>
      <c r="D4333">
        <v>10</v>
      </c>
      <c r="E4333">
        <v>8</v>
      </c>
      <c r="F4333">
        <v>0</v>
      </c>
      <c r="G4333">
        <v>0</v>
      </c>
      <c r="H4333">
        <v>20</v>
      </c>
      <c r="I4333">
        <v>0</v>
      </c>
      <c r="J4333">
        <v>9.99</v>
      </c>
      <c r="K4333">
        <v>0</v>
      </c>
    </row>
    <row r="4334" spans="1:11" x14ac:dyDescent="0.2">
      <c r="A4334">
        <v>46028</v>
      </c>
      <c r="B4334">
        <v>289987</v>
      </c>
      <c r="C4334" t="s">
        <v>7858</v>
      </c>
      <c r="D4334">
        <v>10</v>
      </c>
      <c r="E4334">
        <v>8</v>
      </c>
      <c r="F4334">
        <v>1</v>
      </c>
      <c r="G4334">
        <v>4</v>
      </c>
      <c r="H4334">
        <v>10</v>
      </c>
      <c r="I4334">
        <v>0.1</v>
      </c>
      <c r="J4334">
        <v>1</v>
      </c>
      <c r="K4334">
        <v>4</v>
      </c>
    </row>
    <row r="4335" spans="1:11" x14ac:dyDescent="0.2">
      <c r="A4335">
        <v>28817</v>
      </c>
      <c r="B4335">
        <v>290002</v>
      </c>
      <c r="C4335" t="s">
        <v>7859</v>
      </c>
      <c r="D4335">
        <v>10</v>
      </c>
      <c r="E4335">
        <v>6</v>
      </c>
      <c r="F4335">
        <v>0</v>
      </c>
      <c r="G4335">
        <v>0</v>
      </c>
      <c r="H4335">
        <v>48</v>
      </c>
      <c r="I4335">
        <v>0</v>
      </c>
      <c r="J4335">
        <v>8.99</v>
      </c>
      <c r="K4335">
        <v>0</v>
      </c>
    </row>
    <row r="4336" spans="1:11" x14ac:dyDescent="0.2">
      <c r="A4336">
        <v>40892</v>
      </c>
      <c r="B4336">
        <v>290027</v>
      </c>
      <c r="C4336" t="s">
        <v>7860</v>
      </c>
      <c r="D4336">
        <v>10</v>
      </c>
      <c r="E4336">
        <v>25</v>
      </c>
      <c r="F4336">
        <v>0</v>
      </c>
      <c r="G4336">
        <v>0</v>
      </c>
      <c r="H4336">
        <v>90</v>
      </c>
      <c r="I4336">
        <v>0</v>
      </c>
      <c r="J4336">
        <v>1</v>
      </c>
      <c r="K4336">
        <v>0</v>
      </c>
    </row>
    <row r="4337" spans="1:11" x14ac:dyDescent="0.2">
      <c r="A4337">
        <v>51805</v>
      </c>
      <c r="B4337">
        <v>290033</v>
      </c>
      <c r="C4337" t="s">
        <v>7861</v>
      </c>
      <c r="D4337">
        <v>10</v>
      </c>
      <c r="E4337">
        <v>4</v>
      </c>
      <c r="F4337">
        <v>84</v>
      </c>
      <c r="G4337">
        <v>334</v>
      </c>
      <c r="H4337">
        <v>90</v>
      </c>
      <c r="I4337">
        <v>0.9</v>
      </c>
      <c r="J4337">
        <v>19.989999999999998</v>
      </c>
      <c r="K4337">
        <v>6676.66</v>
      </c>
    </row>
    <row r="4338" spans="1:11" x14ac:dyDescent="0.2">
      <c r="A4338">
        <v>29811</v>
      </c>
      <c r="B4338">
        <v>290040</v>
      </c>
      <c r="C4338" t="s">
        <v>7812</v>
      </c>
      <c r="D4338">
        <v>10</v>
      </c>
      <c r="E4338">
        <v>8</v>
      </c>
      <c r="F4338">
        <v>0</v>
      </c>
      <c r="G4338">
        <v>0</v>
      </c>
      <c r="H4338">
        <v>187</v>
      </c>
      <c r="I4338">
        <v>0</v>
      </c>
      <c r="J4338">
        <v>5.99</v>
      </c>
      <c r="K4338">
        <v>0</v>
      </c>
    </row>
    <row r="4339" spans="1:11" x14ac:dyDescent="0.2">
      <c r="A4339">
        <v>29812</v>
      </c>
      <c r="B4339">
        <v>290062</v>
      </c>
      <c r="C4339" t="s">
        <v>7862</v>
      </c>
      <c r="D4339">
        <v>10</v>
      </c>
      <c r="E4339">
        <v>10</v>
      </c>
      <c r="F4339">
        <v>0</v>
      </c>
      <c r="G4339">
        <v>0</v>
      </c>
      <c r="H4339">
        <v>216</v>
      </c>
      <c r="I4339">
        <v>0</v>
      </c>
      <c r="J4339">
        <v>6.99</v>
      </c>
      <c r="K4339">
        <v>0</v>
      </c>
    </row>
    <row r="4340" spans="1:11" x14ac:dyDescent="0.2">
      <c r="A4340">
        <v>34804</v>
      </c>
      <c r="B4340">
        <v>290065</v>
      </c>
      <c r="C4340" t="s">
        <v>7863</v>
      </c>
      <c r="D4340">
        <v>10</v>
      </c>
      <c r="E4340">
        <v>6</v>
      </c>
      <c r="F4340">
        <v>0</v>
      </c>
      <c r="G4340">
        <v>0</v>
      </c>
      <c r="H4340">
        <v>72</v>
      </c>
      <c r="I4340">
        <v>0</v>
      </c>
      <c r="J4340">
        <v>17.989999999999998</v>
      </c>
      <c r="K4340">
        <v>0</v>
      </c>
    </row>
    <row r="4341" spans="1:11" x14ac:dyDescent="0.2">
      <c r="B4341">
        <v>290084</v>
      </c>
      <c r="C4341" t="s">
        <v>7864</v>
      </c>
      <c r="D4341">
        <v>12</v>
      </c>
      <c r="E4341">
        <v>14</v>
      </c>
      <c r="F4341">
        <v>0</v>
      </c>
      <c r="G4341">
        <v>0</v>
      </c>
      <c r="H4341">
        <v>153</v>
      </c>
      <c r="I4341">
        <v>0</v>
      </c>
      <c r="J4341">
        <v>1</v>
      </c>
      <c r="K4341">
        <v>0</v>
      </c>
    </row>
    <row r="4342" spans="1:11" x14ac:dyDescent="0.2">
      <c r="B4342">
        <v>290097</v>
      </c>
      <c r="C4342" t="s">
        <v>7865</v>
      </c>
      <c r="D4342">
        <v>12</v>
      </c>
      <c r="E4342">
        <v>16</v>
      </c>
      <c r="F4342">
        <v>0</v>
      </c>
      <c r="G4342">
        <v>0</v>
      </c>
      <c r="H4342">
        <v>48</v>
      </c>
      <c r="I4342">
        <v>0</v>
      </c>
      <c r="J4342">
        <v>1</v>
      </c>
      <c r="K4342">
        <v>0</v>
      </c>
    </row>
    <row r="4343" spans="1:11" x14ac:dyDescent="0.2">
      <c r="A4343">
        <v>28818</v>
      </c>
      <c r="B4343">
        <v>290143</v>
      </c>
      <c r="C4343" t="s">
        <v>7523</v>
      </c>
      <c r="D4343">
        <v>10</v>
      </c>
      <c r="E4343">
        <v>4</v>
      </c>
      <c r="F4343">
        <v>0</v>
      </c>
      <c r="G4343">
        <v>0</v>
      </c>
      <c r="H4343">
        <v>152</v>
      </c>
      <c r="I4343">
        <v>0</v>
      </c>
      <c r="J4343">
        <v>21.99</v>
      </c>
      <c r="K4343">
        <v>0</v>
      </c>
    </row>
    <row r="4344" spans="1:11" x14ac:dyDescent="0.2">
      <c r="A4344">
        <v>47914</v>
      </c>
      <c r="B4344">
        <v>290149</v>
      </c>
      <c r="C4344" t="s">
        <v>7866</v>
      </c>
      <c r="D4344">
        <v>10</v>
      </c>
      <c r="E4344">
        <v>34</v>
      </c>
      <c r="F4344">
        <v>0</v>
      </c>
      <c r="G4344">
        <v>0</v>
      </c>
      <c r="H4344">
        <v>34</v>
      </c>
      <c r="I4344">
        <v>0</v>
      </c>
      <c r="J4344">
        <v>1</v>
      </c>
      <c r="K4344">
        <v>0</v>
      </c>
    </row>
    <row r="4345" spans="1:11" x14ac:dyDescent="0.2">
      <c r="A4345">
        <v>27809</v>
      </c>
      <c r="B4345">
        <v>290170</v>
      </c>
      <c r="C4345" t="s">
        <v>7867</v>
      </c>
      <c r="D4345">
        <v>11</v>
      </c>
      <c r="E4345">
        <v>4</v>
      </c>
      <c r="F4345">
        <v>0</v>
      </c>
      <c r="G4345">
        <v>0</v>
      </c>
      <c r="H4345">
        <v>24</v>
      </c>
      <c r="I4345">
        <v>0</v>
      </c>
      <c r="J4345">
        <v>29.99</v>
      </c>
      <c r="K4345">
        <v>0</v>
      </c>
    </row>
    <row r="4346" spans="1:11" x14ac:dyDescent="0.2">
      <c r="B4346">
        <v>290171</v>
      </c>
      <c r="C4346" t="s">
        <v>7524</v>
      </c>
      <c r="D4346">
        <v>6</v>
      </c>
      <c r="E4346">
        <v>2</v>
      </c>
      <c r="F4346">
        <v>0</v>
      </c>
      <c r="G4346">
        <v>0</v>
      </c>
      <c r="H4346">
        <v>48</v>
      </c>
      <c r="I4346">
        <v>0</v>
      </c>
      <c r="J4346">
        <v>49.99</v>
      </c>
      <c r="K4346">
        <v>0</v>
      </c>
    </row>
    <row r="4347" spans="1:11" x14ac:dyDescent="0.2">
      <c r="A4347">
        <v>28820</v>
      </c>
      <c r="B4347">
        <v>290173</v>
      </c>
      <c r="C4347" t="s">
        <v>7868</v>
      </c>
      <c r="D4347">
        <v>10</v>
      </c>
      <c r="E4347">
        <v>10</v>
      </c>
      <c r="F4347">
        <v>0</v>
      </c>
      <c r="G4347">
        <v>0</v>
      </c>
      <c r="H4347">
        <v>132</v>
      </c>
      <c r="I4347">
        <v>0</v>
      </c>
      <c r="J4347">
        <v>2.99</v>
      </c>
      <c r="K4347">
        <v>0</v>
      </c>
    </row>
    <row r="4348" spans="1:11" x14ac:dyDescent="0.2">
      <c r="A4348">
        <v>44804</v>
      </c>
      <c r="B4348">
        <v>290174</v>
      </c>
      <c r="C4348" t="s">
        <v>7869</v>
      </c>
      <c r="D4348">
        <v>10</v>
      </c>
      <c r="E4348">
        <v>4</v>
      </c>
      <c r="F4348">
        <v>0</v>
      </c>
      <c r="G4348">
        <v>0</v>
      </c>
      <c r="H4348">
        <v>12</v>
      </c>
      <c r="I4348">
        <v>0</v>
      </c>
      <c r="J4348">
        <v>8.99</v>
      </c>
      <c r="K4348">
        <v>0</v>
      </c>
    </row>
    <row r="4349" spans="1:11" x14ac:dyDescent="0.2">
      <c r="A4349">
        <v>27810</v>
      </c>
      <c r="B4349">
        <v>290179</v>
      </c>
      <c r="C4349" t="s">
        <v>7870</v>
      </c>
      <c r="D4349">
        <v>11</v>
      </c>
      <c r="E4349">
        <v>10</v>
      </c>
      <c r="F4349">
        <v>0</v>
      </c>
      <c r="G4349">
        <v>0</v>
      </c>
      <c r="H4349">
        <v>36</v>
      </c>
      <c r="I4349">
        <v>0</v>
      </c>
      <c r="J4349">
        <v>3.99</v>
      </c>
      <c r="K4349">
        <v>0</v>
      </c>
    </row>
    <row r="4350" spans="1:11" x14ac:dyDescent="0.2">
      <c r="A4350">
        <v>47803</v>
      </c>
      <c r="B4350">
        <v>290195</v>
      </c>
      <c r="C4350" t="s">
        <v>7871</v>
      </c>
      <c r="D4350">
        <v>10</v>
      </c>
      <c r="E4350">
        <v>24</v>
      </c>
      <c r="F4350">
        <v>1</v>
      </c>
      <c r="G4350">
        <v>14</v>
      </c>
      <c r="H4350">
        <v>25</v>
      </c>
      <c r="I4350">
        <v>0</v>
      </c>
      <c r="J4350">
        <v>3.99</v>
      </c>
      <c r="K4350">
        <v>55.86</v>
      </c>
    </row>
    <row r="4351" spans="1:11" x14ac:dyDescent="0.2">
      <c r="A4351">
        <v>28821</v>
      </c>
      <c r="B4351">
        <v>290196</v>
      </c>
      <c r="C4351" t="s">
        <v>7872</v>
      </c>
      <c r="D4351">
        <v>10</v>
      </c>
      <c r="E4351">
        <v>12</v>
      </c>
      <c r="F4351">
        <v>0</v>
      </c>
      <c r="G4351">
        <v>0</v>
      </c>
      <c r="H4351">
        <v>32</v>
      </c>
      <c r="I4351">
        <v>0</v>
      </c>
      <c r="J4351">
        <v>4.99</v>
      </c>
      <c r="K4351">
        <v>0</v>
      </c>
    </row>
    <row r="4352" spans="1:11" x14ac:dyDescent="0.2">
      <c r="A4352">
        <v>47804</v>
      </c>
      <c r="B4352">
        <v>290197</v>
      </c>
      <c r="C4352" t="s">
        <v>7873</v>
      </c>
      <c r="D4352">
        <v>10</v>
      </c>
      <c r="E4352">
        <v>18</v>
      </c>
      <c r="F4352">
        <v>0</v>
      </c>
      <c r="G4352">
        <v>0</v>
      </c>
      <c r="H4352">
        <v>25</v>
      </c>
      <c r="I4352">
        <v>0</v>
      </c>
      <c r="J4352">
        <v>4.99</v>
      </c>
      <c r="K4352">
        <v>0</v>
      </c>
    </row>
    <row r="4353" spans="1:12" x14ac:dyDescent="0.2">
      <c r="A4353">
        <v>28822</v>
      </c>
      <c r="B4353">
        <v>290203</v>
      </c>
      <c r="C4353" t="s">
        <v>7874</v>
      </c>
      <c r="D4353">
        <v>10</v>
      </c>
      <c r="E4353">
        <v>2</v>
      </c>
      <c r="F4353">
        <v>0</v>
      </c>
      <c r="G4353">
        <v>0</v>
      </c>
      <c r="H4353">
        <v>30</v>
      </c>
      <c r="I4353">
        <v>0</v>
      </c>
      <c r="J4353">
        <v>19.989999999999998</v>
      </c>
      <c r="K4353">
        <v>0</v>
      </c>
    </row>
    <row r="4354" spans="1:12" x14ac:dyDescent="0.2">
      <c r="B4354">
        <v>290220</v>
      </c>
      <c r="C4354" t="s">
        <v>7875</v>
      </c>
      <c r="D4354">
        <v>12</v>
      </c>
      <c r="E4354">
        <v>60</v>
      </c>
      <c r="F4354">
        <v>0</v>
      </c>
      <c r="G4354">
        <v>0</v>
      </c>
      <c r="H4354">
        <v>78</v>
      </c>
      <c r="I4354">
        <v>0</v>
      </c>
      <c r="J4354">
        <v>1.99</v>
      </c>
      <c r="K4354">
        <v>0</v>
      </c>
      <c r="L4354" t="s">
        <v>3699</v>
      </c>
    </row>
    <row r="4355" spans="1:12" x14ac:dyDescent="0.2">
      <c r="A4355">
        <v>27811</v>
      </c>
      <c r="B4355">
        <v>290234</v>
      </c>
      <c r="C4355" t="s">
        <v>7876</v>
      </c>
      <c r="D4355">
        <v>11</v>
      </c>
      <c r="E4355">
        <v>6</v>
      </c>
      <c r="F4355">
        <v>0</v>
      </c>
      <c r="G4355">
        <v>0</v>
      </c>
      <c r="H4355">
        <v>50</v>
      </c>
      <c r="I4355">
        <v>0</v>
      </c>
      <c r="J4355">
        <v>12.99</v>
      </c>
      <c r="K4355">
        <v>0</v>
      </c>
    </row>
    <row r="4356" spans="1:12" x14ac:dyDescent="0.2">
      <c r="A4356">
        <v>27812</v>
      </c>
      <c r="B4356">
        <v>290236</v>
      </c>
      <c r="C4356" t="s">
        <v>7877</v>
      </c>
      <c r="D4356">
        <v>11</v>
      </c>
      <c r="E4356">
        <v>10</v>
      </c>
      <c r="F4356">
        <v>0</v>
      </c>
      <c r="G4356">
        <v>0</v>
      </c>
      <c r="H4356">
        <v>25</v>
      </c>
      <c r="I4356">
        <v>0</v>
      </c>
      <c r="J4356">
        <v>4.99</v>
      </c>
      <c r="K4356">
        <v>0</v>
      </c>
    </row>
    <row r="4357" spans="1:12" x14ac:dyDescent="0.2">
      <c r="B4357">
        <v>290238</v>
      </c>
      <c r="C4357" t="s">
        <v>7679</v>
      </c>
      <c r="D4357">
        <v>12</v>
      </c>
      <c r="E4357">
        <v>1</v>
      </c>
      <c r="F4357">
        <v>0</v>
      </c>
      <c r="G4357">
        <v>0</v>
      </c>
      <c r="H4357">
        <v>24</v>
      </c>
      <c r="I4357">
        <v>0</v>
      </c>
      <c r="J4357">
        <v>159</v>
      </c>
      <c r="K4357">
        <v>0</v>
      </c>
    </row>
    <row r="4358" spans="1:12" x14ac:dyDescent="0.2">
      <c r="A4358">
        <v>27813</v>
      </c>
      <c r="B4358">
        <v>290249</v>
      </c>
      <c r="C4358" t="s">
        <v>7878</v>
      </c>
      <c r="D4358">
        <v>11</v>
      </c>
      <c r="E4358">
        <v>15</v>
      </c>
      <c r="F4358">
        <v>0</v>
      </c>
      <c r="G4358">
        <v>0</v>
      </c>
      <c r="H4358">
        <v>35</v>
      </c>
      <c r="I4358">
        <v>0</v>
      </c>
      <c r="J4358">
        <v>4.99</v>
      </c>
      <c r="K4358">
        <v>0</v>
      </c>
    </row>
    <row r="4359" spans="1:12" x14ac:dyDescent="0.2">
      <c r="B4359">
        <v>290260</v>
      </c>
      <c r="C4359" t="s">
        <v>7879</v>
      </c>
      <c r="D4359">
        <v>12</v>
      </c>
      <c r="E4359">
        <v>6</v>
      </c>
      <c r="F4359">
        <v>0</v>
      </c>
      <c r="G4359">
        <v>0</v>
      </c>
      <c r="H4359">
        <v>30</v>
      </c>
      <c r="I4359">
        <v>0</v>
      </c>
      <c r="J4359">
        <v>11.99</v>
      </c>
      <c r="K4359">
        <v>0</v>
      </c>
    </row>
    <row r="4360" spans="1:12" x14ac:dyDescent="0.2">
      <c r="A4360">
        <v>28823</v>
      </c>
      <c r="B4360">
        <v>290263</v>
      </c>
      <c r="C4360" t="s">
        <v>7880</v>
      </c>
      <c r="D4360">
        <v>12</v>
      </c>
      <c r="E4360">
        <v>4</v>
      </c>
      <c r="F4360">
        <v>0</v>
      </c>
      <c r="G4360">
        <v>0</v>
      </c>
      <c r="H4360">
        <v>105</v>
      </c>
      <c r="I4360">
        <v>0</v>
      </c>
      <c r="J4360">
        <v>7.99</v>
      </c>
      <c r="K4360">
        <v>0</v>
      </c>
    </row>
    <row r="4361" spans="1:12" x14ac:dyDescent="0.2">
      <c r="A4361">
        <v>32929</v>
      </c>
      <c r="B4361">
        <v>290270</v>
      </c>
      <c r="C4361" t="s">
        <v>7881</v>
      </c>
      <c r="D4361">
        <v>10</v>
      </c>
      <c r="E4361">
        <v>12</v>
      </c>
      <c r="F4361">
        <v>0</v>
      </c>
      <c r="G4361">
        <v>0</v>
      </c>
      <c r="H4361">
        <v>231</v>
      </c>
      <c r="I4361">
        <v>0</v>
      </c>
      <c r="J4361">
        <v>1</v>
      </c>
      <c r="K4361">
        <v>0</v>
      </c>
    </row>
    <row r="4362" spans="1:12" x14ac:dyDescent="0.2">
      <c r="A4362">
        <v>29813</v>
      </c>
      <c r="B4362">
        <v>290272</v>
      </c>
      <c r="C4362" t="s">
        <v>7882</v>
      </c>
      <c r="D4362">
        <v>10</v>
      </c>
      <c r="E4362">
        <v>6</v>
      </c>
      <c r="F4362">
        <v>0</v>
      </c>
      <c r="G4362">
        <v>0</v>
      </c>
      <c r="H4362">
        <v>56</v>
      </c>
      <c r="I4362">
        <v>0</v>
      </c>
      <c r="J4362">
        <v>14.99</v>
      </c>
      <c r="K4362">
        <v>0</v>
      </c>
    </row>
    <row r="4363" spans="1:12" x14ac:dyDescent="0.2">
      <c r="A4363">
        <v>35899</v>
      </c>
      <c r="B4363">
        <v>290273</v>
      </c>
      <c r="C4363" t="s">
        <v>7883</v>
      </c>
      <c r="D4363">
        <v>10</v>
      </c>
      <c r="E4363">
        <v>10</v>
      </c>
      <c r="F4363">
        <v>0</v>
      </c>
      <c r="G4363">
        <v>0</v>
      </c>
      <c r="H4363">
        <v>126</v>
      </c>
      <c r="I4363">
        <v>0</v>
      </c>
      <c r="J4363">
        <v>9.99</v>
      </c>
      <c r="K4363">
        <v>0</v>
      </c>
    </row>
    <row r="4364" spans="1:12" x14ac:dyDescent="0.2">
      <c r="A4364">
        <v>27814</v>
      </c>
      <c r="B4364">
        <v>290274</v>
      </c>
      <c r="C4364" t="s">
        <v>7884</v>
      </c>
      <c r="D4364">
        <v>11</v>
      </c>
      <c r="E4364">
        <v>11</v>
      </c>
      <c r="F4364">
        <v>0</v>
      </c>
      <c r="G4364">
        <v>0</v>
      </c>
      <c r="H4364">
        <v>12</v>
      </c>
      <c r="I4364">
        <v>0</v>
      </c>
      <c r="J4364">
        <v>8.99</v>
      </c>
      <c r="K4364">
        <v>0</v>
      </c>
    </row>
    <row r="4365" spans="1:12" x14ac:dyDescent="0.2">
      <c r="B4365">
        <v>290289</v>
      </c>
      <c r="C4365" t="s">
        <v>7885</v>
      </c>
      <c r="D4365">
        <v>6</v>
      </c>
      <c r="E4365">
        <v>2</v>
      </c>
      <c r="F4365">
        <v>0</v>
      </c>
      <c r="G4365">
        <v>0</v>
      </c>
      <c r="H4365">
        <v>56</v>
      </c>
      <c r="I4365">
        <v>0</v>
      </c>
      <c r="J4365">
        <v>21.99</v>
      </c>
      <c r="K4365">
        <v>0</v>
      </c>
    </row>
    <row r="4366" spans="1:12" x14ac:dyDescent="0.2">
      <c r="A4366">
        <v>40804</v>
      </c>
      <c r="B4366">
        <v>290291</v>
      </c>
      <c r="C4366" t="s">
        <v>7886</v>
      </c>
      <c r="D4366">
        <v>10</v>
      </c>
      <c r="E4366">
        <v>4</v>
      </c>
      <c r="F4366">
        <v>0</v>
      </c>
      <c r="G4366">
        <v>0</v>
      </c>
      <c r="H4366">
        <v>60</v>
      </c>
      <c r="I4366">
        <v>0</v>
      </c>
      <c r="J4366">
        <v>24.99</v>
      </c>
      <c r="K4366">
        <v>0</v>
      </c>
    </row>
    <row r="4367" spans="1:12" x14ac:dyDescent="0.2">
      <c r="A4367">
        <v>29814</v>
      </c>
      <c r="B4367">
        <v>290306</v>
      </c>
      <c r="C4367" t="s">
        <v>7887</v>
      </c>
      <c r="D4367">
        <v>10</v>
      </c>
      <c r="E4367">
        <v>6</v>
      </c>
      <c r="F4367">
        <v>0</v>
      </c>
      <c r="G4367">
        <v>0</v>
      </c>
      <c r="H4367">
        <v>24</v>
      </c>
      <c r="I4367">
        <v>0</v>
      </c>
      <c r="J4367">
        <v>8.99</v>
      </c>
      <c r="K4367">
        <v>0</v>
      </c>
    </row>
    <row r="4368" spans="1:12" x14ac:dyDescent="0.2">
      <c r="A4368">
        <v>32930</v>
      </c>
      <c r="B4368">
        <v>290310</v>
      </c>
      <c r="C4368" t="s">
        <v>7888</v>
      </c>
      <c r="D4368">
        <v>10</v>
      </c>
      <c r="E4368">
        <v>24</v>
      </c>
      <c r="F4368">
        <v>0</v>
      </c>
      <c r="G4368">
        <v>0</v>
      </c>
      <c r="H4368">
        <v>48</v>
      </c>
      <c r="I4368">
        <v>0</v>
      </c>
      <c r="J4368">
        <v>1</v>
      </c>
      <c r="K4368">
        <v>0</v>
      </c>
    </row>
    <row r="4369" spans="1:11" x14ac:dyDescent="0.2">
      <c r="A4369">
        <v>29815</v>
      </c>
      <c r="B4369">
        <v>290315</v>
      </c>
      <c r="C4369" t="s">
        <v>7485</v>
      </c>
      <c r="D4369">
        <v>10</v>
      </c>
      <c r="E4369">
        <v>4</v>
      </c>
      <c r="F4369">
        <v>0</v>
      </c>
      <c r="G4369">
        <v>0</v>
      </c>
      <c r="H4369">
        <v>36</v>
      </c>
      <c r="I4369">
        <v>0</v>
      </c>
      <c r="J4369">
        <v>34.99</v>
      </c>
      <c r="K4369">
        <v>0</v>
      </c>
    </row>
    <row r="4370" spans="1:11" x14ac:dyDescent="0.2">
      <c r="A4370">
        <v>29816</v>
      </c>
      <c r="B4370">
        <v>290318</v>
      </c>
      <c r="C4370" t="s">
        <v>7889</v>
      </c>
      <c r="D4370">
        <v>10</v>
      </c>
      <c r="E4370">
        <v>9</v>
      </c>
      <c r="F4370">
        <v>0</v>
      </c>
      <c r="G4370">
        <v>0</v>
      </c>
      <c r="H4370">
        <v>126</v>
      </c>
      <c r="I4370">
        <v>0</v>
      </c>
      <c r="J4370">
        <v>6.99</v>
      </c>
      <c r="K4370">
        <v>0</v>
      </c>
    </row>
    <row r="4371" spans="1:11" x14ac:dyDescent="0.2">
      <c r="A4371">
        <v>33806</v>
      </c>
      <c r="B4371">
        <v>290320</v>
      </c>
      <c r="C4371" t="s">
        <v>7890</v>
      </c>
      <c r="D4371">
        <v>10</v>
      </c>
      <c r="E4371">
        <v>12</v>
      </c>
      <c r="F4371">
        <v>0</v>
      </c>
      <c r="G4371">
        <v>0</v>
      </c>
      <c r="H4371">
        <v>50</v>
      </c>
      <c r="I4371">
        <v>0</v>
      </c>
      <c r="J4371">
        <v>7.99</v>
      </c>
      <c r="K4371">
        <v>0</v>
      </c>
    </row>
    <row r="4372" spans="1:11" x14ac:dyDescent="0.2">
      <c r="A4372">
        <v>33807</v>
      </c>
      <c r="B4372">
        <v>290322</v>
      </c>
      <c r="C4372" t="s">
        <v>7891</v>
      </c>
      <c r="D4372">
        <v>10</v>
      </c>
      <c r="E4372">
        <v>12</v>
      </c>
      <c r="F4372">
        <v>0</v>
      </c>
      <c r="G4372">
        <v>0</v>
      </c>
      <c r="H4372">
        <v>54</v>
      </c>
      <c r="I4372">
        <v>0</v>
      </c>
      <c r="J4372">
        <v>6.99</v>
      </c>
      <c r="K4372">
        <v>0</v>
      </c>
    </row>
    <row r="4373" spans="1:11" x14ac:dyDescent="0.2">
      <c r="A4373">
        <v>28824</v>
      </c>
      <c r="B4373">
        <v>290325</v>
      </c>
      <c r="C4373" t="s">
        <v>7892</v>
      </c>
      <c r="D4373">
        <v>10</v>
      </c>
      <c r="E4373">
        <v>12</v>
      </c>
      <c r="F4373">
        <v>0</v>
      </c>
      <c r="G4373">
        <v>0</v>
      </c>
      <c r="H4373">
        <v>80</v>
      </c>
      <c r="I4373">
        <v>0</v>
      </c>
      <c r="J4373">
        <v>3.99</v>
      </c>
      <c r="K4373">
        <v>0</v>
      </c>
    </row>
    <row r="4374" spans="1:11" x14ac:dyDescent="0.2">
      <c r="A4374">
        <v>47805</v>
      </c>
      <c r="B4374">
        <v>290337</v>
      </c>
      <c r="C4374" t="s">
        <v>7893</v>
      </c>
      <c r="D4374">
        <v>10</v>
      </c>
      <c r="E4374">
        <v>8</v>
      </c>
      <c r="F4374">
        <v>0</v>
      </c>
      <c r="G4374">
        <v>0</v>
      </c>
      <c r="H4374">
        <v>28</v>
      </c>
      <c r="I4374">
        <v>0</v>
      </c>
      <c r="J4374">
        <v>17.989999999999998</v>
      </c>
      <c r="K4374">
        <v>0</v>
      </c>
    </row>
    <row r="4375" spans="1:11" x14ac:dyDescent="0.2">
      <c r="A4375">
        <v>33808</v>
      </c>
      <c r="B4375">
        <v>290342</v>
      </c>
      <c r="C4375" t="s">
        <v>7894</v>
      </c>
      <c r="D4375">
        <v>10</v>
      </c>
      <c r="E4375">
        <v>12</v>
      </c>
      <c r="F4375">
        <v>0</v>
      </c>
      <c r="G4375">
        <v>0</v>
      </c>
      <c r="H4375">
        <v>70</v>
      </c>
      <c r="I4375">
        <v>0</v>
      </c>
      <c r="J4375">
        <v>5.99</v>
      </c>
      <c r="K4375">
        <v>0</v>
      </c>
    </row>
    <row r="4376" spans="1:11" x14ac:dyDescent="0.2">
      <c r="B4376">
        <v>290344</v>
      </c>
      <c r="C4376" t="s">
        <v>7895</v>
      </c>
      <c r="D4376">
        <v>12</v>
      </c>
      <c r="E4376">
        <v>1</v>
      </c>
      <c r="F4376">
        <v>0</v>
      </c>
      <c r="G4376">
        <v>0</v>
      </c>
      <c r="H4376">
        <v>100</v>
      </c>
      <c r="I4376">
        <v>0</v>
      </c>
      <c r="J4376">
        <v>29.99</v>
      </c>
      <c r="K4376">
        <v>0</v>
      </c>
    </row>
    <row r="4377" spans="1:11" x14ac:dyDescent="0.2">
      <c r="A4377">
        <v>50353</v>
      </c>
      <c r="B4377">
        <v>290351</v>
      </c>
      <c r="C4377" t="s">
        <v>7896</v>
      </c>
      <c r="D4377">
        <v>10</v>
      </c>
      <c r="E4377">
        <v>4</v>
      </c>
      <c r="F4377">
        <v>0</v>
      </c>
      <c r="G4377">
        <v>0</v>
      </c>
      <c r="H4377">
        <v>8</v>
      </c>
      <c r="I4377">
        <v>0</v>
      </c>
      <c r="J4377">
        <v>19.989999999999998</v>
      </c>
      <c r="K4377">
        <v>0</v>
      </c>
    </row>
    <row r="4378" spans="1:11" x14ac:dyDescent="0.2">
      <c r="B4378">
        <v>290359</v>
      </c>
      <c r="C4378" t="s">
        <v>7897</v>
      </c>
      <c r="D4378">
        <v>11</v>
      </c>
      <c r="E4378">
        <v>2</v>
      </c>
      <c r="F4378">
        <v>0</v>
      </c>
      <c r="G4378">
        <v>0</v>
      </c>
      <c r="H4378">
        <v>25</v>
      </c>
      <c r="I4378">
        <v>0</v>
      </c>
      <c r="J4378">
        <v>49.99</v>
      </c>
      <c r="K4378">
        <v>0</v>
      </c>
    </row>
    <row r="4379" spans="1:11" x14ac:dyDescent="0.2">
      <c r="A4379">
        <v>29817</v>
      </c>
      <c r="B4379">
        <v>290363</v>
      </c>
      <c r="C4379" t="s">
        <v>7898</v>
      </c>
      <c r="D4379">
        <v>10</v>
      </c>
      <c r="E4379">
        <v>6</v>
      </c>
      <c r="F4379">
        <v>0</v>
      </c>
      <c r="G4379">
        <v>0</v>
      </c>
      <c r="H4379">
        <v>56</v>
      </c>
      <c r="I4379">
        <v>0</v>
      </c>
      <c r="J4379">
        <v>6.99</v>
      </c>
      <c r="K4379">
        <v>0</v>
      </c>
    </row>
    <row r="4380" spans="1:11" x14ac:dyDescent="0.2">
      <c r="A4380">
        <v>29818</v>
      </c>
      <c r="B4380">
        <v>290367</v>
      </c>
      <c r="C4380" t="s">
        <v>7899</v>
      </c>
      <c r="D4380">
        <v>10</v>
      </c>
      <c r="E4380">
        <v>10</v>
      </c>
      <c r="F4380">
        <v>0</v>
      </c>
      <c r="G4380">
        <v>0</v>
      </c>
      <c r="H4380">
        <v>49</v>
      </c>
      <c r="I4380">
        <v>0</v>
      </c>
      <c r="J4380">
        <v>9.99</v>
      </c>
      <c r="K4380">
        <v>0</v>
      </c>
    </row>
    <row r="4381" spans="1:11" x14ac:dyDescent="0.2">
      <c r="A4381">
        <v>29819</v>
      </c>
      <c r="B4381">
        <v>290369</v>
      </c>
      <c r="C4381" t="s">
        <v>7900</v>
      </c>
      <c r="D4381">
        <v>10</v>
      </c>
      <c r="E4381">
        <v>12</v>
      </c>
      <c r="F4381">
        <v>0</v>
      </c>
      <c r="G4381">
        <v>0</v>
      </c>
      <c r="H4381">
        <v>90</v>
      </c>
      <c r="I4381">
        <v>0</v>
      </c>
      <c r="J4381">
        <v>12.99</v>
      </c>
      <c r="K4381">
        <v>0</v>
      </c>
    </row>
    <row r="4382" spans="1:11" x14ac:dyDescent="0.2">
      <c r="A4382">
        <v>50354</v>
      </c>
      <c r="B4382">
        <v>290377</v>
      </c>
      <c r="C4382" t="s">
        <v>7901</v>
      </c>
      <c r="D4382">
        <v>10</v>
      </c>
      <c r="E4382">
        <v>2</v>
      </c>
      <c r="F4382">
        <v>0</v>
      </c>
      <c r="G4382">
        <v>0</v>
      </c>
      <c r="H4382">
        <v>39</v>
      </c>
      <c r="I4382">
        <v>0</v>
      </c>
      <c r="J4382">
        <v>26.99</v>
      </c>
      <c r="K4382">
        <v>0</v>
      </c>
    </row>
    <row r="4383" spans="1:11" x14ac:dyDescent="0.2">
      <c r="A4383">
        <v>35901</v>
      </c>
      <c r="B4383">
        <v>290378</v>
      </c>
      <c r="C4383" t="s">
        <v>7902</v>
      </c>
      <c r="D4383">
        <v>10</v>
      </c>
      <c r="E4383">
        <v>2</v>
      </c>
      <c r="F4383">
        <v>0</v>
      </c>
      <c r="G4383">
        <v>0</v>
      </c>
      <c r="H4383">
        <v>56</v>
      </c>
      <c r="I4383">
        <v>0</v>
      </c>
      <c r="J4383">
        <v>22.99</v>
      </c>
      <c r="K4383">
        <v>0</v>
      </c>
    </row>
    <row r="4384" spans="1:11" x14ac:dyDescent="0.2">
      <c r="A4384">
        <v>29820</v>
      </c>
      <c r="B4384">
        <v>290381</v>
      </c>
      <c r="C4384" t="s">
        <v>7903</v>
      </c>
      <c r="D4384">
        <v>10</v>
      </c>
      <c r="E4384">
        <v>6</v>
      </c>
      <c r="F4384">
        <v>0</v>
      </c>
      <c r="G4384">
        <v>0</v>
      </c>
      <c r="H4384">
        <v>110</v>
      </c>
      <c r="I4384">
        <v>0</v>
      </c>
      <c r="J4384">
        <v>7.99</v>
      </c>
      <c r="K4384">
        <v>0</v>
      </c>
    </row>
    <row r="4385" spans="1:11" x14ac:dyDescent="0.2">
      <c r="A4385">
        <v>2252</v>
      </c>
      <c r="B4385">
        <v>290388</v>
      </c>
      <c r="C4385" t="s">
        <v>7904</v>
      </c>
      <c r="D4385">
        <v>6</v>
      </c>
      <c r="E4385">
        <v>12</v>
      </c>
      <c r="F4385">
        <v>0</v>
      </c>
      <c r="G4385">
        <v>0</v>
      </c>
      <c r="H4385">
        <v>121</v>
      </c>
      <c r="I4385">
        <v>0</v>
      </c>
      <c r="J4385">
        <v>3.99</v>
      </c>
      <c r="K4385">
        <v>0</v>
      </c>
    </row>
    <row r="4386" spans="1:11" x14ac:dyDescent="0.2">
      <c r="A4386">
        <v>45801</v>
      </c>
      <c r="B4386">
        <v>290415</v>
      </c>
      <c r="C4386" t="s">
        <v>7905</v>
      </c>
      <c r="D4386">
        <v>10</v>
      </c>
      <c r="E4386">
        <v>4</v>
      </c>
      <c r="F4386">
        <v>0</v>
      </c>
      <c r="G4386">
        <v>0</v>
      </c>
      <c r="H4386">
        <v>119</v>
      </c>
      <c r="I4386">
        <v>0</v>
      </c>
      <c r="J4386">
        <v>21.99</v>
      </c>
      <c r="K4386">
        <v>0</v>
      </c>
    </row>
    <row r="4387" spans="1:11" x14ac:dyDescent="0.2">
      <c r="A4387">
        <v>1200</v>
      </c>
      <c r="B4387">
        <v>290427</v>
      </c>
      <c r="C4387" t="s">
        <v>7906</v>
      </c>
      <c r="D4387">
        <v>6</v>
      </c>
      <c r="E4387">
        <v>6</v>
      </c>
      <c r="F4387">
        <v>86</v>
      </c>
      <c r="G4387">
        <v>516</v>
      </c>
      <c r="H4387">
        <v>192</v>
      </c>
      <c r="I4387">
        <v>0.4</v>
      </c>
      <c r="J4387">
        <v>9.99</v>
      </c>
      <c r="K4387">
        <v>5154.84</v>
      </c>
    </row>
    <row r="4388" spans="1:11" x14ac:dyDescent="0.2">
      <c r="A4388">
        <v>28825</v>
      </c>
      <c r="B4388">
        <v>290449</v>
      </c>
      <c r="C4388" t="s">
        <v>7907</v>
      </c>
      <c r="D4388">
        <v>10</v>
      </c>
      <c r="E4388">
        <v>9</v>
      </c>
      <c r="F4388">
        <v>0</v>
      </c>
      <c r="G4388">
        <v>0</v>
      </c>
      <c r="H4388">
        <v>120</v>
      </c>
      <c r="I4388">
        <v>0</v>
      </c>
      <c r="J4388">
        <v>4.99</v>
      </c>
      <c r="K4388">
        <v>0</v>
      </c>
    </row>
    <row r="4389" spans="1:11" x14ac:dyDescent="0.2">
      <c r="A4389">
        <v>47806</v>
      </c>
      <c r="B4389">
        <v>290451</v>
      </c>
      <c r="C4389" t="s">
        <v>7908</v>
      </c>
      <c r="D4389">
        <v>10</v>
      </c>
      <c r="E4389">
        <v>6</v>
      </c>
      <c r="F4389">
        <v>1</v>
      </c>
      <c r="G4389">
        <v>6</v>
      </c>
      <c r="H4389">
        <v>36</v>
      </c>
      <c r="I4389">
        <v>0</v>
      </c>
      <c r="J4389">
        <v>16.989999999999998</v>
      </c>
      <c r="K4389">
        <v>101.94</v>
      </c>
    </row>
    <row r="4390" spans="1:11" x14ac:dyDescent="0.2">
      <c r="A4390">
        <v>46804</v>
      </c>
      <c r="B4390">
        <v>290452</v>
      </c>
      <c r="C4390" t="s">
        <v>7909</v>
      </c>
      <c r="D4390">
        <v>6</v>
      </c>
      <c r="E4390">
        <v>2</v>
      </c>
      <c r="F4390">
        <v>6</v>
      </c>
      <c r="G4390">
        <v>12</v>
      </c>
      <c r="H4390">
        <v>25</v>
      </c>
      <c r="I4390">
        <v>0.2</v>
      </c>
      <c r="J4390">
        <v>74.989999999999995</v>
      </c>
      <c r="K4390">
        <v>899.88</v>
      </c>
    </row>
    <row r="4391" spans="1:11" x14ac:dyDescent="0.2">
      <c r="A4391">
        <v>27815</v>
      </c>
      <c r="B4391">
        <v>290454</v>
      </c>
      <c r="C4391" t="s">
        <v>7910</v>
      </c>
      <c r="D4391">
        <v>11</v>
      </c>
      <c r="E4391">
        <v>6</v>
      </c>
      <c r="F4391">
        <v>0</v>
      </c>
      <c r="G4391">
        <v>0</v>
      </c>
      <c r="H4391">
        <v>32</v>
      </c>
      <c r="I4391">
        <v>0</v>
      </c>
      <c r="J4391">
        <v>12.99</v>
      </c>
      <c r="K4391">
        <v>0</v>
      </c>
    </row>
    <row r="4392" spans="1:11" x14ac:dyDescent="0.2">
      <c r="A4392">
        <v>30807</v>
      </c>
      <c r="B4392">
        <v>290459</v>
      </c>
      <c r="C4392" t="s">
        <v>7535</v>
      </c>
      <c r="D4392">
        <v>10</v>
      </c>
      <c r="E4392">
        <v>2</v>
      </c>
      <c r="F4392">
        <v>0</v>
      </c>
      <c r="G4392">
        <v>0</v>
      </c>
      <c r="H4392">
        <v>48</v>
      </c>
      <c r="I4392">
        <v>0</v>
      </c>
      <c r="J4392">
        <v>24.99</v>
      </c>
      <c r="K4392">
        <v>0</v>
      </c>
    </row>
    <row r="4393" spans="1:11" x14ac:dyDescent="0.2">
      <c r="A4393">
        <v>34805</v>
      </c>
      <c r="B4393">
        <v>290465</v>
      </c>
      <c r="C4393" t="s">
        <v>7911</v>
      </c>
      <c r="D4393">
        <v>6</v>
      </c>
      <c r="E4393">
        <v>2</v>
      </c>
      <c r="F4393">
        <v>0</v>
      </c>
      <c r="G4393">
        <v>0</v>
      </c>
      <c r="H4393">
        <v>60</v>
      </c>
      <c r="I4393">
        <v>0</v>
      </c>
      <c r="J4393">
        <v>39.99</v>
      </c>
      <c r="K4393">
        <v>0</v>
      </c>
    </row>
    <row r="4394" spans="1:11" x14ac:dyDescent="0.2">
      <c r="A4394">
        <v>50355</v>
      </c>
      <c r="B4394">
        <v>290469</v>
      </c>
      <c r="C4394" t="s">
        <v>7912</v>
      </c>
      <c r="D4394">
        <v>10</v>
      </c>
      <c r="E4394">
        <v>2</v>
      </c>
      <c r="F4394">
        <v>0</v>
      </c>
      <c r="G4394">
        <v>0</v>
      </c>
      <c r="H4394">
        <v>200</v>
      </c>
      <c r="I4394">
        <v>0</v>
      </c>
      <c r="J4394">
        <v>74.989999999999995</v>
      </c>
      <c r="K4394">
        <v>0</v>
      </c>
    </row>
    <row r="4395" spans="1:11" x14ac:dyDescent="0.2">
      <c r="A4395">
        <v>46029</v>
      </c>
      <c r="B4395">
        <v>290479</v>
      </c>
      <c r="C4395" t="s">
        <v>5493</v>
      </c>
      <c r="D4395">
        <v>10</v>
      </c>
      <c r="E4395">
        <v>4</v>
      </c>
      <c r="F4395">
        <v>1</v>
      </c>
      <c r="G4395">
        <v>4</v>
      </c>
      <c r="H4395">
        <v>30</v>
      </c>
      <c r="I4395">
        <v>0</v>
      </c>
      <c r="J4395">
        <v>1</v>
      </c>
      <c r="K4395">
        <v>4</v>
      </c>
    </row>
    <row r="4396" spans="1:11" x14ac:dyDescent="0.2">
      <c r="B4396">
        <v>290485</v>
      </c>
      <c r="C4396" t="s">
        <v>7913</v>
      </c>
      <c r="D4396">
        <v>10</v>
      </c>
      <c r="E4396">
        <v>4</v>
      </c>
      <c r="F4396">
        <v>0</v>
      </c>
      <c r="G4396">
        <v>0</v>
      </c>
      <c r="H4396">
        <v>120</v>
      </c>
      <c r="I4396">
        <v>0</v>
      </c>
      <c r="J4396">
        <v>24.99</v>
      </c>
      <c r="K4396">
        <v>0</v>
      </c>
    </row>
    <row r="4397" spans="1:11" x14ac:dyDescent="0.2">
      <c r="A4397">
        <v>38829</v>
      </c>
      <c r="B4397">
        <v>290496</v>
      </c>
      <c r="C4397" t="s">
        <v>7914</v>
      </c>
      <c r="D4397">
        <v>10</v>
      </c>
      <c r="E4397">
        <v>4</v>
      </c>
      <c r="F4397">
        <v>0</v>
      </c>
      <c r="G4397">
        <v>0</v>
      </c>
      <c r="H4397">
        <v>25</v>
      </c>
      <c r="I4397">
        <v>0</v>
      </c>
      <c r="J4397">
        <v>33.99</v>
      </c>
      <c r="K4397">
        <v>0</v>
      </c>
    </row>
    <row r="4398" spans="1:11" x14ac:dyDescent="0.2">
      <c r="A4398">
        <v>28826</v>
      </c>
      <c r="B4398">
        <v>290500</v>
      </c>
      <c r="C4398" t="s">
        <v>7915</v>
      </c>
      <c r="D4398">
        <v>10</v>
      </c>
      <c r="E4398">
        <v>6</v>
      </c>
      <c r="F4398">
        <v>0</v>
      </c>
      <c r="G4398">
        <v>0</v>
      </c>
      <c r="H4398">
        <v>150</v>
      </c>
      <c r="I4398">
        <v>0</v>
      </c>
      <c r="J4398">
        <v>19.989999999999998</v>
      </c>
      <c r="K4398">
        <v>0</v>
      </c>
    </row>
    <row r="4399" spans="1:11" x14ac:dyDescent="0.2">
      <c r="A4399">
        <v>29932</v>
      </c>
      <c r="B4399">
        <v>290503</v>
      </c>
      <c r="C4399" t="s">
        <v>7916</v>
      </c>
      <c r="D4399">
        <v>10</v>
      </c>
      <c r="E4399">
        <v>20</v>
      </c>
      <c r="F4399">
        <v>0</v>
      </c>
      <c r="G4399">
        <v>0</v>
      </c>
      <c r="H4399">
        <v>140</v>
      </c>
      <c r="I4399">
        <v>0</v>
      </c>
      <c r="J4399">
        <v>1</v>
      </c>
      <c r="K4399">
        <v>0</v>
      </c>
    </row>
    <row r="4400" spans="1:11" x14ac:dyDescent="0.2">
      <c r="A4400">
        <v>26813</v>
      </c>
      <c r="B4400">
        <v>290505</v>
      </c>
      <c r="C4400" t="s">
        <v>7917</v>
      </c>
      <c r="D4400">
        <v>10</v>
      </c>
      <c r="E4400">
        <v>4</v>
      </c>
      <c r="F4400">
        <v>0</v>
      </c>
      <c r="G4400">
        <v>0</v>
      </c>
      <c r="H4400">
        <v>42</v>
      </c>
      <c r="I4400">
        <v>0</v>
      </c>
      <c r="J4400">
        <v>13.99</v>
      </c>
      <c r="K4400">
        <v>0</v>
      </c>
    </row>
    <row r="4401" spans="1:12" x14ac:dyDescent="0.2">
      <c r="B4401">
        <v>290506</v>
      </c>
      <c r="C4401" t="s">
        <v>7918</v>
      </c>
      <c r="D4401">
        <v>6</v>
      </c>
      <c r="E4401">
        <v>4</v>
      </c>
      <c r="F4401">
        <v>-19</v>
      </c>
      <c r="G4401">
        <v>-76</v>
      </c>
      <c r="H4401">
        <v>60</v>
      </c>
      <c r="I4401">
        <v>-0.3</v>
      </c>
      <c r="J4401">
        <v>16.989999999999998</v>
      </c>
      <c r="K4401">
        <v>-1291.24</v>
      </c>
    </row>
    <row r="4402" spans="1:12" x14ac:dyDescent="0.2">
      <c r="A4402">
        <v>50110</v>
      </c>
      <c r="B4402">
        <v>290507</v>
      </c>
      <c r="C4402" t="s">
        <v>7919</v>
      </c>
      <c r="D4402">
        <v>10</v>
      </c>
      <c r="E4402">
        <v>4</v>
      </c>
      <c r="F4402">
        <v>19</v>
      </c>
      <c r="G4402">
        <v>76</v>
      </c>
      <c r="H4402">
        <v>48</v>
      </c>
      <c r="I4402">
        <v>0.4</v>
      </c>
      <c r="J4402">
        <v>19.989999999999998</v>
      </c>
      <c r="K4402">
        <v>1519.24</v>
      </c>
    </row>
    <row r="4403" spans="1:12" x14ac:dyDescent="0.2">
      <c r="A4403">
        <v>29821</v>
      </c>
      <c r="B4403">
        <v>290512</v>
      </c>
      <c r="C4403" t="s">
        <v>7920</v>
      </c>
      <c r="D4403">
        <v>10</v>
      </c>
      <c r="E4403">
        <v>4</v>
      </c>
      <c r="F4403">
        <v>0</v>
      </c>
      <c r="G4403">
        <v>0</v>
      </c>
      <c r="H4403">
        <v>216</v>
      </c>
      <c r="I4403">
        <v>0</v>
      </c>
      <c r="J4403">
        <v>9.99</v>
      </c>
      <c r="K4403">
        <v>0</v>
      </c>
    </row>
    <row r="4404" spans="1:12" x14ac:dyDescent="0.2">
      <c r="A4404">
        <v>41806</v>
      </c>
      <c r="B4404">
        <v>290615</v>
      </c>
      <c r="C4404" t="s">
        <v>7921</v>
      </c>
      <c r="D4404">
        <v>10</v>
      </c>
      <c r="E4404">
        <v>8</v>
      </c>
      <c r="F4404">
        <v>0</v>
      </c>
      <c r="G4404">
        <v>0</v>
      </c>
      <c r="H4404">
        <v>52</v>
      </c>
      <c r="I4404">
        <v>0</v>
      </c>
      <c r="J4404">
        <v>14.99</v>
      </c>
      <c r="K4404">
        <v>0</v>
      </c>
    </row>
    <row r="4405" spans="1:12" x14ac:dyDescent="0.2">
      <c r="B4405">
        <v>290642</v>
      </c>
      <c r="C4405" t="s">
        <v>7922</v>
      </c>
      <c r="D4405">
        <v>12</v>
      </c>
      <c r="E4405">
        <v>28</v>
      </c>
      <c r="F4405">
        <v>0</v>
      </c>
      <c r="G4405">
        <v>0</v>
      </c>
      <c r="H4405">
        <v>66</v>
      </c>
      <c r="I4405">
        <v>0</v>
      </c>
      <c r="J4405">
        <v>1</v>
      </c>
      <c r="K4405">
        <v>0</v>
      </c>
    </row>
    <row r="4406" spans="1:12" x14ac:dyDescent="0.2">
      <c r="A4406">
        <v>48806</v>
      </c>
      <c r="B4406">
        <v>290687</v>
      </c>
      <c r="C4406" t="s">
        <v>7923</v>
      </c>
      <c r="D4406">
        <v>10</v>
      </c>
      <c r="E4406">
        <v>1</v>
      </c>
      <c r="F4406">
        <v>2</v>
      </c>
      <c r="G4406">
        <v>2</v>
      </c>
      <c r="H4406">
        <v>35</v>
      </c>
      <c r="I4406">
        <v>0.1</v>
      </c>
      <c r="J4406">
        <v>54.99</v>
      </c>
      <c r="K4406">
        <v>109.98</v>
      </c>
    </row>
    <row r="4407" spans="1:12" x14ac:dyDescent="0.2">
      <c r="A4407">
        <v>50356</v>
      </c>
      <c r="B4407">
        <v>290699</v>
      </c>
      <c r="C4407" t="s">
        <v>7924</v>
      </c>
      <c r="D4407">
        <v>10</v>
      </c>
      <c r="E4407">
        <v>2</v>
      </c>
      <c r="F4407">
        <v>0</v>
      </c>
      <c r="G4407">
        <v>0</v>
      </c>
      <c r="H4407">
        <v>84</v>
      </c>
      <c r="I4407">
        <v>0</v>
      </c>
      <c r="J4407">
        <v>24.99</v>
      </c>
      <c r="K4407">
        <v>0</v>
      </c>
    </row>
    <row r="4408" spans="1:12" x14ac:dyDescent="0.2">
      <c r="A4408">
        <v>45426</v>
      </c>
      <c r="B4408">
        <v>290719</v>
      </c>
      <c r="C4408" t="s">
        <v>7925</v>
      </c>
      <c r="D4408">
        <v>10</v>
      </c>
      <c r="E4408">
        <v>80</v>
      </c>
      <c r="F4408">
        <v>0</v>
      </c>
      <c r="G4408">
        <v>0</v>
      </c>
      <c r="H4408">
        <v>100</v>
      </c>
      <c r="I4408">
        <v>0</v>
      </c>
      <c r="J4408">
        <v>0.5</v>
      </c>
      <c r="K4408">
        <v>0</v>
      </c>
    </row>
    <row r="4409" spans="1:12" x14ac:dyDescent="0.2">
      <c r="A4409">
        <v>46805</v>
      </c>
      <c r="B4409">
        <v>290728</v>
      </c>
      <c r="C4409" t="s">
        <v>7926</v>
      </c>
      <c r="D4409">
        <v>10</v>
      </c>
      <c r="E4409">
        <v>8</v>
      </c>
      <c r="F4409">
        <v>0</v>
      </c>
      <c r="G4409">
        <v>2</v>
      </c>
      <c r="H4409">
        <v>24</v>
      </c>
      <c r="I4409">
        <v>0</v>
      </c>
      <c r="J4409">
        <v>21.99</v>
      </c>
      <c r="K4409">
        <v>43.98</v>
      </c>
    </row>
    <row r="4410" spans="1:12" x14ac:dyDescent="0.2">
      <c r="A4410">
        <v>48115</v>
      </c>
      <c r="B4410">
        <v>290749</v>
      </c>
      <c r="C4410" t="s">
        <v>7927</v>
      </c>
      <c r="D4410">
        <v>10</v>
      </c>
      <c r="E4410">
        <v>6</v>
      </c>
      <c r="F4410">
        <v>0</v>
      </c>
      <c r="G4410">
        <v>0</v>
      </c>
      <c r="H4410">
        <v>36</v>
      </c>
      <c r="I4410">
        <v>0</v>
      </c>
      <c r="J4410">
        <v>14.99</v>
      </c>
      <c r="K4410">
        <v>0</v>
      </c>
    </row>
    <row r="4411" spans="1:12" x14ac:dyDescent="0.2">
      <c r="A4411">
        <v>50802</v>
      </c>
      <c r="B4411">
        <v>290754</v>
      </c>
      <c r="C4411" t="s">
        <v>7928</v>
      </c>
      <c r="D4411">
        <v>10</v>
      </c>
      <c r="E4411">
        <v>2</v>
      </c>
      <c r="F4411">
        <v>0</v>
      </c>
      <c r="G4411">
        <v>0</v>
      </c>
      <c r="H4411">
        <v>66</v>
      </c>
      <c r="I4411">
        <v>0</v>
      </c>
      <c r="J4411">
        <v>59.99</v>
      </c>
      <c r="K4411">
        <v>0</v>
      </c>
    </row>
    <row r="4412" spans="1:12" x14ac:dyDescent="0.2">
      <c r="A4412">
        <v>45802</v>
      </c>
      <c r="B4412">
        <v>290757</v>
      </c>
      <c r="C4412" t="s">
        <v>7929</v>
      </c>
      <c r="D4412">
        <v>10</v>
      </c>
      <c r="E4412">
        <v>1</v>
      </c>
      <c r="F4412">
        <v>0</v>
      </c>
      <c r="G4412">
        <v>0</v>
      </c>
      <c r="H4412">
        <v>35</v>
      </c>
      <c r="I4412">
        <v>0</v>
      </c>
      <c r="J4412">
        <v>79.989999999999995</v>
      </c>
      <c r="K4412">
        <v>0</v>
      </c>
    </row>
    <row r="4413" spans="1:12" x14ac:dyDescent="0.2">
      <c r="A4413">
        <v>50357</v>
      </c>
      <c r="B4413">
        <v>290762</v>
      </c>
      <c r="C4413" t="s">
        <v>7930</v>
      </c>
      <c r="D4413">
        <v>10</v>
      </c>
      <c r="E4413">
        <v>8</v>
      </c>
      <c r="F4413">
        <v>0</v>
      </c>
      <c r="G4413">
        <v>0</v>
      </c>
      <c r="H4413">
        <v>36</v>
      </c>
      <c r="I4413">
        <v>0</v>
      </c>
      <c r="J4413">
        <v>9.99</v>
      </c>
      <c r="K4413">
        <v>0</v>
      </c>
    </row>
    <row r="4414" spans="1:12" x14ac:dyDescent="0.2">
      <c r="A4414">
        <v>38831</v>
      </c>
      <c r="B4414">
        <v>290768</v>
      </c>
      <c r="C4414" t="s">
        <v>7931</v>
      </c>
      <c r="D4414">
        <v>10</v>
      </c>
      <c r="E4414">
        <v>1</v>
      </c>
      <c r="F4414">
        <v>0</v>
      </c>
      <c r="G4414">
        <v>0</v>
      </c>
      <c r="H4414">
        <v>30</v>
      </c>
      <c r="I4414">
        <v>0</v>
      </c>
      <c r="J4414">
        <v>59.99</v>
      </c>
      <c r="K4414">
        <v>0</v>
      </c>
    </row>
    <row r="4415" spans="1:12" x14ac:dyDescent="0.2">
      <c r="A4415">
        <v>35905</v>
      </c>
      <c r="B4415">
        <v>290770</v>
      </c>
      <c r="C4415" t="s">
        <v>7932</v>
      </c>
      <c r="D4415">
        <v>10</v>
      </c>
      <c r="E4415">
        <v>10</v>
      </c>
      <c r="F4415">
        <v>0</v>
      </c>
      <c r="G4415">
        <v>0</v>
      </c>
      <c r="H4415">
        <v>60</v>
      </c>
      <c r="I4415">
        <v>0</v>
      </c>
      <c r="J4415">
        <v>6.99</v>
      </c>
      <c r="K4415">
        <v>0</v>
      </c>
    </row>
    <row r="4416" spans="1:12" x14ac:dyDescent="0.2">
      <c r="B4416">
        <v>290772</v>
      </c>
      <c r="C4416" t="s">
        <v>7933</v>
      </c>
      <c r="D4416">
        <v>11</v>
      </c>
      <c r="E4416">
        <v>14</v>
      </c>
      <c r="F4416">
        <v>0</v>
      </c>
      <c r="G4416">
        <v>0</v>
      </c>
      <c r="H4416">
        <v>102</v>
      </c>
      <c r="I4416">
        <v>0</v>
      </c>
      <c r="J4416">
        <v>5.49</v>
      </c>
      <c r="K4416">
        <v>0</v>
      </c>
      <c r="L4416" t="s">
        <v>3699</v>
      </c>
    </row>
    <row r="4417" spans="1:11" x14ac:dyDescent="0.2">
      <c r="A4417">
        <v>50958</v>
      </c>
      <c r="B4417">
        <v>290795</v>
      </c>
      <c r="C4417" t="s">
        <v>7934</v>
      </c>
      <c r="D4417">
        <v>10</v>
      </c>
      <c r="E4417">
        <v>2</v>
      </c>
      <c r="F4417">
        <v>0</v>
      </c>
      <c r="G4417">
        <v>0</v>
      </c>
      <c r="H4417">
        <v>21</v>
      </c>
      <c r="I4417">
        <v>0</v>
      </c>
      <c r="J4417">
        <v>89.99</v>
      </c>
      <c r="K4417">
        <v>0</v>
      </c>
    </row>
    <row r="4418" spans="1:11" x14ac:dyDescent="0.2">
      <c r="B4418">
        <v>290801</v>
      </c>
      <c r="C4418" t="s">
        <v>7935</v>
      </c>
      <c r="D4418">
        <v>12</v>
      </c>
      <c r="E4418">
        <v>12</v>
      </c>
      <c r="F4418">
        <v>0</v>
      </c>
      <c r="G4418">
        <v>0</v>
      </c>
      <c r="H4418">
        <v>36</v>
      </c>
      <c r="I4418">
        <v>0</v>
      </c>
      <c r="J4418">
        <v>6.99</v>
      </c>
      <c r="K4418">
        <v>0</v>
      </c>
    </row>
    <row r="4419" spans="1:11" x14ac:dyDescent="0.2">
      <c r="A4419">
        <v>50359</v>
      </c>
      <c r="B4419">
        <v>290805</v>
      </c>
      <c r="C4419" t="s">
        <v>7936</v>
      </c>
      <c r="D4419">
        <v>10</v>
      </c>
      <c r="E4419">
        <v>8</v>
      </c>
      <c r="F4419">
        <v>0</v>
      </c>
      <c r="G4419">
        <v>0</v>
      </c>
      <c r="H4419">
        <v>72</v>
      </c>
      <c r="I4419">
        <v>0</v>
      </c>
      <c r="J4419">
        <v>19.989999999999998</v>
      </c>
      <c r="K4419">
        <v>0</v>
      </c>
    </row>
    <row r="4420" spans="1:11" x14ac:dyDescent="0.2">
      <c r="A4420">
        <v>29951</v>
      </c>
      <c r="B4420">
        <v>290811</v>
      </c>
      <c r="C4420" t="s">
        <v>7937</v>
      </c>
      <c r="D4420">
        <v>6</v>
      </c>
      <c r="E4420">
        <v>14</v>
      </c>
      <c r="F4420">
        <v>0</v>
      </c>
      <c r="G4420">
        <v>0</v>
      </c>
      <c r="H4420">
        <v>24</v>
      </c>
      <c r="I4420">
        <v>0</v>
      </c>
      <c r="J4420">
        <v>1</v>
      </c>
      <c r="K4420">
        <v>0</v>
      </c>
    </row>
    <row r="4421" spans="1:11" x14ac:dyDescent="0.2">
      <c r="A4421">
        <v>29952</v>
      </c>
      <c r="B4421">
        <v>290812</v>
      </c>
      <c r="C4421" t="s">
        <v>7938</v>
      </c>
      <c r="D4421">
        <v>6</v>
      </c>
      <c r="E4421">
        <v>14</v>
      </c>
      <c r="F4421">
        <v>0</v>
      </c>
      <c r="G4421">
        <v>0</v>
      </c>
      <c r="H4421">
        <v>16</v>
      </c>
      <c r="I4421">
        <v>0</v>
      </c>
      <c r="J4421">
        <v>1</v>
      </c>
      <c r="K4421">
        <v>0</v>
      </c>
    </row>
    <row r="4422" spans="1:11" x14ac:dyDescent="0.2">
      <c r="A4422">
        <v>34806</v>
      </c>
      <c r="B4422">
        <v>290825</v>
      </c>
      <c r="C4422" t="s">
        <v>7939</v>
      </c>
      <c r="D4422">
        <v>10</v>
      </c>
      <c r="E4422">
        <v>2</v>
      </c>
      <c r="F4422">
        <v>0</v>
      </c>
      <c r="G4422">
        <v>0</v>
      </c>
      <c r="H4422">
        <v>64</v>
      </c>
      <c r="I4422">
        <v>0</v>
      </c>
      <c r="J4422">
        <v>34.99</v>
      </c>
      <c r="K4422">
        <v>0</v>
      </c>
    </row>
    <row r="4423" spans="1:11" x14ac:dyDescent="0.2">
      <c r="A4423">
        <v>32931</v>
      </c>
      <c r="B4423">
        <v>290837</v>
      </c>
      <c r="C4423" t="s">
        <v>7940</v>
      </c>
      <c r="D4423">
        <v>10</v>
      </c>
      <c r="E4423">
        <v>20</v>
      </c>
      <c r="F4423">
        <v>0</v>
      </c>
      <c r="G4423">
        <v>0</v>
      </c>
      <c r="H4423">
        <v>81</v>
      </c>
      <c r="I4423">
        <v>0</v>
      </c>
      <c r="J4423">
        <v>1</v>
      </c>
      <c r="K4423">
        <v>0</v>
      </c>
    </row>
    <row r="4424" spans="1:11" x14ac:dyDescent="0.2">
      <c r="A4424">
        <v>50360</v>
      </c>
      <c r="B4424">
        <v>290849</v>
      </c>
      <c r="C4424" t="s">
        <v>7941</v>
      </c>
      <c r="D4424">
        <v>10</v>
      </c>
      <c r="E4424">
        <v>2</v>
      </c>
      <c r="F4424">
        <v>0</v>
      </c>
      <c r="G4424">
        <v>0</v>
      </c>
      <c r="H4424">
        <v>48</v>
      </c>
      <c r="I4424">
        <v>0</v>
      </c>
      <c r="J4424">
        <v>34.99</v>
      </c>
      <c r="K4424">
        <v>0</v>
      </c>
    </row>
    <row r="4425" spans="1:11" x14ac:dyDescent="0.2">
      <c r="A4425">
        <v>29822</v>
      </c>
      <c r="B4425">
        <v>290850</v>
      </c>
      <c r="C4425" t="s">
        <v>7942</v>
      </c>
      <c r="D4425">
        <v>10</v>
      </c>
      <c r="E4425">
        <v>1</v>
      </c>
      <c r="F4425">
        <v>0</v>
      </c>
      <c r="G4425">
        <v>0</v>
      </c>
      <c r="H4425">
        <v>36</v>
      </c>
      <c r="I4425">
        <v>0</v>
      </c>
      <c r="J4425">
        <v>51.99</v>
      </c>
      <c r="K4425">
        <v>0</v>
      </c>
    </row>
    <row r="4426" spans="1:11" x14ac:dyDescent="0.2">
      <c r="A4426">
        <v>34808</v>
      </c>
      <c r="B4426">
        <v>290853</v>
      </c>
      <c r="C4426" t="s">
        <v>7943</v>
      </c>
      <c r="D4426">
        <v>10</v>
      </c>
      <c r="E4426">
        <v>6</v>
      </c>
      <c r="F4426">
        <v>0</v>
      </c>
      <c r="G4426">
        <v>0</v>
      </c>
      <c r="H4426">
        <v>63</v>
      </c>
      <c r="I4426">
        <v>0</v>
      </c>
      <c r="J4426">
        <v>34.99</v>
      </c>
      <c r="K4426">
        <v>0</v>
      </c>
    </row>
    <row r="4427" spans="1:11" x14ac:dyDescent="0.2">
      <c r="A4427">
        <v>25906</v>
      </c>
      <c r="B4427">
        <v>290856</v>
      </c>
      <c r="C4427" t="s">
        <v>7944</v>
      </c>
      <c r="D4427">
        <v>10</v>
      </c>
      <c r="E4427">
        <v>16</v>
      </c>
      <c r="F4427">
        <v>0</v>
      </c>
      <c r="G4427">
        <v>0</v>
      </c>
      <c r="H4427">
        <v>108</v>
      </c>
      <c r="I4427">
        <v>0</v>
      </c>
      <c r="J4427">
        <v>1</v>
      </c>
      <c r="K4427">
        <v>0</v>
      </c>
    </row>
    <row r="4428" spans="1:11" x14ac:dyDescent="0.2">
      <c r="A4428">
        <v>34337</v>
      </c>
      <c r="B4428">
        <v>290867</v>
      </c>
      <c r="C4428" t="s">
        <v>7945</v>
      </c>
      <c r="D4428">
        <v>10</v>
      </c>
      <c r="E4428">
        <v>5</v>
      </c>
      <c r="F4428">
        <v>0</v>
      </c>
      <c r="G4428">
        <v>0</v>
      </c>
      <c r="H4428">
        <v>48</v>
      </c>
      <c r="I4428">
        <v>0</v>
      </c>
      <c r="J4428">
        <v>7.99</v>
      </c>
      <c r="K4428">
        <v>0</v>
      </c>
    </row>
    <row r="4429" spans="1:11" x14ac:dyDescent="0.2">
      <c r="A4429">
        <v>40916</v>
      </c>
      <c r="B4429">
        <v>290873</v>
      </c>
      <c r="C4429" t="s">
        <v>7946</v>
      </c>
      <c r="D4429">
        <v>6</v>
      </c>
      <c r="E4429">
        <v>18</v>
      </c>
      <c r="F4429">
        <v>0</v>
      </c>
      <c r="G4429">
        <v>0</v>
      </c>
      <c r="H4429">
        <v>96</v>
      </c>
      <c r="I4429">
        <v>0</v>
      </c>
      <c r="J4429">
        <v>1</v>
      </c>
      <c r="K4429">
        <v>0</v>
      </c>
    </row>
    <row r="4430" spans="1:11" x14ac:dyDescent="0.2">
      <c r="A4430">
        <v>35906</v>
      </c>
      <c r="B4430">
        <v>290887</v>
      </c>
      <c r="C4430" t="s">
        <v>7947</v>
      </c>
      <c r="D4430">
        <v>10</v>
      </c>
      <c r="E4430">
        <v>1</v>
      </c>
      <c r="F4430">
        <v>0</v>
      </c>
      <c r="G4430">
        <v>0</v>
      </c>
      <c r="H4430">
        <v>30</v>
      </c>
      <c r="I4430">
        <v>0</v>
      </c>
      <c r="J4430">
        <v>39.99</v>
      </c>
      <c r="K4430">
        <v>0</v>
      </c>
    </row>
    <row r="4431" spans="1:11" x14ac:dyDescent="0.2">
      <c r="A4431">
        <v>40917</v>
      </c>
      <c r="B4431">
        <v>290899</v>
      </c>
      <c r="C4431" t="s">
        <v>7948</v>
      </c>
      <c r="D4431">
        <v>6</v>
      </c>
      <c r="E4431">
        <v>18</v>
      </c>
      <c r="F4431">
        <v>0</v>
      </c>
      <c r="G4431">
        <v>0</v>
      </c>
      <c r="H4431">
        <v>48</v>
      </c>
      <c r="I4431">
        <v>0</v>
      </c>
      <c r="J4431">
        <v>1</v>
      </c>
      <c r="K4431">
        <v>0</v>
      </c>
    </row>
    <row r="4432" spans="1:11" x14ac:dyDescent="0.2">
      <c r="A4432">
        <v>29823</v>
      </c>
      <c r="B4432">
        <v>290906</v>
      </c>
      <c r="C4432" t="s">
        <v>7949</v>
      </c>
      <c r="D4432">
        <v>10</v>
      </c>
      <c r="E4432">
        <v>6</v>
      </c>
      <c r="F4432">
        <v>0</v>
      </c>
      <c r="G4432">
        <v>0</v>
      </c>
      <c r="H4432">
        <v>60</v>
      </c>
      <c r="I4432">
        <v>0</v>
      </c>
      <c r="J4432">
        <v>7.99</v>
      </c>
      <c r="K4432">
        <v>0</v>
      </c>
    </row>
    <row r="4433" spans="1:12" x14ac:dyDescent="0.2">
      <c r="A4433">
        <v>48807</v>
      </c>
      <c r="B4433">
        <v>290934</v>
      </c>
      <c r="C4433" t="s">
        <v>7950</v>
      </c>
      <c r="D4433">
        <v>10</v>
      </c>
      <c r="E4433">
        <v>10</v>
      </c>
      <c r="F4433">
        <v>0</v>
      </c>
      <c r="G4433">
        <v>0</v>
      </c>
      <c r="H4433">
        <v>16</v>
      </c>
      <c r="I4433">
        <v>0</v>
      </c>
      <c r="J4433">
        <v>5.99</v>
      </c>
      <c r="K4433">
        <v>0</v>
      </c>
    </row>
    <row r="4434" spans="1:12" x14ac:dyDescent="0.2">
      <c r="B4434">
        <v>290952</v>
      </c>
      <c r="C4434" t="s">
        <v>7951</v>
      </c>
      <c r="D4434">
        <v>11</v>
      </c>
      <c r="E4434">
        <v>6</v>
      </c>
      <c r="F4434">
        <v>0</v>
      </c>
      <c r="G4434">
        <v>0</v>
      </c>
      <c r="H4434">
        <v>120</v>
      </c>
      <c r="I4434">
        <v>0</v>
      </c>
      <c r="J4434">
        <v>11.99</v>
      </c>
      <c r="K4434">
        <v>0</v>
      </c>
      <c r="L4434" t="s">
        <v>3699</v>
      </c>
    </row>
    <row r="4435" spans="1:12" x14ac:dyDescent="0.2">
      <c r="A4435">
        <v>50361</v>
      </c>
      <c r="B4435">
        <v>290959</v>
      </c>
      <c r="C4435" t="s">
        <v>7952</v>
      </c>
      <c r="D4435">
        <v>10</v>
      </c>
      <c r="E4435">
        <v>4</v>
      </c>
      <c r="F4435">
        <v>0</v>
      </c>
      <c r="G4435">
        <v>0</v>
      </c>
      <c r="H4435">
        <v>12</v>
      </c>
      <c r="I4435">
        <v>0</v>
      </c>
      <c r="J4435">
        <v>44.99</v>
      </c>
      <c r="K4435">
        <v>0</v>
      </c>
    </row>
    <row r="4436" spans="1:12" x14ac:dyDescent="0.2">
      <c r="A4436">
        <v>34335</v>
      </c>
      <c r="B4436">
        <v>290960</v>
      </c>
      <c r="C4436" t="s">
        <v>7953</v>
      </c>
      <c r="D4436">
        <v>10</v>
      </c>
      <c r="E4436">
        <v>10</v>
      </c>
      <c r="F4436">
        <v>0</v>
      </c>
      <c r="G4436">
        <v>0</v>
      </c>
      <c r="H4436">
        <v>12</v>
      </c>
      <c r="I4436">
        <v>0</v>
      </c>
      <c r="J4436">
        <v>5.99</v>
      </c>
      <c r="K4436">
        <v>0</v>
      </c>
    </row>
    <row r="4437" spans="1:12" x14ac:dyDescent="0.2">
      <c r="A4437">
        <v>45427</v>
      </c>
      <c r="B4437">
        <v>290968</v>
      </c>
      <c r="C4437" t="s">
        <v>7954</v>
      </c>
      <c r="D4437">
        <v>10</v>
      </c>
      <c r="E4437">
        <v>40</v>
      </c>
      <c r="F4437">
        <v>0</v>
      </c>
      <c r="G4437">
        <v>0</v>
      </c>
      <c r="H4437">
        <v>100</v>
      </c>
      <c r="I4437">
        <v>0</v>
      </c>
      <c r="J4437">
        <v>1.49</v>
      </c>
      <c r="K4437">
        <v>0</v>
      </c>
    </row>
    <row r="4438" spans="1:12" x14ac:dyDescent="0.2">
      <c r="B4438">
        <v>290971</v>
      </c>
      <c r="C4438" t="s">
        <v>7955</v>
      </c>
      <c r="D4438">
        <v>12</v>
      </c>
      <c r="E4438">
        <v>8</v>
      </c>
      <c r="F4438">
        <v>0</v>
      </c>
      <c r="G4438">
        <v>0</v>
      </c>
      <c r="H4438">
        <v>144</v>
      </c>
      <c r="I4438">
        <v>0</v>
      </c>
      <c r="J4438">
        <v>7.99</v>
      </c>
      <c r="K4438">
        <v>0</v>
      </c>
    </row>
    <row r="4439" spans="1:12" x14ac:dyDescent="0.2">
      <c r="A4439">
        <v>25905</v>
      </c>
      <c r="B4439">
        <v>290985</v>
      </c>
      <c r="C4439" t="s">
        <v>7848</v>
      </c>
      <c r="D4439">
        <v>10</v>
      </c>
      <c r="E4439">
        <v>24</v>
      </c>
      <c r="F4439">
        <v>0</v>
      </c>
      <c r="G4439">
        <v>0</v>
      </c>
      <c r="H4439">
        <v>110</v>
      </c>
      <c r="I4439">
        <v>0</v>
      </c>
      <c r="J4439">
        <v>1</v>
      </c>
      <c r="K4439">
        <v>0</v>
      </c>
    </row>
    <row r="4440" spans="1:12" x14ac:dyDescent="0.2">
      <c r="A4440">
        <v>50185</v>
      </c>
      <c r="B4440">
        <v>290987</v>
      </c>
      <c r="C4440" t="s">
        <v>7956</v>
      </c>
      <c r="D4440">
        <v>10</v>
      </c>
      <c r="E4440">
        <v>4</v>
      </c>
      <c r="F4440">
        <v>1</v>
      </c>
      <c r="G4440">
        <v>4</v>
      </c>
      <c r="H4440">
        <v>60</v>
      </c>
      <c r="I4440">
        <v>0</v>
      </c>
      <c r="J4440">
        <v>21.99</v>
      </c>
      <c r="K4440">
        <v>87.96</v>
      </c>
    </row>
    <row r="4441" spans="1:12" x14ac:dyDescent="0.2">
      <c r="A4441">
        <v>50111</v>
      </c>
      <c r="B4441">
        <v>290988</v>
      </c>
      <c r="C4441" t="s">
        <v>7957</v>
      </c>
      <c r="D4441">
        <v>10</v>
      </c>
      <c r="E4441">
        <v>5</v>
      </c>
      <c r="F4441">
        <v>6</v>
      </c>
      <c r="G4441">
        <v>30</v>
      </c>
      <c r="H4441">
        <v>264</v>
      </c>
      <c r="I4441">
        <v>0</v>
      </c>
      <c r="J4441">
        <v>19.989999999999998</v>
      </c>
      <c r="K4441">
        <v>599.70000000000005</v>
      </c>
    </row>
    <row r="4442" spans="1:12" x14ac:dyDescent="0.2">
      <c r="A4442">
        <v>35907</v>
      </c>
      <c r="B4442">
        <v>290990</v>
      </c>
      <c r="C4442" t="s">
        <v>7958</v>
      </c>
      <c r="D4442">
        <v>10</v>
      </c>
      <c r="E4442">
        <v>4</v>
      </c>
      <c r="F4442">
        <v>0</v>
      </c>
      <c r="G4442">
        <v>0</v>
      </c>
      <c r="H4442">
        <v>150</v>
      </c>
      <c r="I4442">
        <v>0</v>
      </c>
      <c r="J4442">
        <v>26.99</v>
      </c>
      <c r="K4442">
        <v>0</v>
      </c>
    </row>
    <row r="4443" spans="1:12" x14ac:dyDescent="0.2">
      <c r="A4443">
        <v>45428</v>
      </c>
      <c r="B4443">
        <v>290997</v>
      </c>
      <c r="C4443" t="s">
        <v>7959</v>
      </c>
      <c r="D4443">
        <v>10</v>
      </c>
      <c r="E4443">
        <v>14</v>
      </c>
      <c r="F4443">
        <v>0</v>
      </c>
      <c r="G4443">
        <v>0</v>
      </c>
      <c r="H4443">
        <v>100</v>
      </c>
      <c r="I4443">
        <v>0</v>
      </c>
      <c r="J4443">
        <v>3.99</v>
      </c>
      <c r="K4443">
        <v>0</v>
      </c>
    </row>
    <row r="4444" spans="1:12" x14ac:dyDescent="0.2">
      <c r="A4444">
        <v>49801</v>
      </c>
      <c r="B4444">
        <v>291004</v>
      </c>
      <c r="C4444" t="s">
        <v>7960</v>
      </c>
      <c r="D4444">
        <v>10</v>
      </c>
      <c r="E4444">
        <v>8</v>
      </c>
      <c r="F4444">
        <v>0</v>
      </c>
      <c r="G4444">
        <v>0</v>
      </c>
      <c r="H4444">
        <v>60</v>
      </c>
      <c r="I4444">
        <v>0</v>
      </c>
      <c r="J4444">
        <v>8.99</v>
      </c>
      <c r="K4444">
        <v>0</v>
      </c>
    </row>
    <row r="4445" spans="1:12" x14ac:dyDescent="0.2">
      <c r="A4445">
        <v>48808</v>
      </c>
      <c r="B4445">
        <v>291038</v>
      </c>
      <c r="C4445" t="s">
        <v>7961</v>
      </c>
      <c r="D4445">
        <v>10</v>
      </c>
      <c r="E4445">
        <v>8</v>
      </c>
      <c r="F4445">
        <v>1</v>
      </c>
      <c r="G4445">
        <v>8</v>
      </c>
      <c r="H4445">
        <v>24</v>
      </c>
      <c r="I4445">
        <v>0</v>
      </c>
      <c r="J4445">
        <v>13.99</v>
      </c>
      <c r="K4445">
        <v>111.92</v>
      </c>
    </row>
    <row r="4446" spans="1:12" x14ac:dyDescent="0.2">
      <c r="B4446">
        <v>291057</v>
      </c>
      <c r="C4446" t="s">
        <v>7962</v>
      </c>
      <c r="D4446">
        <v>12</v>
      </c>
      <c r="E4446">
        <v>18</v>
      </c>
      <c r="F4446">
        <v>0</v>
      </c>
      <c r="G4446">
        <v>0</v>
      </c>
      <c r="H4446">
        <v>36</v>
      </c>
      <c r="I4446">
        <v>0</v>
      </c>
      <c r="J4446">
        <v>4.49</v>
      </c>
      <c r="K4446">
        <v>0</v>
      </c>
    </row>
    <row r="4447" spans="1:12" x14ac:dyDescent="0.2">
      <c r="A4447">
        <v>48116</v>
      </c>
      <c r="B4447">
        <v>291062</v>
      </c>
      <c r="C4447" t="s">
        <v>7963</v>
      </c>
      <c r="D4447">
        <v>10</v>
      </c>
      <c r="E4447">
        <v>16</v>
      </c>
      <c r="F4447">
        <v>0</v>
      </c>
      <c r="G4447">
        <v>0</v>
      </c>
      <c r="H4447">
        <v>16</v>
      </c>
      <c r="I4447">
        <v>0</v>
      </c>
      <c r="J4447">
        <v>7.99</v>
      </c>
      <c r="K4447">
        <v>0</v>
      </c>
    </row>
    <row r="4448" spans="1:12" x14ac:dyDescent="0.2">
      <c r="A4448">
        <v>48117</v>
      </c>
      <c r="B4448">
        <v>291073</v>
      </c>
      <c r="C4448" t="s">
        <v>7964</v>
      </c>
      <c r="D4448">
        <v>10</v>
      </c>
      <c r="E4448">
        <v>20</v>
      </c>
      <c r="F4448">
        <v>0</v>
      </c>
      <c r="G4448">
        <v>0</v>
      </c>
      <c r="H4448">
        <v>40</v>
      </c>
      <c r="I4448">
        <v>0</v>
      </c>
      <c r="J4448">
        <v>2.99</v>
      </c>
      <c r="K4448">
        <v>0</v>
      </c>
    </row>
    <row r="4449" spans="1:11" x14ac:dyDescent="0.2">
      <c r="A4449">
        <v>48150</v>
      </c>
      <c r="B4449">
        <v>291077</v>
      </c>
      <c r="C4449" t="s">
        <v>7965</v>
      </c>
      <c r="D4449">
        <v>10</v>
      </c>
      <c r="E4449">
        <v>22</v>
      </c>
      <c r="F4449">
        <v>2</v>
      </c>
      <c r="G4449">
        <v>44</v>
      </c>
      <c r="H4449">
        <v>66</v>
      </c>
      <c r="I4449">
        <v>0</v>
      </c>
      <c r="J4449">
        <v>1.99</v>
      </c>
      <c r="K4449">
        <v>87.56</v>
      </c>
    </row>
    <row r="4450" spans="1:11" x14ac:dyDescent="0.2">
      <c r="A4450">
        <v>48118</v>
      </c>
      <c r="B4450">
        <v>291078</v>
      </c>
      <c r="C4450" t="s">
        <v>7966</v>
      </c>
      <c r="D4450">
        <v>10</v>
      </c>
      <c r="E4450">
        <v>18</v>
      </c>
      <c r="F4450">
        <v>1</v>
      </c>
      <c r="G4450">
        <v>18</v>
      </c>
      <c r="H4450">
        <v>40</v>
      </c>
      <c r="I4450">
        <v>0</v>
      </c>
      <c r="J4450">
        <v>4.49</v>
      </c>
      <c r="K4450">
        <v>80.819999999999993</v>
      </c>
    </row>
    <row r="4451" spans="1:11" x14ac:dyDescent="0.2">
      <c r="A4451">
        <v>48119</v>
      </c>
      <c r="B4451">
        <v>291079</v>
      </c>
      <c r="C4451" t="s">
        <v>7967</v>
      </c>
      <c r="D4451">
        <v>10</v>
      </c>
      <c r="E4451">
        <v>16</v>
      </c>
      <c r="F4451">
        <v>0</v>
      </c>
      <c r="G4451">
        <v>0</v>
      </c>
      <c r="H4451">
        <v>40</v>
      </c>
      <c r="I4451">
        <v>0</v>
      </c>
      <c r="J4451">
        <v>2.4900000000000002</v>
      </c>
      <c r="K4451">
        <v>0</v>
      </c>
    </row>
    <row r="4452" spans="1:11" x14ac:dyDescent="0.2">
      <c r="A4452">
        <v>40918</v>
      </c>
      <c r="B4452">
        <v>291081</v>
      </c>
      <c r="C4452" t="s">
        <v>7968</v>
      </c>
      <c r="D4452">
        <v>6</v>
      </c>
      <c r="E4452">
        <v>12</v>
      </c>
      <c r="F4452">
        <v>0</v>
      </c>
      <c r="G4452">
        <v>0</v>
      </c>
      <c r="H4452">
        <v>126</v>
      </c>
      <c r="I4452">
        <v>0</v>
      </c>
      <c r="J4452">
        <v>1</v>
      </c>
      <c r="K4452">
        <v>0</v>
      </c>
    </row>
    <row r="4453" spans="1:11" x14ac:dyDescent="0.2">
      <c r="A4453">
        <v>50362</v>
      </c>
      <c r="B4453">
        <v>291100</v>
      </c>
      <c r="C4453" t="s">
        <v>7969</v>
      </c>
      <c r="D4453">
        <v>10</v>
      </c>
      <c r="E4453">
        <v>1</v>
      </c>
      <c r="F4453">
        <v>0</v>
      </c>
      <c r="G4453">
        <v>0</v>
      </c>
      <c r="H4453">
        <v>24</v>
      </c>
      <c r="I4453">
        <v>0</v>
      </c>
      <c r="J4453">
        <v>119</v>
      </c>
      <c r="K4453">
        <v>0</v>
      </c>
    </row>
    <row r="4454" spans="1:11" x14ac:dyDescent="0.2">
      <c r="A4454">
        <v>32947</v>
      </c>
      <c r="B4454">
        <v>291105</v>
      </c>
      <c r="C4454" t="s">
        <v>7970</v>
      </c>
      <c r="D4454">
        <v>10</v>
      </c>
      <c r="E4454">
        <v>12</v>
      </c>
      <c r="F4454">
        <v>0</v>
      </c>
      <c r="G4454">
        <v>0</v>
      </c>
      <c r="H4454">
        <v>58</v>
      </c>
      <c r="I4454">
        <v>0</v>
      </c>
      <c r="J4454">
        <v>1</v>
      </c>
      <c r="K4454">
        <v>0</v>
      </c>
    </row>
    <row r="4455" spans="1:11" x14ac:dyDescent="0.2">
      <c r="A4455">
        <v>2201</v>
      </c>
      <c r="B4455">
        <v>291109</v>
      </c>
      <c r="C4455" t="s">
        <v>7971</v>
      </c>
      <c r="D4455">
        <v>6</v>
      </c>
      <c r="E4455">
        <v>1</v>
      </c>
      <c r="F4455">
        <v>154</v>
      </c>
      <c r="G4455">
        <v>154</v>
      </c>
      <c r="H4455">
        <v>30</v>
      </c>
      <c r="I4455">
        <v>5.0999999999999996</v>
      </c>
      <c r="J4455">
        <v>29.99</v>
      </c>
      <c r="K4455">
        <v>4618.46</v>
      </c>
    </row>
    <row r="4456" spans="1:11" x14ac:dyDescent="0.2">
      <c r="A4456">
        <v>48120</v>
      </c>
      <c r="B4456">
        <v>291121</v>
      </c>
      <c r="C4456" t="s">
        <v>7972</v>
      </c>
      <c r="D4456">
        <v>10</v>
      </c>
      <c r="E4456">
        <v>8</v>
      </c>
      <c r="F4456">
        <v>2</v>
      </c>
      <c r="G4456">
        <v>16</v>
      </c>
      <c r="H4456">
        <v>176</v>
      </c>
      <c r="I4456">
        <v>0</v>
      </c>
      <c r="J4456">
        <v>4.99</v>
      </c>
      <c r="K4456">
        <v>79.84</v>
      </c>
    </row>
    <row r="4457" spans="1:11" x14ac:dyDescent="0.2">
      <c r="A4457">
        <v>48809</v>
      </c>
      <c r="B4457">
        <v>291532</v>
      </c>
      <c r="C4457" t="s">
        <v>7973</v>
      </c>
      <c r="D4457">
        <v>10</v>
      </c>
      <c r="E4457">
        <v>2</v>
      </c>
      <c r="F4457">
        <v>0</v>
      </c>
      <c r="G4457">
        <v>0</v>
      </c>
      <c r="H4457">
        <v>23</v>
      </c>
      <c r="I4457">
        <v>0</v>
      </c>
      <c r="J4457">
        <v>64.989999999999995</v>
      </c>
      <c r="K4457">
        <v>0</v>
      </c>
    </row>
    <row r="4458" spans="1:11" x14ac:dyDescent="0.2">
      <c r="A4458">
        <v>35908</v>
      </c>
      <c r="B4458">
        <v>291541</v>
      </c>
      <c r="C4458" t="s">
        <v>7974</v>
      </c>
      <c r="D4458">
        <v>10</v>
      </c>
      <c r="E4458">
        <v>4</v>
      </c>
      <c r="F4458">
        <v>0</v>
      </c>
      <c r="G4458">
        <v>0</v>
      </c>
      <c r="H4458">
        <v>192</v>
      </c>
      <c r="I4458">
        <v>0</v>
      </c>
      <c r="J4458">
        <v>24.99</v>
      </c>
      <c r="K4458">
        <v>0</v>
      </c>
    </row>
    <row r="4459" spans="1:11" x14ac:dyDescent="0.2">
      <c r="A4459">
        <v>2202</v>
      </c>
      <c r="B4459">
        <v>291543</v>
      </c>
      <c r="C4459" t="s">
        <v>7975</v>
      </c>
      <c r="D4459">
        <v>6</v>
      </c>
      <c r="E4459">
        <v>12</v>
      </c>
      <c r="F4459">
        <v>551</v>
      </c>
      <c r="G4459">
        <v>6612</v>
      </c>
      <c r="H4459">
        <v>24</v>
      </c>
      <c r="I4459">
        <v>23</v>
      </c>
      <c r="J4459">
        <v>1.99</v>
      </c>
      <c r="K4459">
        <v>13157.88</v>
      </c>
    </row>
    <row r="4460" spans="1:11" x14ac:dyDescent="0.2">
      <c r="A4460">
        <v>2203</v>
      </c>
      <c r="B4460">
        <v>291546</v>
      </c>
      <c r="C4460" t="s">
        <v>7976</v>
      </c>
      <c r="D4460">
        <v>6</v>
      </c>
      <c r="E4460">
        <v>4</v>
      </c>
      <c r="F4460">
        <v>0</v>
      </c>
      <c r="G4460">
        <v>0</v>
      </c>
      <c r="H4460">
        <v>16</v>
      </c>
      <c r="I4460">
        <v>0</v>
      </c>
      <c r="J4460">
        <v>24.99</v>
      </c>
      <c r="K4460">
        <v>0</v>
      </c>
    </row>
    <row r="4461" spans="1:11" x14ac:dyDescent="0.2">
      <c r="B4461">
        <v>291556</v>
      </c>
      <c r="C4461" t="s">
        <v>7977</v>
      </c>
      <c r="D4461">
        <v>11</v>
      </c>
      <c r="E4461">
        <v>16</v>
      </c>
      <c r="F4461">
        <v>0</v>
      </c>
      <c r="G4461">
        <v>0</v>
      </c>
      <c r="H4461">
        <v>6</v>
      </c>
      <c r="I4461">
        <v>0</v>
      </c>
      <c r="J4461">
        <v>6.99</v>
      </c>
      <c r="K4461">
        <v>0</v>
      </c>
    </row>
    <row r="4462" spans="1:11" x14ac:dyDescent="0.2">
      <c r="A4462">
        <v>32804</v>
      </c>
      <c r="B4462">
        <v>291567</v>
      </c>
      <c r="C4462" t="s">
        <v>7978</v>
      </c>
      <c r="D4462">
        <v>10</v>
      </c>
      <c r="E4462">
        <v>20</v>
      </c>
      <c r="F4462">
        <v>0</v>
      </c>
      <c r="G4462">
        <v>0</v>
      </c>
      <c r="H4462">
        <v>42</v>
      </c>
      <c r="I4462">
        <v>0</v>
      </c>
      <c r="J4462">
        <v>4.99</v>
      </c>
      <c r="K4462">
        <v>0</v>
      </c>
    </row>
    <row r="4463" spans="1:11" x14ac:dyDescent="0.2">
      <c r="A4463">
        <v>38832</v>
      </c>
      <c r="B4463">
        <v>291580</v>
      </c>
      <c r="C4463" t="s">
        <v>7979</v>
      </c>
      <c r="D4463">
        <v>10</v>
      </c>
      <c r="E4463">
        <v>6</v>
      </c>
      <c r="F4463">
        <v>0</v>
      </c>
      <c r="G4463">
        <v>0</v>
      </c>
      <c r="H4463">
        <v>20</v>
      </c>
      <c r="I4463">
        <v>0</v>
      </c>
      <c r="J4463">
        <v>12.99</v>
      </c>
      <c r="K4463">
        <v>0</v>
      </c>
    </row>
    <row r="4464" spans="1:11" x14ac:dyDescent="0.2">
      <c r="A4464">
        <v>25904</v>
      </c>
      <c r="B4464">
        <v>291582</v>
      </c>
      <c r="C4464" t="s">
        <v>7980</v>
      </c>
      <c r="D4464">
        <v>10</v>
      </c>
      <c r="E4464">
        <v>10</v>
      </c>
      <c r="F4464">
        <v>0</v>
      </c>
      <c r="G4464">
        <v>0</v>
      </c>
      <c r="H4464">
        <v>60</v>
      </c>
      <c r="I4464">
        <v>0</v>
      </c>
      <c r="J4464">
        <v>1</v>
      </c>
      <c r="K4464">
        <v>0</v>
      </c>
    </row>
    <row r="4465" spans="1:11" x14ac:dyDescent="0.2">
      <c r="A4465">
        <v>32948</v>
      </c>
      <c r="B4465">
        <v>291583</v>
      </c>
      <c r="C4465" t="s">
        <v>7981</v>
      </c>
      <c r="D4465">
        <v>10</v>
      </c>
      <c r="E4465">
        <v>12</v>
      </c>
      <c r="F4465">
        <v>0</v>
      </c>
      <c r="G4465">
        <v>0</v>
      </c>
      <c r="H4465">
        <v>45</v>
      </c>
      <c r="I4465">
        <v>0</v>
      </c>
      <c r="J4465">
        <v>1</v>
      </c>
      <c r="K4465">
        <v>0</v>
      </c>
    </row>
    <row r="4466" spans="1:11" x14ac:dyDescent="0.2">
      <c r="A4466">
        <v>29825</v>
      </c>
      <c r="B4466">
        <v>291597</v>
      </c>
      <c r="C4466" t="s">
        <v>7982</v>
      </c>
      <c r="D4466">
        <v>11</v>
      </c>
      <c r="E4466">
        <v>2</v>
      </c>
      <c r="F4466">
        <v>0</v>
      </c>
      <c r="G4466">
        <v>0</v>
      </c>
      <c r="H4466">
        <v>40</v>
      </c>
      <c r="I4466">
        <v>0</v>
      </c>
      <c r="J4466">
        <v>39.99</v>
      </c>
      <c r="K4466">
        <v>0</v>
      </c>
    </row>
    <row r="4467" spans="1:11" x14ac:dyDescent="0.2">
      <c r="A4467">
        <v>47926</v>
      </c>
      <c r="B4467">
        <v>291602</v>
      </c>
      <c r="C4467" t="s">
        <v>7983</v>
      </c>
      <c r="D4467">
        <v>10</v>
      </c>
      <c r="E4467">
        <v>14</v>
      </c>
      <c r="F4467">
        <v>0</v>
      </c>
      <c r="G4467">
        <v>0</v>
      </c>
      <c r="H4467">
        <v>84</v>
      </c>
      <c r="I4467">
        <v>0</v>
      </c>
      <c r="J4467">
        <v>1</v>
      </c>
      <c r="K4467">
        <v>0</v>
      </c>
    </row>
    <row r="4468" spans="1:11" x14ac:dyDescent="0.2">
      <c r="A4468">
        <v>29826</v>
      </c>
      <c r="B4468">
        <v>291608</v>
      </c>
      <c r="C4468" t="s">
        <v>7984</v>
      </c>
      <c r="D4468">
        <v>10</v>
      </c>
      <c r="E4468">
        <v>10</v>
      </c>
      <c r="F4468">
        <v>0</v>
      </c>
      <c r="G4468">
        <v>0</v>
      </c>
      <c r="H4468">
        <v>30</v>
      </c>
      <c r="I4468">
        <v>0</v>
      </c>
      <c r="J4468">
        <v>4.99</v>
      </c>
      <c r="K4468">
        <v>0</v>
      </c>
    </row>
    <row r="4469" spans="1:11" x14ac:dyDescent="0.2">
      <c r="A4469">
        <v>35909</v>
      </c>
      <c r="B4469">
        <v>291609</v>
      </c>
      <c r="C4469" t="s">
        <v>7985</v>
      </c>
      <c r="D4469">
        <v>10</v>
      </c>
      <c r="E4469">
        <v>1</v>
      </c>
      <c r="F4469">
        <v>0</v>
      </c>
      <c r="G4469">
        <v>0</v>
      </c>
      <c r="H4469">
        <v>76</v>
      </c>
      <c r="I4469">
        <v>0</v>
      </c>
      <c r="J4469">
        <v>22.99</v>
      </c>
      <c r="K4469">
        <v>0</v>
      </c>
    </row>
    <row r="4470" spans="1:11" x14ac:dyDescent="0.2">
      <c r="A4470">
        <v>31802</v>
      </c>
      <c r="B4470">
        <v>291612</v>
      </c>
      <c r="C4470" t="s">
        <v>7986</v>
      </c>
      <c r="D4470">
        <v>10</v>
      </c>
      <c r="E4470">
        <v>10</v>
      </c>
      <c r="F4470">
        <v>0</v>
      </c>
      <c r="G4470">
        <v>0</v>
      </c>
      <c r="H4470">
        <v>28</v>
      </c>
      <c r="I4470">
        <v>0</v>
      </c>
      <c r="J4470">
        <v>4.49</v>
      </c>
      <c r="K4470">
        <v>0</v>
      </c>
    </row>
    <row r="4471" spans="1:11" x14ac:dyDescent="0.2">
      <c r="A4471">
        <v>31803</v>
      </c>
      <c r="B4471">
        <v>291614</v>
      </c>
      <c r="C4471" t="s">
        <v>7987</v>
      </c>
      <c r="D4471">
        <v>10</v>
      </c>
      <c r="E4471">
        <v>14</v>
      </c>
      <c r="F4471">
        <v>0</v>
      </c>
      <c r="G4471">
        <v>0</v>
      </c>
      <c r="H4471">
        <v>48</v>
      </c>
      <c r="I4471">
        <v>0</v>
      </c>
      <c r="J4471">
        <v>17.989999999999998</v>
      </c>
      <c r="K4471">
        <v>0</v>
      </c>
    </row>
    <row r="4472" spans="1:11" x14ac:dyDescent="0.2">
      <c r="A4472">
        <v>25903</v>
      </c>
      <c r="B4472">
        <v>291615</v>
      </c>
      <c r="C4472" t="s">
        <v>7988</v>
      </c>
      <c r="D4472">
        <v>10</v>
      </c>
      <c r="E4472">
        <v>20</v>
      </c>
      <c r="F4472">
        <v>0</v>
      </c>
      <c r="G4472">
        <v>0</v>
      </c>
      <c r="H4472">
        <v>24</v>
      </c>
      <c r="I4472">
        <v>0</v>
      </c>
      <c r="J4472">
        <v>1</v>
      </c>
      <c r="K4472">
        <v>0</v>
      </c>
    </row>
    <row r="4473" spans="1:11" x14ac:dyDescent="0.2">
      <c r="A4473">
        <v>32949</v>
      </c>
      <c r="B4473">
        <v>291628</v>
      </c>
      <c r="C4473" t="s">
        <v>7989</v>
      </c>
      <c r="D4473">
        <v>10</v>
      </c>
      <c r="E4473">
        <v>14</v>
      </c>
      <c r="F4473">
        <v>0</v>
      </c>
      <c r="G4473">
        <v>0</v>
      </c>
      <c r="H4473">
        <v>88</v>
      </c>
      <c r="I4473">
        <v>0</v>
      </c>
      <c r="J4473">
        <v>1</v>
      </c>
      <c r="K4473">
        <v>0</v>
      </c>
    </row>
    <row r="4474" spans="1:11" x14ac:dyDescent="0.2">
      <c r="A4474">
        <v>29827</v>
      </c>
      <c r="B4474">
        <v>291639</v>
      </c>
      <c r="C4474" t="s">
        <v>7990</v>
      </c>
      <c r="D4474">
        <v>10</v>
      </c>
      <c r="E4474">
        <v>1</v>
      </c>
      <c r="F4474">
        <v>0</v>
      </c>
      <c r="G4474">
        <v>0</v>
      </c>
      <c r="H4474">
        <v>27</v>
      </c>
      <c r="I4474">
        <v>0</v>
      </c>
      <c r="J4474">
        <v>99.99</v>
      </c>
      <c r="K4474">
        <v>0</v>
      </c>
    </row>
    <row r="4475" spans="1:11" x14ac:dyDescent="0.2">
      <c r="A4475">
        <v>29828</v>
      </c>
      <c r="B4475">
        <v>291642</v>
      </c>
      <c r="C4475" t="s">
        <v>7991</v>
      </c>
      <c r="D4475">
        <v>10</v>
      </c>
      <c r="E4475">
        <v>4</v>
      </c>
      <c r="F4475">
        <v>0</v>
      </c>
      <c r="G4475">
        <v>0</v>
      </c>
      <c r="H4475">
        <v>72</v>
      </c>
      <c r="I4475">
        <v>0</v>
      </c>
      <c r="J4475">
        <v>24.99</v>
      </c>
      <c r="K4475">
        <v>0</v>
      </c>
    </row>
    <row r="4476" spans="1:11" x14ac:dyDescent="0.2">
      <c r="A4476">
        <v>29829</v>
      </c>
      <c r="B4476">
        <v>291644</v>
      </c>
      <c r="C4476" t="s">
        <v>7992</v>
      </c>
      <c r="D4476">
        <v>10</v>
      </c>
      <c r="E4476">
        <v>4</v>
      </c>
      <c r="F4476">
        <v>0</v>
      </c>
      <c r="G4476">
        <v>0</v>
      </c>
      <c r="H4476">
        <v>15</v>
      </c>
      <c r="I4476">
        <v>0</v>
      </c>
      <c r="J4476">
        <v>19.989999999999998</v>
      </c>
      <c r="K4476">
        <v>0</v>
      </c>
    </row>
    <row r="4477" spans="1:11" x14ac:dyDescent="0.2">
      <c r="A4477">
        <v>29830</v>
      </c>
      <c r="B4477">
        <v>291645</v>
      </c>
      <c r="C4477" t="s">
        <v>7993</v>
      </c>
      <c r="D4477">
        <v>10</v>
      </c>
      <c r="E4477">
        <v>4</v>
      </c>
      <c r="F4477">
        <v>0</v>
      </c>
      <c r="G4477">
        <v>0</v>
      </c>
      <c r="H4477">
        <v>54</v>
      </c>
      <c r="I4477">
        <v>0</v>
      </c>
      <c r="J4477">
        <v>19.989999999999998</v>
      </c>
      <c r="K4477">
        <v>0</v>
      </c>
    </row>
    <row r="4478" spans="1:11" x14ac:dyDescent="0.2">
      <c r="A4478">
        <v>52051</v>
      </c>
      <c r="B4478">
        <v>291671</v>
      </c>
      <c r="C4478" t="s">
        <v>7994</v>
      </c>
      <c r="D4478">
        <v>10</v>
      </c>
      <c r="E4478">
        <v>8</v>
      </c>
      <c r="F4478">
        <v>252</v>
      </c>
      <c r="G4478">
        <v>2016</v>
      </c>
      <c r="H4478">
        <v>100</v>
      </c>
      <c r="I4478">
        <v>2.5</v>
      </c>
      <c r="J4478">
        <v>11.99</v>
      </c>
      <c r="K4478">
        <v>24171.84</v>
      </c>
    </row>
    <row r="4479" spans="1:11" x14ac:dyDescent="0.2">
      <c r="A4479">
        <v>25934</v>
      </c>
      <c r="B4479">
        <v>291672</v>
      </c>
      <c r="C4479" t="s">
        <v>7995</v>
      </c>
      <c r="D4479">
        <v>10</v>
      </c>
      <c r="E4479">
        <v>25</v>
      </c>
      <c r="F4479">
        <v>0</v>
      </c>
      <c r="G4479">
        <v>0</v>
      </c>
      <c r="H4479">
        <v>84</v>
      </c>
      <c r="I4479">
        <v>0</v>
      </c>
      <c r="J4479">
        <v>1</v>
      </c>
      <c r="K4479">
        <v>0</v>
      </c>
    </row>
    <row r="4480" spans="1:11" x14ac:dyDescent="0.2">
      <c r="A4480">
        <v>44805</v>
      </c>
      <c r="B4480">
        <v>291680</v>
      </c>
      <c r="C4480" t="s">
        <v>7996</v>
      </c>
      <c r="D4480">
        <v>10</v>
      </c>
      <c r="E4480">
        <v>12</v>
      </c>
      <c r="F4480">
        <v>1</v>
      </c>
      <c r="G4480">
        <v>12</v>
      </c>
      <c r="H4480">
        <v>72</v>
      </c>
      <c r="I4480">
        <v>0</v>
      </c>
      <c r="J4480">
        <v>4.99</v>
      </c>
      <c r="K4480">
        <v>59.88</v>
      </c>
    </row>
    <row r="4481" spans="1:11" x14ac:dyDescent="0.2">
      <c r="A4481">
        <v>52000</v>
      </c>
      <c r="B4481">
        <v>291686</v>
      </c>
      <c r="C4481" t="s">
        <v>7997</v>
      </c>
      <c r="D4481">
        <v>10</v>
      </c>
      <c r="E4481">
        <v>9</v>
      </c>
      <c r="F4481">
        <v>132</v>
      </c>
      <c r="G4481">
        <v>1188</v>
      </c>
      <c r="H4481">
        <v>100</v>
      </c>
      <c r="I4481">
        <v>1.3</v>
      </c>
      <c r="J4481">
        <v>5.89</v>
      </c>
      <c r="K4481">
        <v>6997.32</v>
      </c>
    </row>
    <row r="4482" spans="1:11" x14ac:dyDescent="0.2">
      <c r="A4482">
        <v>44806</v>
      </c>
      <c r="B4482">
        <v>291688</v>
      </c>
      <c r="C4482" t="s">
        <v>7998</v>
      </c>
      <c r="D4482">
        <v>10</v>
      </c>
      <c r="E4482">
        <v>10</v>
      </c>
      <c r="F4482">
        <v>0</v>
      </c>
      <c r="G4482">
        <v>0</v>
      </c>
      <c r="H4482">
        <v>78</v>
      </c>
      <c r="I4482">
        <v>0</v>
      </c>
      <c r="J4482">
        <v>5.99</v>
      </c>
      <c r="K4482">
        <v>0</v>
      </c>
    </row>
    <row r="4483" spans="1:11" x14ac:dyDescent="0.2">
      <c r="A4483">
        <v>25935</v>
      </c>
      <c r="B4483">
        <v>291691</v>
      </c>
      <c r="C4483" t="s">
        <v>7999</v>
      </c>
      <c r="D4483">
        <v>10</v>
      </c>
      <c r="E4483">
        <v>14</v>
      </c>
      <c r="F4483">
        <v>0</v>
      </c>
      <c r="G4483">
        <v>0</v>
      </c>
      <c r="H4483">
        <v>48</v>
      </c>
      <c r="I4483">
        <v>0</v>
      </c>
      <c r="J4483">
        <v>1</v>
      </c>
      <c r="K4483">
        <v>0</v>
      </c>
    </row>
    <row r="4484" spans="1:11" x14ac:dyDescent="0.2">
      <c r="A4484">
        <v>25936</v>
      </c>
      <c r="B4484">
        <v>291692</v>
      </c>
      <c r="C4484" t="s">
        <v>8000</v>
      </c>
      <c r="D4484">
        <v>10</v>
      </c>
      <c r="E4484">
        <v>12</v>
      </c>
      <c r="F4484">
        <v>0</v>
      </c>
      <c r="G4484">
        <v>0</v>
      </c>
      <c r="H4484">
        <v>70</v>
      </c>
      <c r="I4484">
        <v>0</v>
      </c>
      <c r="J4484">
        <v>1</v>
      </c>
      <c r="K4484">
        <v>0</v>
      </c>
    </row>
    <row r="4485" spans="1:11" x14ac:dyDescent="0.2">
      <c r="A4485">
        <v>25937</v>
      </c>
      <c r="B4485">
        <v>291695</v>
      </c>
      <c r="C4485" t="s">
        <v>7686</v>
      </c>
      <c r="D4485">
        <v>10</v>
      </c>
      <c r="E4485">
        <v>9</v>
      </c>
      <c r="F4485">
        <v>0</v>
      </c>
      <c r="G4485">
        <v>0</v>
      </c>
      <c r="H4485">
        <v>208</v>
      </c>
      <c r="I4485">
        <v>0</v>
      </c>
      <c r="J4485">
        <v>1</v>
      </c>
      <c r="K4485">
        <v>0</v>
      </c>
    </row>
    <row r="4486" spans="1:11" x14ac:dyDescent="0.2">
      <c r="A4486">
        <v>44807</v>
      </c>
      <c r="B4486">
        <v>291697</v>
      </c>
      <c r="C4486" t="s">
        <v>8001</v>
      </c>
      <c r="D4486">
        <v>10</v>
      </c>
      <c r="E4486">
        <v>6</v>
      </c>
      <c r="F4486">
        <v>0</v>
      </c>
      <c r="G4486">
        <v>0</v>
      </c>
      <c r="H4486">
        <v>48</v>
      </c>
      <c r="I4486">
        <v>0</v>
      </c>
      <c r="J4486">
        <v>7.99</v>
      </c>
      <c r="K4486">
        <v>0</v>
      </c>
    </row>
    <row r="4487" spans="1:11" x14ac:dyDescent="0.2">
      <c r="A4487">
        <v>28827</v>
      </c>
      <c r="B4487">
        <v>291709</v>
      </c>
      <c r="C4487" t="s">
        <v>8002</v>
      </c>
      <c r="D4487">
        <v>10</v>
      </c>
      <c r="E4487">
        <v>8</v>
      </c>
      <c r="F4487">
        <v>0</v>
      </c>
      <c r="G4487">
        <v>0</v>
      </c>
      <c r="H4487">
        <v>77</v>
      </c>
      <c r="I4487">
        <v>0</v>
      </c>
      <c r="J4487">
        <v>3.99</v>
      </c>
      <c r="K4487">
        <v>0</v>
      </c>
    </row>
    <row r="4488" spans="1:11" x14ac:dyDescent="0.2">
      <c r="A4488">
        <v>46806</v>
      </c>
      <c r="B4488">
        <v>291716</v>
      </c>
      <c r="C4488" t="s">
        <v>8003</v>
      </c>
      <c r="D4488">
        <v>10</v>
      </c>
      <c r="E4488">
        <v>1</v>
      </c>
      <c r="F4488">
        <v>0</v>
      </c>
      <c r="G4488">
        <v>0</v>
      </c>
      <c r="H4488">
        <v>114</v>
      </c>
      <c r="I4488">
        <v>0</v>
      </c>
      <c r="J4488">
        <v>44.99</v>
      </c>
      <c r="K4488">
        <v>0</v>
      </c>
    </row>
    <row r="4489" spans="1:11" x14ac:dyDescent="0.2">
      <c r="A4489">
        <v>25938</v>
      </c>
      <c r="B4489">
        <v>291722</v>
      </c>
      <c r="C4489" t="s">
        <v>7419</v>
      </c>
      <c r="D4489">
        <v>10</v>
      </c>
      <c r="E4489">
        <v>12</v>
      </c>
      <c r="F4489">
        <v>0</v>
      </c>
      <c r="G4489">
        <v>0</v>
      </c>
      <c r="H4489">
        <v>60</v>
      </c>
      <c r="I4489">
        <v>0</v>
      </c>
      <c r="J4489">
        <v>1</v>
      </c>
      <c r="K4489">
        <v>0</v>
      </c>
    </row>
    <row r="4490" spans="1:11" x14ac:dyDescent="0.2">
      <c r="A4490">
        <v>43947</v>
      </c>
      <c r="B4490">
        <v>291725</v>
      </c>
      <c r="C4490" t="s">
        <v>8004</v>
      </c>
      <c r="D4490">
        <v>10</v>
      </c>
      <c r="E4490">
        <v>16</v>
      </c>
      <c r="F4490">
        <v>0</v>
      </c>
      <c r="G4490">
        <v>0</v>
      </c>
      <c r="H4490">
        <v>44</v>
      </c>
      <c r="I4490">
        <v>0</v>
      </c>
      <c r="J4490">
        <v>1</v>
      </c>
      <c r="K4490">
        <v>0</v>
      </c>
    </row>
    <row r="4491" spans="1:11" x14ac:dyDescent="0.2">
      <c r="A4491">
        <v>30811</v>
      </c>
      <c r="B4491">
        <v>291738</v>
      </c>
      <c r="C4491" t="s">
        <v>8005</v>
      </c>
      <c r="D4491">
        <v>10</v>
      </c>
      <c r="E4491">
        <v>2</v>
      </c>
      <c r="F4491">
        <v>10</v>
      </c>
      <c r="G4491">
        <v>20</v>
      </c>
      <c r="H4491">
        <v>12</v>
      </c>
      <c r="I4491">
        <v>0.8</v>
      </c>
      <c r="J4491">
        <v>89.99</v>
      </c>
      <c r="K4491">
        <v>1799.8</v>
      </c>
    </row>
    <row r="4492" spans="1:11" x14ac:dyDescent="0.2">
      <c r="A4492">
        <v>36801</v>
      </c>
      <c r="B4492">
        <v>291739</v>
      </c>
      <c r="C4492" t="s">
        <v>8006</v>
      </c>
      <c r="D4492">
        <v>10</v>
      </c>
      <c r="E4492">
        <v>1</v>
      </c>
      <c r="F4492">
        <v>0</v>
      </c>
      <c r="G4492">
        <v>0</v>
      </c>
      <c r="H4492">
        <v>24</v>
      </c>
      <c r="I4492">
        <v>0</v>
      </c>
      <c r="J4492">
        <v>74.989999999999995</v>
      </c>
      <c r="K4492">
        <v>0</v>
      </c>
    </row>
    <row r="4493" spans="1:11" x14ac:dyDescent="0.2">
      <c r="A4493">
        <v>43948</v>
      </c>
      <c r="B4493">
        <v>291747</v>
      </c>
      <c r="C4493" t="s">
        <v>8007</v>
      </c>
      <c r="D4493">
        <v>10</v>
      </c>
      <c r="E4493">
        <v>14</v>
      </c>
      <c r="F4493">
        <v>0</v>
      </c>
      <c r="G4493">
        <v>0</v>
      </c>
      <c r="H4493">
        <v>60</v>
      </c>
      <c r="I4493">
        <v>0</v>
      </c>
      <c r="J4493">
        <v>1</v>
      </c>
      <c r="K4493">
        <v>0</v>
      </c>
    </row>
    <row r="4494" spans="1:11" x14ac:dyDescent="0.2">
      <c r="A4494">
        <v>25939</v>
      </c>
      <c r="B4494">
        <v>291750</v>
      </c>
      <c r="C4494" t="s">
        <v>8008</v>
      </c>
      <c r="D4494">
        <v>10</v>
      </c>
      <c r="E4494">
        <v>14</v>
      </c>
      <c r="F4494">
        <v>0</v>
      </c>
      <c r="G4494">
        <v>0</v>
      </c>
      <c r="H4494">
        <v>54</v>
      </c>
      <c r="I4494">
        <v>0</v>
      </c>
      <c r="J4494">
        <v>1</v>
      </c>
      <c r="K4494">
        <v>0</v>
      </c>
    </row>
    <row r="4495" spans="1:11" x14ac:dyDescent="0.2">
      <c r="A4495">
        <v>38833</v>
      </c>
      <c r="B4495">
        <v>291765</v>
      </c>
      <c r="C4495" t="s">
        <v>7637</v>
      </c>
      <c r="D4495">
        <v>10</v>
      </c>
      <c r="E4495">
        <v>12</v>
      </c>
      <c r="F4495">
        <v>0</v>
      </c>
      <c r="G4495">
        <v>0</v>
      </c>
      <c r="H4495">
        <v>112</v>
      </c>
      <c r="I4495">
        <v>0</v>
      </c>
      <c r="J4495">
        <v>6.99</v>
      </c>
      <c r="K4495">
        <v>0</v>
      </c>
    </row>
    <row r="4496" spans="1:11" x14ac:dyDescent="0.2">
      <c r="A4496">
        <v>40805</v>
      </c>
      <c r="B4496">
        <v>291772</v>
      </c>
      <c r="C4496" t="s">
        <v>8009</v>
      </c>
      <c r="D4496">
        <v>6</v>
      </c>
      <c r="E4496">
        <v>6</v>
      </c>
      <c r="F4496">
        <v>0</v>
      </c>
      <c r="G4496">
        <v>0</v>
      </c>
      <c r="H4496">
        <v>91</v>
      </c>
      <c r="I4496">
        <v>0</v>
      </c>
      <c r="J4496">
        <v>14.99</v>
      </c>
      <c r="K4496">
        <v>0</v>
      </c>
    </row>
    <row r="4497" spans="1:11" x14ac:dyDescent="0.2">
      <c r="A4497">
        <v>25911</v>
      </c>
      <c r="B4497">
        <v>291779</v>
      </c>
      <c r="C4497" t="s">
        <v>8010</v>
      </c>
      <c r="D4497">
        <v>10</v>
      </c>
      <c r="E4497">
        <v>20</v>
      </c>
      <c r="F4497">
        <v>0</v>
      </c>
      <c r="G4497">
        <v>0</v>
      </c>
      <c r="H4497">
        <v>220</v>
      </c>
      <c r="I4497">
        <v>0</v>
      </c>
      <c r="J4497">
        <v>1.49</v>
      </c>
      <c r="K4497">
        <v>0</v>
      </c>
    </row>
    <row r="4498" spans="1:11" x14ac:dyDescent="0.2">
      <c r="A4498">
        <v>50363</v>
      </c>
      <c r="B4498">
        <v>291780</v>
      </c>
      <c r="C4498" t="s">
        <v>8011</v>
      </c>
      <c r="D4498">
        <v>10</v>
      </c>
      <c r="E4498">
        <v>8</v>
      </c>
      <c r="F4498">
        <v>0</v>
      </c>
      <c r="G4498">
        <v>0</v>
      </c>
      <c r="H4498">
        <v>121</v>
      </c>
      <c r="I4498">
        <v>0</v>
      </c>
      <c r="J4498">
        <v>6.99</v>
      </c>
      <c r="K4498">
        <v>0</v>
      </c>
    </row>
    <row r="4499" spans="1:11" x14ac:dyDescent="0.2">
      <c r="A4499">
        <v>51806</v>
      </c>
      <c r="B4499">
        <v>291789</v>
      </c>
      <c r="C4499" t="s">
        <v>8012</v>
      </c>
      <c r="D4499">
        <v>10</v>
      </c>
      <c r="E4499">
        <v>4</v>
      </c>
      <c r="F4499">
        <v>100</v>
      </c>
      <c r="G4499">
        <v>400</v>
      </c>
      <c r="H4499">
        <v>104</v>
      </c>
      <c r="I4499">
        <v>1</v>
      </c>
      <c r="J4499">
        <v>24.99</v>
      </c>
      <c r="K4499">
        <v>9996</v>
      </c>
    </row>
    <row r="4500" spans="1:11" x14ac:dyDescent="0.2">
      <c r="A4500">
        <v>43809</v>
      </c>
      <c r="B4500">
        <v>291791</v>
      </c>
      <c r="C4500" t="s">
        <v>8013</v>
      </c>
      <c r="D4500">
        <v>10</v>
      </c>
      <c r="E4500">
        <v>2</v>
      </c>
      <c r="F4500">
        <v>2</v>
      </c>
      <c r="G4500">
        <v>3</v>
      </c>
      <c r="H4500">
        <v>55</v>
      </c>
      <c r="I4500">
        <v>0</v>
      </c>
      <c r="J4500">
        <v>29.89</v>
      </c>
      <c r="K4500">
        <v>89.67</v>
      </c>
    </row>
    <row r="4501" spans="1:11" x14ac:dyDescent="0.2">
      <c r="A4501">
        <v>50364</v>
      </c>
      <c r="B4501">
        <v>291792</v>
      </c>
      <c r="C4501" t="s">
        <v>8014</v>
      </c>
      <c r="D4501">
        <v>10</v>
      </c>
      <c r="E4501">
        <v>4</v>
      </c>
      <c r="F4501">
        <v>0</v>
      </c>
      <c r="G4501">
        <v>0</v>
      </c>
      <c r="H4501">
        <v>112</v>
      </c>
      <c r="I4501">
        <v>0</v>
      </c>
      <c r="J4501">
        <v>19.989999999999998</v>
      </c>
      <c r="K4501">
        <v>0</v>
      </c>
    </row>
    <row r="4502" spans="1:11" x14ac:dyDescent="0.2">
      <c r="B4502">
        <v>291794</v>
      </c>
      <c r="C4502" t="s">
        <v>8015</v>
      </c>
      <c r="D4502">
        <v>10</v>
      </c>
      <c r="E4502">
        <v>10</v>
      </c>
      <c r="F4502">
        <v>0</v>
      </c>
      <c r="G4502">
        <v>0</v>
      </c>
      <c r="H4502">
        <v>210</v>
      </c>
      <c r="I4502">
        <v>0</v>
      </c>
      <c r="J4502">
        <v>4.99</v>
      </c>
      <c r="K4502">
        <v>0</v>
      </c>
    </row>
    <row r="4503" spans="1:11" x14ac:dyDescent="0.2">
      <c r="A4503">
        <v>37811</v>
      </c>
      <c r="B4503">
        <v>291795</v>
      </c>
      <c r="C4503" t="s">
        <v>8016</v>
      </c>
      <c r="D4503">
        <v>10</v>
      </c>
      <c r="E4503">
        <v>6</v>
      </c>
      <c r="F4503">
        <v>0</v>
      </c>
      <c r="G4503">
        <v>0</v>
      </c>
      <c r="H4503">
        <v>48</v>
      </c>
      <c r="I4503">
        <v>0</v>
      </c>
      <c r="J4503">
        <v>16.989999999999998</v>
      </c>
      <c r="K4503">
        <v>0</v>
      </c>
    </row>
    <row r="4504" spans="1:11" x14ac:dyDescent="0.2">
      <c r="A4504">
        <v>47909</v>
      </c>
      <c r="B4504">
        <v>291796</v>
      </c>
      <c r="C4504" t="s">
        <v>8017</v>
      </c>
      <c r="D4504">
        <v>11</v>
      </c>
      <c r="E4504">
        <v>36</v>
      </c>
      <c r="F4504">
        <v>0</v>
      </c>
      <c r="G4504">
        <v>0</v>
      </c>
      <c r="H4504">
        <v>64</v>
      </c>
      <c r="I4504">
        <v>0</v>
      </c>
      <c r="J4504">
        <v>1</v>
      </c>
      <c r="K4504">
        <v>0</v>
      </c>
    </row>
    <row r="4505" spans="1:11" x14ac:dyDescent="0.2">
      <c r="A4505">
        <v>41401</v>
      </c>
      <c r="B4505">
        <v>291802</v>
      </c>
      <c r="C4505" t="s">
        <v>8018</v>
      </c>
      <c r="D4505">
        <v>10</v>
      </c>
      <c r="E4505">
        <v>12</v>
      </c>
      <c r="F4505">
        <v>-2</v>
      </c>
      <c r="G4505">
        <v>-24</v>
      </c>
      <c r="H4505">
        <v>176</v>
      </c>
      <c r="I4505">
        <v>0</v>
      </c>
      <c r="J4505">
        <v>1</v>
      </c>
      <c r="K4505">
        <v>-24</v>
      </c>
    </row>
    <row r="4506" spans="1:11" x14ac:dyDescent="0.2">
      <c r="A4506">
        <v>47917</v>
      </c>
      <c r="B4506">
        <v>291804</v>
      </c>
      <c r="C4506" t="s">
        <v>8019</v>
      </c>
      <c r="D4506">
        <v>10</v>
      </c>
      <c r="E4506">
        <v>20</v>
      </c>
      <c r="F4506">
        <v>0</v>
      </c>
      <c r="G4506">
        <v>0</v>
      </c>
      <c r="H4506">
        <v>77</v>
      </c>
      <c r="I4506">
        <v>0</v>
      </c>
      <c r="J4506">
        <v>1</v>
      </c>
      <c r="K4506">
        <v>0</v>
      </c>
    </row>
    <row r="4507" spans="1:11" x14ac:dyDescent="0.2">
      <c r="A4507">
        <v>38834</v>
      </c>
      <c r="B4507">
        <v>291812</v>
      </c>
      <c r="C4507" t="s">
        <v>8020</v>
      </c>
      <c r="D4507">
        <v>10</v>
      </c>
      <c r="E4507">
        <v>4</v>
      </c>
      <c r="F4507">
        <v>0</v>
      </c>
      <c r="G4507">
        <v>0</v>
      </c>
      <c r="H4507">
        <v>77</v>
      </c>
      <c r="I4507">
        <v>0</v>
      </c>
      <c r="J4507">
        <v>29.99</v>
      </c>
      <c r="K4507">
        <v>0</v>
      </c>
    </row>
    <row r="4508" spans="1:11" x14ac:dyDescent="0.2">
      <c r="A4508">
        <v>38835</v>
      </c>
      <c r="B4508">
        <v>291814</v>
      </c>
      <c r="C4508" t="s">
        <v>8021</v>
      </c>
      <c r="D4508">
        <v>10</v>
      </c>
      <c r="E4508">
        <v>6</v>
      </c>
      <c r="F4508">
        <v>0</v>
      </c>
      <c r="G4508">
        <v>0</v>
      </c>
      <c r="H4508">
        <v>36</v>
      </c>
      <c r="I4508">
        <v>0</v>
      </c>
      <c r="J4508">
        <v>14.99</v>
      </c>
      <c r="K4508">
        <v>0</v>
      </c>
    </row>
    <row r="4509" spans="1:11" x14ac:dyDescent="0.2">
      <c r="A4509">
        <v>38836</v>
      </c>
      <c r="B4509">
        <v>291816</v>
      </c>
      <c r="C4509" t="s">
        <v>8022</v>
      </c>
      <c r="D4509">
        <v>10</v>
      </c>
      <c r="E4509">
        <v>1</v>
      </c>
      <c r="F4509">
        <v>-1</v>
      </c>
      <c r="G4509">
        <v>-1</v>
      </c>
      <c r="H4509">
        <v>27</v>
      </c>
      <c r="I4509">
        <v>0</v>
      </c>
      <c r="J4509">
        <v>58.99</v>
      </c>
      <c r="K4509">
        <v>-58.99</v>
      </c>
    </row>
    <row r="4510" spans="1:11" x14ac:dyDescent="0.2">
      <c r="A4510">
        <v>35912</v>
      </c>
      <c r="B4510">
        <v>291818</v>
      </c>
      <c r="C4510" t="s">
        <v>8023</v>
      </c>
      <c r="D4510">
        <v>10</v>
      </c>
      <c r="E4510">
        <v>6</v>
      </c>
      <c r="F4510">
        <v>0</v>
      </c>
      <c r="G4510">
        <v>0</v>
      </c>
      <c r="H4510">
        <v>16</v>
      </c>
      <c r="I4510">
        <v>0</v>
      </c>
      <c r="J4510">
        <v>9.99</v>
      </c>
      <c r="K4510">
        <v>0</v>
      </c>
    </row>
    <row r="4511" spans="1:11" x14ac:dyDescent="0.2">
      <c r="A4511">
        <v>29831</v>
      </c>
      <c r="B4511">
        <v>291822</v>
      </c>
      <c r="C4511" t="s">
        <v>8024</v>
      </c>
      <c r="D4511">
        <v>10</v>
      </c>
      <c r="E4511">
        <v>2</v>
      </c>
      <c r="F4511">
        <v>0</v>
      </c>
      <c r="G4511">
        <v>0</v>
      </c>
      <c r="H4511">
        <v>16</v>
      </c>
      <c r="I4511">
        <v>0</v>
      </c>
      <c r="J4511">
        <v>64.989999999999995</v>
      </c>
      <c r="K4511">
        <v>0</v>
      </c>
    </row>
    <row r="4512" spans="1:11" x14ac:dyDescent="0.2">
      <c r="A4512">
        <v>25902</v>
      </c>
      <c r="B4512">
        <v>291838</v>
      </c>
      <c r="C4512" t="s">
        <v>8025</v>
      </c>
      <c r="D4512">
        <v>10</v>
      </c>
      <c r="E4512">
        <v>19</v>
      </c>
      <c r="F4512">
        <v>0</v>
      </c>
      <c r="G4512">
        <v>0</v>
      </c>
      <c r="H4512">
        <v>24</v>
      </c>
      <c r="I4512">
        <v>0</v>
      </c>
      <c r="J4512">
        <v>1</v>
      </c>
      <c r="K4512">
        <v>0</v>
      </c>
    </row>
    <row r="4513" spans="1:11" x14ac:dyDescent="0.2">
      <c r="A4513">
        <v>30812</v>
      </c>
      <c r="B4513">
        <v>291853</v>
      </c>
      <c r="C4513" t="s">
        <v>8026</v>
      </c>
      <c r="D4513">
        <v>10</v>
      </c>
      <c r="E4513">
        <v>1</v>
      </c>
      <c r="F4513">
        <v>0</v>
      </c>
      <c r="G4513">
        <v>0</v>
      </c>
      <c r="H4513">
        <v>12</v>
      </c>
      <c r="I4513">
        <v>0</v>
      </c>
      <c r="J4513">
        <v>109</v>
      </c>
      <c r="K4513">
        <v>0</v>
      </c>
    </row>
    <row r="4514" spans="1:11" x14ac:dyDescent="0.2">
      <c r="A4514">
        <v>52001</v>
      </c>
      <c r="B4514">
        <v>291879</v>
      </c>
      <c r="C4514" t="s">
        <v>8027</v>
      </c>
      <c r="D4514">
        <v>10</v>
      </c>
      <c r="E4514">
        <v>6</v>
      </c>
      <c r="F4514">
        <v>382</v>
      </c>
      <c r="G4514">
        <v>2292</v>
      </c>
      <c r="H4514">
        <v>100</v>
      </c>
      <c r="I4514">
        <v>3.8</v>
      </c>
      <c r="J4514">
        <v>21.99</v>
      </c>
      <c r="K4514">
        <v>50401.08</v>
      </c>
    </row>
    <row r="4515" spans="1:11" x14ac:dyDescent="0.2">
      <c r="A4515">
        <v>50015</v>
      </c>
      <c r="B4515">
        <v>291883</v>
      </c>
      <c r="C4515" t="s">
        <v>8028</v>
      </c>
      <c r="D4515">
        <v>10</v>
      </c>
      <c r="E4515">
        <v>6</v>
      </c>
      <c r="F4515">
        <v>0</v>
      </c>
      <c r="G4515">
        <v>0</v>
      </c>
      <c r="H4515">
        <v>131</v>
      </c>
      <c r="I4515">
        <v>0</v>
      </c>
      <c r="J4515">
        <v>12.99</v>
      </c>
      <c r="K4515">
        <v>0</v>
      </c>
    </row>
    <row r="4516" spans="1:11" x14ac:dyDescent="0.2">
      <c r="A4516">
        <v>35913</v>
      </c>
      <c r="B4516">
        <v>291895</v>
      </c>
      <c r="C4516" t="s">
        <v>8029</v>
      </c>
      <c r="D4516">
        <v>10</v>
      </c>
      <c r="E4516">
        <v>6</v>
      </c>
      <c r="F4516">
        <v>0</v>
      </c>
      <c r="G4516">
        <v>0</v>
      </c>
      <c r="H4516">
        <v>152</v>
      </c>
      <c r="I4516">
        <v>0</v>
      </c>
      <c r="J4516">
        <v>16.989999999999998</v>
      </c>
      <c r="K4516">
        <v>0</v>
      </c>
    </row>
    <row r="4517" spans="1:11" x14ac:dyDescent="0.2">
      <c r="A4517">
        <v>52002</v>
      </c>
      <c r="B4517">
        <v>291922</v>
      </c>
      <c r="C4517" t="s">
        <v>8030</v>
      </c>
      <c r="D4517">
        <v>10</v>
      </c>
      <c r="E4517">
        <v>6</v>
      </c>
      <c r="F4517">
        <v>240</v>
      </c>
      <c r="G4517">
        <v>1440</v>
      </c>
      <c r="H4517">
        <v>36</v>
      </c>
      <c r="I4517">
        <v>6.7</v>
      </c>
      <c r="J4517">
        <v>24.99</v>
      </c>
      <c r="K4517">
        <v>35985.599999999999</v>
      </c>
    </row>
    <row r="4518" spans="1:11" x14ac:dyDescent="0.2">
      <c r="A4518">
        <v>25831</v>
      </c>
      <c r="B4518">
        <v>291944</v>
      </c>
      <c r="C4518" t="s">
        <v>7956</v>
      </c>
      <c r="D4518">
        <v>10</v>
      </c>
      <c r="E4518">
        <v>4</v>
      </c>
      <c r="F4518">
        <v>0</v>
      </c>
      <c r="G4518">
        <v>0</v>
      </c>
      <c r="H4518">
        <v>64</v>
      </c>
      <c r="I4518">
        <v>0</v>
      </c>
      <c r="J4518">
        <v>21.99</v>
      </c>
      <c r="K4518">
        <v>0</v>
      </c>
    </row>
    <row r="4519" spans="1:11" x14ac:dyDescent="0.2">
      <c r="A4519">
        <v>50365</v>
      </c>
      <c r="B4519">
        <v>291947</v>
      </c>
      <c r="C4519" t="s">
        <v>7913</v>
      </c>
      <c r="D4519">
        <v>10</v>
      </c>
      <c r="E4519">
        <v>3</v>
      </c>
      <c r="F4519">
        <v>0</v>
      </c>
      <c r="G4519">
        <v>0</v>
      </c>
      <c r="H4519">
        <v>128</v>
      </c>
      <c r="I4519">
        <v>0</v>
      </c>
      <c r="J4519">
        <v>26.99</v>
      </c>
      <c r="K4519">
        <v>0</v>
      </c>
    </row>
    <row r="4520" spans="1:11" x14ac:dyDescent="0.2">
      <c r="A4520">
        <v>40806</v>
      </c>
      <c r="B4520">
        <v>291948</v>
      </c>
      <c r="C4520" t="s">
        <v>7951</v>
      </c>
      <c r="D4520">
        <v>6</v>
      </c>
      <c r="E4520">
        <v>3</v>
      </c>
      <c r="F4520">
        <v>0</v>
      </c>
      <c r="G4520">
        <v>0</v>
      </c>
      <c r="H4520">
        <v>190</v>
      </c>
      <c r="I4520">
        <v>0</v>
      </c>
      <c r="J4520">
        <v>29.99</v>
      </c>
      <c r="K4520">
        <v>0</v>
      </c>
    </row>
    <row r="4521" spans="1:11" x14ac:dyDescent="0.2">
      <c r="A4521">
        <v>46807</v>
      </c>
      <c r="B4521">
        <v>291985</v>
      </c>
      <c r="C4521" t="s">
        <v>8031</v>
      </c>
      <c r="D4521">
        <v>10</v>
      </c>
      <c r="E4521">
        <v>2</v>
      </c>
      <c r="F4521">
        <v>1</v>
      </c>
      <c r="G4521">
        <v>1</v>
      </c>
      <c r="H4521">
        <v>16</v>
      </c>
      <c r="I4521">
        <v>0</v>
      </c>
      <c r="J4521">
        <v>44.99</v>
      </c>
      <c r="K4521">
        <v>44.99</v>
      </c>
    </row>
    <row r="4522" spans="1:11" x14ac:dyDescent="0.2">
      <c r="A4522">
        <v>50366</v>
      </c>
      <c r="B4522">
        <v>291991</v>
      </c>
      <c r="C4522" t="s">
        <v>7743</v>
      </c>
      <c r="D4522">
        <v>10</v>
      </c>
      <c r="E4522">
        <v>6</v>
      </c>
      <c r="F4522">
        <v>0</v>
      </c>
      <c r="G4522">
        <v>0</v>
      </c>
      <c r="H4522">
        <v>10</v>
      </c>
      <c r="I4522">
        <v>0</v>
      </c>
      <c r="J4522">
        <v>23.99</v>
      </c>
      <c r="K4522">
        <v>0</v>
      </c>
    </row>
    <row r="4523" spans="1:11" x14ac:dyDescent="0.2">
      <c r="A4523">
        <v>45803</v>
      </c>
      <c r="B4523">
        <v>291993</v>
      </c>
      <c r="C4523" t="s">
        <v>8032</v>
      </c>
      <c r="D4523">
        <v>10</v>
      </c>
      <c r="E4523">
        <v>3</v>
      </c>
      <c r="F4523">
        <v>1</v>
      </c>
      <c r="G4523">
        <v>3</v>
      </c>
      <c r="H4523">
        <v>45</v>
      </c>
      <c r="I4523">
        <v>0</v>
      </c>
      <c r="J4523">
        <v>14.99</v>
      </c>
      <c r="K4523">
        <v>44.97</v>
      </c>
    </row>
    <row r="4524" spans="1:11" x14ac:dyDescent="0.2">
      <c r="A4524">
        <v>30814</v>
      </c>
      <c r="B4524">
        <v>291998</v>
      </c>
      <c r="C4524" t="s">
        <v>8033</v>
      </c>
      <c r="D4524">
        <v>10</v>
      </c>
      <c r="E4524">
        <v>24</v>
      </c>
      <c r="F4524">
        <v>0</v>
      </c>
      <c r="G4524">
        <v>0</v>
      </c>
      <c r="H4524">
        <v>40</v>
      </c>
      <c r="I4524">
        <v>0</v>
      </c>
      <c r="J4524">
        <v>3.99</v>
      </c>
      <c r="K4524">
        <v>0</v>
      </c>
    </row>
    <row r="4525" spans="1:11" x14ac:dyDescent="0.2">
      <c r="A4525">
        <v>41807</v>
      </c>
      <c r="B4525">
        <v>292017</v>
      </c>
      <c r="C4525" t="s">
        <v>8034</v>
      </c>
      <c r="D4525">
        <v>10</v>
      </c>
      <c r="E4525">
        <v>6</v>
      </c>
      <c r="F4525">
        <v>0</v>
      </c>
      <c r="G4525">
        <v>0</v>
      </c>
      <c r="H4525">
        <v>15</v>
      </c>
      <c r="I4525">
        <v>0</v>
      </c>
      <c r="J4525">
        <v>17.989999999999998</v>
      </c>
      <c r="K4525">
        <v>0</v>
      </c>
    </row>
    <row r="4526" spans="1:11" x14ac:dyDescent="0.2">
      <c r="A4526">
        <v>41808</v>
      </c>
      <c r="B4526">
        <v>292018</v>
      </c>
      <c r="C4526" t="s">
        <v>8035</v>
      </c>
      <c r="D4526">
        <v>10</v>
      </c>
      <c r="E4526">
        <v>6</v>
      </c>
      <c r="F4526">
        <v>0</v>
      </c>
      <c r="G4526">
        <v>0</v>
      </c>
      <c r="H4526">
        <v>28</v>
      </c>
      <c r="I4526">
        <v>0</v>
      </c>
      <c r="J4526">
        <v>14.99</v>
      </c>
      <c r="K4526">
        <v>0</v>
      </c>
    </row>
    <row r="4527" spans="1:11" x14ac:dyDescent="0.2">
      <c r="A4527">
        <v>35914</v>
      </c>
      <c r="B4527">
        <v>292019</v>
      </c>
      <c r="C4527" t="s">
        <v>7534</v>
      </c>
      <c r="D4527">
        <v>10</v>
      </c>
      <c r="E4527">
        <v>8</v>
      </c>
      <c r="F4527">
        <v>0</v>
      </c>
      <c r="G4527">
        <v>0</v>
      </c>
      <c r="H4527">
        <v>100</v>
      </c>
      <c r="I4527">
        <v>0</v>
      </c>
      <c r="J4527">
        <v>19.989999999999998</v>
      </c>
      <c r="K4527">
        <v>0</v>
      </c>
    </row>
    <row r="4528" spans="1:11" x14ac:dyDescent="0.2">
      <c r="A4528">
        <v>50367</v>
      </c>
      <c r="B4528">
        <v>292023</v>
      </c>
      <c r="C4528" t="s">
        <v>8036</v>
      </c>
      <c r="D4528">
        <v>10</v>
      </c>
      <c r="E4528">
        <v>24</v>
      </c>
      <c r="F4528">
        <v>0</v>
      </c>
      <c r="G4528">
        <v>0</v>
      </c>
      <c r="H4528">
        <v>120</v>
      </c>
      <c r="I4528">
        <v>0</v>
      </c>
      <c r="J4528">
        <v>4.99</v>
      </c>
      <c r="K4528">
        <v>0</v>
      </c>
    </row>
    <row r="4529" spans="1:11" x14ac:dyDescent="0.2">
      <c r="A4529">
        <v>50368</v>
      </c>
      <c r="B4529">
        <v>292028</v>
      </c>
      <c r="C4529" t="s">
        <v>8037</v>
      </c>
      <c r="D4529">
        <v>10</v>
      </c>
      <c r="E4529">
        <v>8</v>
      </c>
      <c r="F4529">
        <v>0</v>
      </c>
      <c r="G4529">
        <v>0</v>
      </c>
      <c r="H4529">
        <v>42</v>
      </c>
      <c r="I4529">
        <v>0</v>
      </c>
      <c r="J4529">
        <v>11.99</v>
      </c>
      <c r="K4529">
        <v>0</v>
      </c>
    </row>
    <row r="4530" spans="1:11" x14ac:dyDescent="0.2">
      <c r="A4530">
        <v>47807</v>
      </c>
      <c r="B4530">
        <v>292052</v>
      </c>
      <c r="C4530" t="s">
        <v>8038</v>
      </c>
      <c r="D4530">
        <v>10</v>
      </c>
      <c r="E4530">
        <v>12</v>
      </c>
      <c r="F4530">
        <v>0</v>
      </c>
      <c r="G4530">
        <v>0</v>
      </c>
      <c r="H4530">
        <v>99</v>
      </c>
      <c r="I4530">
        <v>0</v>
      </c>
      <c r="J4530">
        <v>8.99</v>
      </c>
      <c r="K4530">
        <v>0</v>
      </c>
    </row>
    <row r="4531" spans="1:11" x14ac:dyDescent="0.2">
      <c r="A4531">
        <v>33812</v>
      </c>
      <c r="B4531">
        <v>292053</v>
      </c>
      <c r="C4531" t="s">
        <v>8039</v>
      </c>
      <c r="D4531">
        <v>10</v>
      </c>
      <c r="E4531">
        <v>6</v>
      </c>
      <c r="F4531">
        <v>0</v>
      </c>
      <c r="G4531">
        <v>0</v>
      </c>
      <c r="H4531">
        <v>42</v>
      </c>
      <c r="I4531">
        <v>0</v>
      </c>
      <c r="J4531">
        <v>15.99</v>
      </c>
      <c r="K4531">
        <v>0</v>
      </c>
    </row>
    <row r="4532" spans="1:11" x14ac:dyDescent="0.2">
      <c r="A4532">
        <v>33813</v>
      </c>
      <c r="B4532">
        <v>292054</v>
      </c>
      <c r="C4532" t="s">
        <v>7961</v>
      </c>
      <c r="D4532">
        <v>10</v>
      </c>
      <c r="E4532">
        <v>6</v>
      </c>
      <c r="F4532">
        <v>0</v>
      </c>
      <c r="G4532">
        <v>0</v>
      </c>
      <c r="H4532">
        <v>94</v>
      </c>
      <c r="I4532">
        <v>0</v>
      </c>
      <c r="J4532">
        <v>9.49</v>
      </c>
      <c r="K4532">
        <v>0</v>
      </c>
    </row>
    <row r="4533" spans="1:11" x14ac:dyDescent="0.2">
      <c r="A4533">
        <v>28829</v>
      </c>
      <c r="B4533">
        <v>292056</v>
      </c>
      <c r="C4533" t="s">
        <v>8040</v>
      </c>
      <c r="D4533">
        <v>10</v>
      </c>
      <c r="E4533">
        <v>1</v>
      </c>
      <c r="F4533">
        <v>0</v>
      </c>
      <c r="G4533">
        <v>0</v>
      </c>
      <c r="H4533">
        <v>34</v>
      </c>
      <c r="I4533">
        <v>0</v>
      </c>
      <c r="J4533">
        <v>16.989999999999998</v>
      </c>
      <c r="K4533">
        <v>0</v>
      </c>
    </row>
    <row r="4534" spans="1:11" x14ac:dyDescent="0.2">
      <c r="A4534">
        <v>41809</v>
      </c>
      <c r="B4534">
        <v>292065</v>
      </c>
      <c r="C4534" t="s">
        <v>8041</v>
      </c>
      <c r="D4534">
        <v>10</v>
      </c>
      <c r="E4534">
        <v>8</v>
      </c>
      <c r="F4534">
        <v>0</v>
      </c>
      <c r="G4534">
        <v>0</v>
      </c>
      <c r="H4534">
        <v>36</v>
      </c>
      <c r="I4534">
        <v>0</v>
      </c>
      <c r="J4534">
        <v>12.99</v>
      </c>
      <c r="K4534">
        <v>0</v>
      </c>
    </row>
    <row r="4535" spans="1:11" x14ac:dyDescent="0.2">
      <c r="A4535">
        <v>29832</v>
      </c>
      <c r="B4535">
        <v>292066</v>
      </c>
      <c r="C4535" t="s">
        <v>8042</v>
      </c>
      <c r="D4535">
        <v>6</v>
      </c>
      <c r="E4535">
        <v>10</v>
      </c>
      <c r="F4535">
        <v>0</v>
      </c>
      <c r="G4535">
        <v>0</v>
      </c>
      <c r="H4535">
        <v>72</v>
      </c>
      <c r="I4535">
        <v>0</v>
      </c>
      <c r="J4535">
        <v>5.99</v>
      </c>
      <c r="K4535">
        <v>0</v>
      </c>
    </row>
    <row r="4536" spans="1:11" x14ac:dyDescent="0.2">
      <c r="A4536">
        <v>29833</v>
      </c>
      <c r="B4536">
        <v>292069</v>
      </c>
      <c r="C4536" t="s">
        <v>8043</v>
      </c>
      <c r="D4536">
        <v>10</v>
      </c>
      <c r="E4536">
        <v>12</v>
      </c>
      <c r="F4536">
        <v>0</v>
      </c>
      <c r="G4536">
        <v>0</v>
      </c>
      <c r="H4536">
        <v>36</v>
      </c>
      <c r="I4536">
        <v>0</v>
      </c>
      <c r="J4536">
        <v>11.99</v>
      </c>
      <c r="K4536">
        <v>0</v>
      </c>
    </row>
    <row r="4537" spans="1:11" x14ac:dyDescent="0.2">
      <c r="A4537">
        <v>29834</v>
      </c>
      <c r="B4537">
        <v>292071</v>
      </c>
      <c r="C4537" t="s">
        <v>8044</v>
      </c>
      <c r="D4537">
        <v>10</v>
      </c>
      <c r="E4537">
        <v>12</v>
      </c>
      <c r="F4537">
        <v>0</v>
      </c>
      <c r="G4537">
        <v>0</v>
      </c>
      <c r="H4537">
        <v>24</v>
      </c>
      <c r="I4537">
        <v>0</v>
      </c>
      <c r="J4537">
        <v>4.99</v>
      </c>
      <c r="K4537">
        <v>0</v>
      </c>
    </row>
    <row r="4538" spans="1:11" x14ac:dyDescent="0.2">
      <c r="A4538">
        <v>27816</v>
      </c>
      <c r="B4538">
        <v>292073</v>
      </c>
      <c r="C4538" t="s">
        <v>8045</v>
      </c>
      <c r="D4538">
        <v>11</v>
      </c>
      <c r="E4538">
        <v>18</v>
      </c>
      <c r="F4538">
        <v>0</v>
      </c>
      <c r="G4538">
        <v>0</v>
      </c>
      <c r="H4538">
        <v>30</v>
      </c>
      <c r="I4538">
        <v>0</v>
      </c>
      <c r="J4538">
        <v>4.99</v>
      </c>
      <c r="K4538">
        <v>0</v>
      </c>
    </row>
    <row r="4539" spans="1:11" x14ac:dyDescent="0.2">
      <c r="A4539">
        <v>52003</v>
      </c>
      <c r="B4539">
        <v>292077</v>
      </c>
      <c r="C4539" t="s">
        <v>8046</v>
      </c>
      <c r="D4539">
        <v>10</v>
      </c>
      <c r="E4539">
        <v>9</v>
      </c>
      <c r="F4539">
        <v>300</v>
      </c>
      <c r="G4539">
        <v>2700</v>
      </c>
      <c r="H4539">
        <v>100</v>
      </c>
      <c r="I4539">
        <v>3</v>
      </c>
      <c r="J4539">
        <v>8.99</v>
      </c>
      <c r="K4539">
        <v>24273</v>
      </c>
    </row>
    <row r="4540" spans="1:11" x14ac:dyDescent="0.2">
      <c r="A4540">
        <v>25940</v>
      </c>
      <c r="B4540">
        <v>292081</v>
      </c>
      <c r="C4540" t="s">
        <v>8047</v>
      </c>
      <c r="D4540">
        <v>10</v>
      </c>
      <c r="E4540">
        <v>10</v>
      </c>
      <c r="F4540">
        <v>0</v>
      </c>
      <c r="G4540">
        <v>0</v>
      </c>
      <c r="H4540">
        <v>184</v>
      </c>
      <c r="I4540">
        <v>0</v>
      </c>
      <c r="J4540">
        <v>1</v>
      </c>
      <c r="K4540">
        <v>0</v>
      </c>
    </row>
    <row r="4541" spans="1:11" x14ac:dyDescent="0.2">
      <c r="A4541">
        <v>52004</v>
      </c>
      <c r="B4541">
        <v>292086</v>
      </c>
      <c r="C4541" t="s">
        <v>8048</v>
      </c>
      <c r="D4541">
        <v>10</v>
      </c>
      <c r="E4541">
        <v>9</v>
      </c>
      <c r="F4541">
        <v>288</v>
      </c>
      <c r="G4541">
        <v>2592</v>
      </c>
      <c r="H4541">
        <v>36</v>
      </c>
      <c r="I4541">
        <v>8</v>
      </c>
      <c r="J4541">
        <v>9.99</v>
      </c>
      <c r="K4541">
        <v>25894.080000000002</v>
      </c>
    </row>
    <row r="4542" spans="1:11" x14ac:dyDescent="0.2">
      <c r="B4542">
        <v>292093</v>
      </c>
      <c r="C4542" t="s">
        <v>8049</v>
      </c>
      <c r="D4542">
        <v>10</v>
      </c>
      <c r="E4542">
        <v>8</v>
      </c>
      <c r="F4542">
        <v>0</v>
      </c>
      <c r="G4542">
        <v>0</v>
      </c>
      <c r="H4542">
        <v>55</v>
      </c>
      <c r="I4542">
        <v>0</v>
      </c>
      <c r="J4542">
        <v>12.99</v>
      </c>
      <c r="K4542">
        <v>0</v>
      </c>
    </row>
    <row r="4543" spans="1:11" x14ac:dyDescent="0.2">
      <c r="A4543">
        <v>29835</v>
      </c>
      <c r="B4543">
        <v>292100</v>
      </c>
      <c r="C4543" t="s">
        <v>8050</v>
      </c>
      <c r="D4543">
        <v>10</v>
      </c>
      <c r="E4543">
        <v>6</v>
      </c>
      <c r="F4543">
        <v>0</v>
      </c>
      <c r="G4543">
        <v>0</v>
      </c>
      <c r="H4543">
        <v>9</v>
      </c>
      <c r="I4543">
        <v>0</v>
      </c>
      <c r="J4543">
        <v>11.99</v>
      </c>
      <c r="K4543">
        <v>0</v>
      </c>
    </row>
    <row r="4544" spans="1:11" x14ac:dyDescent="0.2">
      <c r="B4544">
        <v>292108</v>
      </c>
      <c r="C4544" t="s">
        <v>8051</v>
      </c>
      <c r="D4544">
        <v>12</v>
      </c>
      <c r="E4544">
        <v>15</v>
      </c>
      <c r="F4544">
        <v>0</v>
      </c>
      <c r="G4544">
        <v>0</v>
      </c>
      <c r="H4544">
        <v>153</v>
      </c>
      <c r="I4544">
        <v>0</v>
      </c>
      <c r="J4544">
        <v>4.99</v>
      </c>
      <c r="K4544">
        <v>0</v>
      </c>
    </row>
    <row r="4545" spans="1:11" x14ac:dyDescent="0.2">
      <c r="A4545">
        <v>30815</v>
      </c>
      <c r="B4545">
        <v>292111</v>
      </c>
      <c r="C4545" t="s">
        <v>8052</v>
      </c>
      <c r="D4545">
        <v>10</v>
      </c>
      <c r="E4545">
        <v>12</v>
      </c>
      <c r="F4545">
        <v>0</v>
      </c>
      <c r="G4545">
        <v>0</v>
      </c>
      <c r="H4545">
        <v>8</v>
      </c>
      <c r="I4545">
        <v>0</v>
      </c>
      <c r="J4545">
        <v>11.99</v>
      </c>
      <c r="K4545">
        <v>0</v>
      </c>
    </row>
    <row r="4546" spans="1:11" x14ac:dyDescent="0.2">
      <c r="A4546">
        <v>32805</v>
      </c>
      <c r="B4546">
        <v>292113</v>
      </c>
      <c r="C4546" t="s">
        <v>8053</v>
      </c>
      <c r="D4546">
        <v>10</v>
      </c>
      <c r="E4546">
        <v>1</v>
      </c>
      <c r="F4546">
        <v>0</v>
      </c>
      <c r="G4546">
        <v>0</v>
      </c>
      <c r="H4546">
        <v>72</v>
      </c>
      <c r="I4546">
        <v>0</v>
      </c>
      <c r="J4546">
        <v>19.989999999999998</v>
      </c>
      <c r="K4546">
        <v>0</v>
      </c>
    </row>
    <row r="4547" spans="1:11" x14ac:dyDescent="0.2">
      <c r="A4547">
        <v>30816</v>
      </c>
      <c r="B4547">
        <v>292122</v>
      </c>
      <c r="C4547" t="s">
        <v>7549</v>
      </c>
      <c r="D4547">
        <v>10</v>
      </c>
      <c r="E4547">
        <v>3</v>
      </c>
      <c r="F4547">
        <v>0</v>
      </c>
      <c r="G4547">
        <v>0</v>
      </c>
      <c r="H4547">
        <v>6</v>
      </c>
      <c r="I4547">
        <v>0</v>
      </c>
      <c r="J4547">
        <v>44.99</v>
      </c>
      <c r="K4547">
        <v>0</v>
      </c>
    </row>
    <row r="4548" spans="1:11" x14ac:dyDescent="0.2">
      <c r="A4548">
        <v>30817</v>
      </c>
      <c r="B4548">
        <v>292123</v>
      </c>
      <c r="C4548" t="s">
        <v>8054</v>
      </c>
      <c r="D4548">
        <v>10</v>
      </c>
      <c r="E4548">
        <v>12</v>
      </c>
      <c r="F4548">
        <v>0</v>
      </c>
      <c r="G4548">
        <v>0</v>
      </c>
      <c r="H4548">
        <v>78</v>
      </c>
      <c r="I4548">
        <v>0</v>
      </c>
      <c r="J4548">
        <v>3.99</v>
      </c>
      <c r="K4548">
        <v>0</v>
      </c>
    </row>
    <row r="4549" spans="1:11" x14ac:dyDescent="0.2">
      <c r="A4549">
        <v>35915</v>
      </c>
      <c r="B4549">
        <v>292137</v>
      </c>
      <c r="C4549" t="s">
        <v>8055</v>
      </c>
      <c r="D4549">
        <v>10</v>
      </c>
      <c r="E4549">
        <v>4</v>
      </c>
      <c r="F4549">
        <v>0</v>
      </c>
      <c r="G4549">
        <v>0</v>
      </c>
      <c r="H4549">
        <v>24</v>
      </c>
      <c r="I4549">
        <v>0</v>
      </c>
      <c r="J4549">
        <v>19.989999999999998</v>
      </c>
      <c r="K4549">
        <v>0</v>
      </c>
    </row>
    <row r="4550" spans="1:11" x14ac:dyDescent="0.2">
      <c r="A4550">
        <v>25901</v>
      </c>
      <c r="B4550">
        <v>292157</v>
      </c>
      <c r="C4550" t="s">
        <v>8056</v>
      </c>
      <c r="D4550">
        <v>10</v>
      </c>
      <c r="E4550">
        <v>16</v>
      </c>
      <c r="F4550">
        <v>0</v>
      </c>
      <c r="G4550">
        <v>0</v>
      </c>
      <c r="H4550">
        <v>84</v>
      </c>
      <c r="I4550">
        <v>0</v>
      </c>
      <c r="J4550">
        <v>1</v>
      </c>
      <c r="K4550">
        <v>0</v>
      </c>
    </row>
    <row r="4551" spans="1:11" x14ac:dyDescent="0.2">
      <c r="A4551">
        <v>30818</v>
      </c>
      <c r="B4551">
        <v>292168</v>
      </c>
      <c r="C4551" t="s">
        <v>8057</v>
      </c>
      <c r="D4551">
        <v>10</v>
      </c>
      <c r="E4551">
        <v>4</v>
      </c>
      <c r="F4551">
        <v>0</v>
      </c>
      <c r="G4551">
        <v>0</v>
      </c>
      <c r="H4551">
        <v>110</v>
      </c>
      <c r="I4551">
        <v>0</v>
      </c>
      <c r="J4551">
        <v>19.989999999999998</v>
      </c>
      <c r="K4551">
        <v>0</v>
      </c>
    </row>
    <row r="4552" spans="1:11" x14ac:dyDescent="0.2">
      <c r="A4552">
        <v>30819</v>
      </c>
      <c r="B4552">
        <v>292170</v>
      </c>
      <c r="C4552" t="s">
        <v>8058</v>
      </c>
      <c r="D4552">
        <v>10</v>
      </c>
      <c r="E4552">
        <v>4</v>
      </c>
      <c r="F4552">
        <v>0</v>
      </c>
      <c r="G4552">
        <v>0</v>
      </c>
      <c r="H4552">
        <v>70</v>
      </c>
      <c r="I4552">
        <v>0</v>
      </c>
      <c r="J4552">
        <v>22.99</v>
      </c>
      <c r="K4552">
        <v>0</v>
      </c>
    </row>
    <row r="4553" spans="1:11" x14ac:dyDescent="0.2">
      <c r="A4553">
        <v>42802</v>
      </c>
      <c r="B4553">
        <v>292175</v>
      </c>
      <c r="C4553" t="s">
        <v>8059</v>
      </c>
      <c r="D4553">
        <v>10</v>
      </c>
      <c r="E4553">
        <v>4</v>
      </c>
      <c r="F4553">
        <v>0</v>
      </c>
      <c r="G4553">
        <v>0</v>
      </c>
      <c r="H4553">
        <v>45</v>
      </c>
      <c r="I4553">
        <v>0</v>
      </c>
      <c r="J4553">
        <v>21.99</v>
      </c>
      <c r="K4553">
        <v>0</v>
      </c>
    </row>
    <row r="4554" spans="1:11" x14ac:dyDescent="0.2">
      <c r="A4554">
        <v>35916</v>
      </c>
      <c r="B4554">
        <v>292178</v>
      </c>
      <c r="C4554" t="s">
        <v>8060</v>
      </c>
      <c r="D4554">
        <v>10</v>
      </c>
      <c r="E4554">
        <v>6</v>
      </c>
      <c r="F4554">
        <v>0</v>
      </c>
      <c r="G4554">
        <v>0</v>
      </c>
      <c r="H4554">
        <v>56</v>
      </c>
      <c r="I4554">
        <v>0</v>
      </c>
      <c r="J4554">
        <v>9.99</v>
      </c>
      <c r="K4554">
        <v>0</v>
      </c>
    </row>
    <row r="4555" spans="1:11" x14ac:dyDescent="0.2">
      <c r="A4555">
        <v>30820</v>
      </c>
      <c r="B4555">
        <v>292179</v>
      </c>
      <c r="C4555" t="s">
        <v>8061</v>
      </c>
      <c r="D4555">
        <v>10</v>
      </c>
      <c r="E4555">
        <v>12</v>
      </c>
      <c r="F4555">
        <v>0</v>
      </c>
      <c r="G4555">
        <v>0</v>
      </c>
      <c r="H4555">
        <v>209</v>
      </c>
      <c r="I4555">
        <v>0</v>
      </c>
      <c r="J4555">
        <v>6.99</v>
      </c>
      <c r="K4555">
        <v>0</v>
      </c>
    </row>
    <row r="4556" spans="1:11" x14ac:dyDescent="0.2">
      <c r="A4556">
        <v>35917</v>
      </c>
      <c r="B4556">
        <v>292181</v>
      </c>
      <c r="C4556" t="s">
        <v>8062</v>
      </c>
      <c r="D4556">
        <v>10</v>
      </c>
      <c r="E4556">
        <v>2</v>
      </c>
      <c r="F4556">
        <v>0</v>
      </c>
      <c r="G4556">
        <v>0</v>
      </c>
      <c r="H4556">
        <v>70</v>
      </c>
      <c r="I4556">
        <v>0</v>
      </c>
      <c r="J4556">
        <v>14.99</v>
      </c>
      <c r="K4556">
        <v>0</v>
      </c>
    </row>
    <row r="4557" spans="1:11" x14ac:dyDescent="0.2">
      <c r="A4557">
        <v>30821</v>
      </c>
      <c r="B4557">
        <v>292182</v>
      </c>
      <c r="C4557" t="s">
        <v>8063</v>
      </c>
      <c r="D4557">
        <v>10</v>
      </c>
      <c r="E4557">
        <v>4</v>
      </c>
      <c r="F4557">
        <v>0</v>
      </c>
      <c r="G4557">
        <v>0</v>
      </c>
      <c r="H4557">
        <v>30</v>
      </c>
      <c r="I4557">
        <v>0</v>
      </c>
      <c r="J4557">
        <v>27.99</v>
      </c>
      <c r="K4557">
        <v>0</v>
      </c>
    </row>
    <row r="4558" spans="1:11" x14ac:dyDescent="0.2">
      <c r="B4558">
        <v>292190</v>
      </c>
      <c r="C4558" t="s">
        <v>8064</v>
      </c>
      <c r="D4558">
        <v>12</v>
      </c>
      <c r="E4558">
        <v>10</v>
      </c>
      <c r="F4558">
        <v>0</v>
      </c>
      <c r="G4558">
        <v>0</v>
      </c>
      <c r="H4558">
        <v>135</v>
      </c>
      <c r="I4558">
        <v>0</v>
      </c>
      <c r="J4558">
        <v>4.99</v>
      </c>
      <c r="K4558">
        <v>0</v>
      </c>
    </row>
    <row r="4559" spans="1:11" x14ac:dyDescent="0.2">
      <c r="A4559">
        <v>35918</v>
      </c>
      <c r="B4559">
        <v>292200</v>
      </c>
      <c r="C4559" t="s">
        <v>8065</v>
      </c>
      <c r="D4559">
        <v>10</v>
      </c>
      <c r="E4559">
        <v>1</v>
      </c>
      <c r="F4559">
        <v>0</v>
      </c>
      <c r="G4559">
        <v>0</v>
      </c>
      <c r="H4559">
        <v>36</v>
      </c>
      <c r="I4559">
        <v>0</v>
      </c>
      <c r="J4559">
        <v>49.99</v>
      </c>
      <c r="K4559">
        <v>0</v>
      </c>
    </row>
    <row r="4560" spans="1:11" x14ac:dyDescent="0.2">
      <c r="A4560">
        <v>50369</v>
      </c>
      <c r="B4560">
        <v>292209</v>
      </c>
      <c r="C4560" t="s">
        <v>8066</v>
      </c>
      <c r="D4560">
        <v>10</v>
      </c>
      <c r="E4560">
        <v>5</v>
      </c>
      <c r="F4560">
        <v>0</v>
      </c>
      <c r="G4560">
        <v>0</v>
      </c>
      <c r="H4560">
        <v>40</v>
      </c>
      <c r="I4560">
        <v>0</v>
      </c>
      <c r="J4560">
        <v>7.99</v>
      </c>
      <c r="K4560">
        <v>0</v>
      </c>
    </row>
    <row r="4561" spans="1:11" x14ac:dyDescent="0.2">
      <c r="A4561">
        <v>48029</v>
      </c>
      <c r="B4561">
        <v>292211</v>
      </c>
      <c r="C4561" t="s">
        <v>8067</v>
      </c>
      <c r="D4561">
        <v>10</v>
      </c>
      <c r="E4561">
        <v>8</v>
      </c>
      <c r="F4561">
        <v>0</v>
      </c>
      <c r="G4561">
        <v>0</v>
      </c>
      <c r="H4561">
        <v>45</v>
      </c>
      <c r="I4561">
        <v>0</v>
      </c>
      <c r="J4561">
        <v>14.99</v>
      </c>
      <c r="K4561">
        <v>0</v>
      </c>
    </row>
    <row r="4562" spans="1:11" x14ac:dyDescent="0.2">
      <c r="A4562">
        <v>41810</v>
      </c>
      <c r="B4562">
        <v>292213</v>
      </c>
      <c r="C4562" t="s">
        <v>8068</v>
      </c>
      <c r="D4562">
        <v>10</v>
      </c>
      <c r="E4562">
        <v>9</v>
      </c>
      <c r="F4562">
        <v>0</v>
      </c>
      <c r="G4562">
        <v>0</v>
      </c>
      <c r="H4562">
        <v>18</v>
      </c>
      <c r="I4562">
        <v>0</v>
      </c>
      <c r="J4562">
        <v>7.99</v>
      </c>
      <c r="K4562">
        <v>0</v>
      </c>
    </row>
    <row r="4563" spans="1:11" x14ac:dyDescent="0.2">
      <c r="A4563">
        <v>32807</v>
      </c>
      <c r="B4563">
        <v>292222</v>
      </c>
      <c r="C4563" t="s">
        <v>8069</v>
      </c>
      <c r="D4563">
        <v>10</v>
      </c>
      <c r="E4563">
        <v>2</v>
      </c>
      <c r="F4563">
        <v>0</v>
      </c>
      <c r="G4563">
        <v>0</v>
      </c>
      <c r="H4563">
        <v>24</v>
      </c>
      <c r="I4563">
        <v>0</v>
      </c>
      <c r="J4563">
        <v>59.99</v>
      </c>
      <c r="K4563">
        <v>0</v>
      </c>
    </row>
    <row r="4564" spans="1:11" x14ac:dyDescent="0.2">
      <c r="A4564">
        <v>32808</v>
      </c>
      <c r="B4564">
        <v>292223</v>
      </c>
      <c r="C4564" t="s">
        <v>8070</v>
      </c>
      <c r="D4564">
        <v>10</v>
      </c>
      <c r="E4564">
        <v>2</v>
      </c>
      <c r="F4564">
        <v>0</v>
      </c>
      <c r="G4564">
        <v>0</v>
      </c>
      <c r="H4564">
        <v>25</v>
      </c>
      <c r="I4564">
        <v>0</v>
      </c>
      <c r="J4564">
        <v>59.99</v>
      </c>
      <c r="K4564">
        <v>0</v>
      </c>
    </row>
    <row r="4565" spans="1:11" x14ac:dyDescent="0.2">
      <c r="A4565">
        <v>32809</v>
      </c>
      <c r="B4565">
        <v>292224</v>
      </c>
      <c r="C4565" t="s">
        <v>8071</v>
      </c>
      <c r="D4565">
        <v>10</v>
      </c>
      <c r="E4565">
        <v>2</v>
      </c>
      <c r="F4565">
        <v>0</v>
      </c>
      <c r="G4565">
        <v>0</v>
      </c>
      <c r="H4565">
        <v>25</v>
      </c>
      <c r="I4565">
        <v>0</v>
      </c>
      <c r="J4565">
        <v>59.99</v>
      </c>
      <c r="K4565">
        <v>0</v>
      </c>
    </row>
    <row r="4566" spans="1:11" x14ac:dyDescent="0.2">
      <c r="A4566">
        <v>35919</v>
      </c>
      <c r="B4566">
        <v>292255</v>
      </c>
      <c r="C4566" t="s">
        <v>8072</v>
      </c>
      <c r="D4566">
        <v>10</v>
      </c>
      <c r="E4566">
        <v>1</v>
      </c>
      <c r="F4566">
        <v>0</v>
      </c>
      <c r="G4566">
        <v>0</v>
      </c>
      <c r="H4566">
        <v>77</v>
      </c>
      <c r="I4566">
        <v>0</v>
      </c>
      <c r="J4566">
        <v>24.99</v>
      </c>
      <c r="K4566">
        <v>0</v>
      </c>
    </row>
    <row r="4567" spans="1:11" x14ac:dyDescent="0.2">
      <c r="A4567">
        <v>29924</v>
      </c>
      <c r="B4567">
        <v>292271</v>
      </c>
      <c r="C4567" t="s">
        <v>7716</v>
      </c>
      <c r="D4567">
        <v>10</v>
      </c>
      <c r="E4567">
        <v>24</v>
      </c>
      <c r="F4567">
        <v>0</v>
      </c>
      <c r="G4567">
        <v>0</v>
      </c>
      <c r="H4567">
        <v>126</v>
      </c>
      <c r="I4567">
        <v>0</v>
      </c>
      <c r="J4567">
        <v>0.5</v>
      </c>
      <c r="K4567">
        <v>0</v>
      </c>
    </row>
    <row r="4568" spans="1:11" x14ac:dyDescent="0.2">
      <c r="A4568">
        <v>30822</v>
      </c>
      <c r="B4568">
        <v>292277</v>
      </c>
      <c r="C4568" t="s">
        <v>7711</v>
      </c>
      <c r="D4568">
        <v>10</v>
      </c>
      <c r="E4568">
        <v>10</v>
      </c>
      <c r="F4568">
        <v>0</v>
      </c>
      <c r="G4568">
        <v>0</v>
      </c>
      <c r="H4568">
        <v>88</v>
      </c>
      <c r="I4568">
        <v>0</v>
      </c>
      <c r="J4568">
        <v>3.99</v>
      </c>
      <c r="K4568">
        <v>0</v>
      </c>
    </row>
    <row r="4569" spans="1:11" x14ac:dyDescent="0.2">
      <c r="A4569">
        <v>2253</v>
      </c>
      <c r="B4569">
        <v>292289</v>
      </c>
      <c r="C4569" t="s">
        <v>8073</v>
      </c>
      <c r="D4569">
        <v>10</v>
      </c>
      <c r="E4569">
        <v>4</v>
      </c>
      <c r="F4569">
        <v>554</v>
      </c>
      <c r="G4569">
        <v>2217</v>
      </c>
      <c r="H4569">
        <v>238</v>
      </c>
      <c r="I4569">
        <v>2.2999999999999998</v>
      </c>
      <c r="J4569">
        <v>16.989999999999998</v>
      </c>
      <c r="K4569">
        <v>37666.83</v>
      </c>
    </row>
    <row r="4570" spans="1:11" x14ac:dyDescent="0.2">
      <c r="A4570">
        <v>25941</v>
      </c>
      <c r="B4570">
        <v>292383</v>
      </c>
      <c r="C4570" t="s">
        <v>8074</v>
      </c>
      <c r="D4570">
        <v>10</v>
      </c>
      <c r="E4570">
        <v>14</v>
      </c>
      <c r="F4570">
        <v>0</v>
      </c>
      <c r="G4570">
        <v>0</v>
      </c>
      <c r="H4570">
        <v>54</v>
      </c>
      <c r="I4570">
        <v>0</v>
      </c>
      <c r="J4570">
        <v>1</v>
      </c>
      <c r="K4570">
        <v>0</v>
      </c>
    </row>
    <row r="4571" spans="1:11" x14ac:dyDescent="0.2">
      <c r="A4571">
        <v>25943</v>
      </c>
      <c r="B4571">
        <v>292389</v>
      </c>
      <c r="C4571" t="s">
        <v>7603</v>
      </c>
      <c r="D4571">
        <v>10</v>
      </c>
      <c r="E4571">
        <v>14</v>
      </c>
      <c r="F4571">
        <v>0</v>
      </c>
      <c r="G4571">
        <v>0</v>
      </c>
      <c r="H4571">
        <v>91</v>
      </c>
      <c r="I4571">
        <v>0</v>
      </c>
      <c r="J4571">
        <v>1</v>
      </c>
      <c r="K4571">
        <v>0</v>
      </c>
    </row>
    <row r="4572" spans="1:11" x14ac:dyDescent="0.2">
      <c r="A4572">
        <v>25944</v>
      </c>
      <c r="B4572">
        <v>292390</v>
      </c>
      <c r="C4572" t="s">
        <v>8075</v>
      </c>
      <c r="D4572">
        <v>10</v>
      </c>
      <c r="E4572">
        <v>14</v>
      </c>
      <c r="F4572">
        <v>0</v>
      </c>
      <c r="G4572">
        <v>0</v>
      </c>
      <c r="H4572">
        <v>70</v>
      </c>
      <c r="I4572">
        <v>0</v>
      </c>
      <c r="J4572">
        <v>1</v>
      </c>
      <c r="K4572">
        <v>0</v>
      </c>
    </row>
    <row r="4573" spans="1:11" x14ac:dyDescent="0.2">
      <c r="A4573">
        <v>40919</v>
      </c>
      <c r="B4573">
        <v>292537</v>
      </c>
      <c r="C4573" t="s">
        <v>8076</v>
      </c>
      <c r="D4573">
        <v>10</v>
      </c>
      <c r="E4573">
        <v>18</v>
      </c>
      <c r="F4573">
        <v>0</v>
      </c>
      <c r="G4573">
        <v>1</v>
      </c>
      <c r="H4573">
        <v>21</v>
      </c>
      <c r="I4573">
        <v>0</v>
      </c>
      <c r="J4573">
        <v>1</v>
      </c>
      <c r="K4573">
        <v>1</v>
      </c>
    </row>
    <row r="4574" spans="1:11" x14ac:dyDescent="0.2">
      <c r="A4574">
        <v>44400</v>
      </c>
      <c r="B4574">
        <v>292548</v>
      </c>
      <c r="C4574" t="s">
        <v>8077</v>
      </c>
      <c r="D4574">
        <v>10</v>
      </c>
      <c r="E4574">
        <v>16</v>
      </c>
      <c r="F4574">
        <v>0</v>
      </c>
      <c r="G4574">
        <v>0</v>
      </c>
      <c r="H4574">
        <v>128</v>
      </c>
      <c r="I4574">
        <v>0</v>
      </c>
      <c r="J4574">
        <v>1.99</v>
      </c>
      <c r="K4574">
        <v>0</v>
      </c>
    </row>
    <row r="4575" spans="1:11" x14ac:dyDescent="0.2">
      <c r="A4575">
        <v>25945</v>
      </c>
      <c r="B4575">
        <v>292560</v>
      </c>
      <c r="C4575" t="s">
        <v>8078</v>
      </c>
      <c r="D4575">
        <v>10</v>
      </c>
      <c r="E4575">
        <v>20</v>
      </c>
      <c r="F4575">
        <v>0</v>
      </c>
      <c r="G4575">
        <v>0</v>
      </c>
      <c r="H4575">
        <v>100</v>
      </c>
      <c r="I4575">
        <v>0</v>
      </c>
      <c r="J4575">
        <v>1</v>
      </c>
      <c r="K4575">
        <v>0</v>
      </c>
    </row>
    <row r="4576" spans="1:11" x14ac:dyDescent="0.2">
      <c r="A4576">
        <v>25946</v>
      </c>
      <c r="B4576">
        <v>292561</v>
      </c>
      <c r="C4576" t="s">
        <v>8079</v>
      </c>
      <c r="D4576">
        <v>10</v>
      </c>
      <c r="E4576">
        <v>20</v>
      </c>
      <c r="F4576">
        <v>0</v>
      </c>
      <c r="G4576">
        <v>0</v>
      </c>
      <c r="H4576">
        <v>100</v>
      </c>
      <c r="I4576">
        <v>0</v>
      </c>
      <c r="J4576">
        <v>1</v>
      </c>
      <c r="K4576">
        <v>0</v>
      </c>
    </row>
    <row r="4577" spans="1:11" x14ac:dyDescent="0.2">
      <c r="A4577">
        <v>25947</v>
      </c>
      <c r="B4577">
        <v>292587</v>
      </c>
      <c r="C4577" t="s">
        <v>8080</v>
      </c>
      <c r="D4577">
        <v>10</v>
      </c>
      <c r="E4577">
        <v>20</v>
      </c>
      <c r="F4577">
        <v>0</v>
      </c>
      <c r="G4577">
        <v>0</v>
      </c>
      <c r="H4577">
        <v>114</v>
      </c>
      <c r="I4577">
        <v>0</v>
      </c>
      <c r="J4577">
        <v>1</v>
      </c>
      <c r="K4577">
        <v>0</v>
      </c>
    </row>
    <row r="4578" spans="1:11" x14ac:dyDescent="0.2">
      <c r="A4578">
        <v>25948</v>
      </c>
      <c r="B4578">
        <v>292588</v>
      </c>
      <c r="C4578" t="s">
        <v>8081</v>
      </c>
      <c r="D4578">
        <v>10</v>
      </c>
      <c r="E4578">
        <v>20</v>
      </c>
      <c r="F4578">
        <v>0</v>
      </c>
      <c r="G4578">
        <v>0</v>
      </c>
      <c r="H4578">
        <v>100</v>
      </c>
      <c r="I4578">
        <v>0</v>
      </c>
      <c r="J4578">
        <v>1</v>
      </c>
      <c r="K4578">
        <v>0</v>
      </c>
    </row>
    <row r="4579" spans="1:11" x14ac:dyDescent="0.2">
      <c r="A4579">
        <v>25949</v>
      </c>
      <c r="B4579">
        <v>292595</v>
      </c>
      <c r="C4579" t="s">
        <v>8082</v>
      </c>
      <c r="D4579">
        <v>10</v>
      </c>
      <c r="E4579">
        <v>16</v>
      </c>
      <c r="F4579">
        <v>0</v>
      </c>
      <c r="G4579">
        <v>0</v>
      </c>
      <c r="H4579">
        <v>48</v>
      </c>
      <c r="I4579">
        <v>0</v>
      </c>
      <c r="J4579">
        <v>1</v>
      </c>
      <c r="K4579">
        <v>0</v>
      </c>
    </row>
    <row r="4580" spans="1:11" x14ac:dyDescent="0.2">
      <c r="A4580">
        <v>25950</v>
      </c>
      <c r="B4580">
        <v>292597</v>
      </c>
      <c r="C4580" t="s">
        <v>8083</v>
      </c>
      <c r="D4580">
        <v>10</v>
      </c>
      <c r="E4580">
        <v>16</v>
      </c>
      <c r="F4580">
        <v>0</v>
      </c>
      <c r="G4580">
        <v>0</v>
      </c>
      <c r="H4580">
        <v>66</v>
      </c>
      <c r="I4580">
        <v>0</v>
      </c>
      <c r="J4580">
        <v>1</v>
      </c>
      <c r="K4580">
        <v>0</v>
      </c>
    </row>
    <row r="4581" spans="1:11" x14ac:dyDescent="0.2">
      <c r="A4581">
        <v>51807</v>
      </c>
      <c r="B4581">
        <v>292629</v>
      </c>
      <c r="C4581" t="s">
        <v>8084</v>
      </c>
      <c r="D4581">
        <v>10</v>
      </c>
      <c r="E4581">
        <v>2</v>
      </c>
      <c r="F4581">
        <v>50</v>
      </c>
      <c r="G4581">
        <v>99</v>
      </c>
      <c r="H4581">
        <v>84</v>
      </c>
      <c r="I4581">
        <v>0.6</v>
      </c>
      <c r="J4581">
        <v>39.99</v>
      </c>
      <c r="K4581">
        <v>3959.01</v>
      </c>
    </row>
    <row r="4582" spans="1:11" x14ac:dyDescent="0.2">
      <c r="A4582">
        <v>25951</v>
      </c>
      <c r="B4582">
        <v>292719</v>
      </c>
      <c r="C4582" t="s">
        <v>8085</v>
      </c>
      <c r="D4582">
        <v>10</v>
      </c>
      <c r="E4582">
        <v>16</v>
      </c>
      <c r="F4582">
        <v>0</v>
      </c>
      <c r="G4582">
        <v>0</v>
      </c>
      <c r="H4582">
        <v>30</v>
      </c>
      <c r="I4582">
        <v>0</v>
      </c>
      <c r="J4582">
        <v>1</v>
      </c>
      <c r="K4582">
        <v>0</v>
      </c>
    </row>
    <row r="4583" spans="1:11" x14ac:dyDescent="0.2">
      <c r="A4583">
        <v>25952</v>
      </c>
      <c r="B4583">
        <v>292720</v>
      </c>
      <c r="C4583" t="s">
        <v>8086</v>
      </c>
      <c r="D4583">
        <v>10</v>
      </c>
      <c r="E4583">
        <v>14</v>
      </c>
      <c r="F4583">
        <v>0</v>
      </c>
      <c r="G4583">
        <v>0</v>
      </c>
      <c r="H4583">
        <v>171</v>
      </c>
      <c r="I4583">
        <v>0</v>
      </c>
      <c r="J4583">
        <v>1</v>
      </c>
      <c r="K4583">
        <v>0</v>
      </c>
    </row>
    <row r="4584" spans="1:11" x14ac:dyDescent="0.2">
      <c r="A4584">
        <v>25953</v>
      </c>
      <c r="B4584">
        <v>292722</v>
      </c>
      <c r="C4584" t="s">
        <v>8087</v>
      </c>
      <c r="D4584">
        <v>10</v>
      </c>
      <c r="E4584">
        <v>16</v>
      </c>
      <c r="F4584">
        <v>0</v>
      </c>
      <c r="G4584">
        <v>0</v>
      </c>
      <c r="H4584">
        <v>112</v>
      </c>
      <c r="I4584">
        <v>0</v>
      </c>
      <c r="J4584">
        <v>1</v>
      </c>
      <c r="K4584">
        <v>0</v>
      </c>
    </row>
    <row r="4585" spans="1:11" x14ac:dyDescent="0.2">
      <c r="A4585">
        <v>44808</v>
      </c>
      <c r="B4585">
        <v>292764</v>
      </c>
      <c r="C4585" t="s">
        <v>8088</v>
      </c>
      <c r="D4585">
        <v>10</v>
      </c>
      <c r="E4585">
        <v>4</v>
      </c>
      <c r="F4585">
        <v>0</v>
      </c>
      <c r="G4585">
        <v>0</v>
      </c>
      <c r="H4585">
        <v>90</v>
      </c>
      <c r="I4585">
        <v>0</v>
      </c>
      <c r="J4585">
        <v>9.99</v>
      </c>
      <c r="K4585">
        <v>0</v>
      </c>
    </row>
    <row r="4586" spans="1:11" x14ac:dyDescent="0.2">
      <c r="A4586">
        <v>41811</v>
      </c>
      <c r="B4586">
        <v>292773</v>
      </c>
      <c r="C4586" t="s">
        <v>8089</v>
      </c>
      <c r="D4586">
        <v>10</v>
      </c>
      <c r="E4586">
        <v>6</v>
      </c>
      <c r="F4586">
        <v>0</v>
      </c>
      <c r="G4586">
        <v>0</v>
      </c>
      <c r="H4586">
        <v>45</v>
      </c>
      <c r="I4586">
        <v>0</v>
      </c>
      <c r="J4586">
        <v>17.989999999999998</v>
      </c>
      <c r="K4586">
        <v>0</v>
      </c>
    </row>
    <row r="4587" spans="1:11" x14ac:dyDescent="0.2">
      <c r="A4587">
        <v>41812</v>
      </c>
      <c r="B4587">
        <v>292774</v>
      </c>
      <c r="C4587" t="s">
        <v>8090</v>
      </c>
      <c r="D4587">
        <v>10</v>
      </c>
      <c r="E4587">
        <v>4</v>
      </c>
      <c r="F4587">
        <v>0</v>
      </c>
      <c r="G4587">
        <v>0</v>
      </c>
      <c r="H4587">
        <v>24</v>
      </c>
      <c r="I4587">
        <v>0</v>
      </c>
      <c r="J4587">
        <v>39.99</v>
      </c>
      <c r="K4587">
        <v>0</v>
      </c>
    </row>
    <row r="4588" spans="1:11" x14ac:dyDescent="0.2">
      <c r="A4588">
        <v>29933</v>
      </c>
      <c r="B4588">
        <v>292776</v>
      </c>
      <c r="C4588" t="s">
        <v>8091</v>
      </c>
      <c r="D4588">
        <v>10</v>
      </c>
      <c r="E4588">
        <v>24</v>
      </c>
      <c r="F4588">
        <v>0</v>
      </c>
      <c r="G4588">
        <v>0</v>
      </c>
      <c r="H4588">
        <v>100</v>
      </c>
      <c r="I4588">
        <v>0</v>
      </c>
      <c r="J4588">
        <v>1.99</v>
      </c>
      <c r="K4588">
        <v>0</v>
      </c>
    </row>
    <row r="4589" spans="1:11" x14ac:dyDescent="0.2">
      <c r="A4589">
        <v>45804</v>
      </c>
      <c r="B4589">
        <v>292793</v>
      </c>
      <c r="C4589" t="s">
        <v>6638</v>
      </c>
      <c r="D4589">
        <v>10</v>
      </c>
      <c r="E4589">
        <v>8</v>
      </c>
      <c r="F4589">
        <v>0</v>
      </c>
      <c r="G4589">
        <v>0</v>
      </c>
      <c r="H4589">
        <v>36</v>
      </c>
      <c r="I4589">
        <v>0</v>
      </c>
      <c r="J4589">
        <v>7.99</v>
      </c>
      <c r="K4589">
        <v>0</v>
      </c>
    </row>
    <row r="4590" spans="1:11" x14ac:dyDescent="0.2">
      <c r="A4590">
        <v>43810</v>
      </c>
      <c r="B4590">
        <v>292823</v>
      </c>
      <c r="C4590" t="s">
        <v>8092</v>
      </c>
      <c r="D4590">
        <v>10</v>
      </c>
      <c r="E4590">
        <v>8</v>
      </c>
      <c r="F4590">
        <v>-1</v>
      </c>
      <c r="G4590">
        <v>-8</v>
      </c>
      <c r="H4590">
        <v>36</v>
      </c>
      <c r="I4590">
        <v>0</v>
      </c>
      <c r="J4590">
        <v>14.99</v>
      </c>
      <c r="K4590">
        <v>-119.92</v>
      </c>
    </row>
    <row r="4591" spans="1:11" x14ac:dyDescent="0.2">
      <c r="A4591">
        <v>41813</v>
      </c>
      <c r="B4591">
        <v>292826</v>
      </c>
      <c r="C4591" t="s">
        <v>8093</v>
      </c>
      <c r="D4591">
        <v>10</v>
      </c>
      <c r="E4591">
        <v>2</v>
      </c>
      <c r="F4591">
        <v>0</v>
      </c>
      <c r="G4591">
        <v>0</v>
      </c>
      <c r="H4591">
        <v>30</v>
      </c>
      <c r="I4591">
        <v>0</v>
      </c>
      <c r="J4591">
        <v>34.99</v>
      </c>
      <c r="K4591">
        <v>0</v>
      </c>
    </row>
    <row r="4592" spans="1:11" x14ac:dyDescent="0.2">
      <c r="A4592">
        <v>3263</v>
      </c>
      <c r="B4592">
        <v>292853</v>
      </c>
      <c r="C4592" t="s">
        <v>8094</v>
      </c>
      <c r="D4592">
        <v>6</v>
      </c>
      <c r="E4592">
        <v>10</v>
      </c>
      <c r="F4592">
        <v>0</v>
      </c>
      <c r="G4592">
        <v>0</v>
      </c>
      <c r="H4592">
        <v>100</v>
      </c>
      <c r="I4592">
        <v>0</v>
      </c>
      <c r="J4592">
        <v>12.99</v>
      </c>
      <c r="K4592">
        <v>0</v>
      </c>
    </row>
    <row r="4593" spans="1:11" x14ac:dyDescent="0.2">
      <c r="A4593">
        <v>37814</v>
      </c>
      <c r="B4593">
        <v>292855</v>
      </c>
      <c r="C4593" t="s">
        <v>8095</v>
      </c>
      <c r="D4593">
        <v>10</v>
      </c>
      <c r="E4593">
        <v>10</v>
      </c>
      <c r="F4593">
        <v>0</v>
      </c>
      <c r="G4593">
        <v>0</v>
      </c>
      <c r="H4593">
        <v>44</v>
      </c>
      <c r="I4593">
        <v>0</v>
      </c>
      <c r="J4593">
        <v>12.99</v>
      </c>
      <c r="K4593">
        <v>0</v>
      </c>
    </row>
    <row r="4594" spans="1:11" x14ac:dyDescent="0.2">
      <c r="A4594">
        <v>42803</v>
      </c>
      <c r="B4594">
        <v>292905</v>
      </c>
      <c r="C4594" t="s">
        <v>8096</v>
      </c>
      <c r="D4594">
        <v>10</v>
      </c>
      <c r="E4594">
        <v>12</v>
      </c>
      <c r="F4594">
        <v>0</v>
      </c>
      <c r="G4594">
        <v>0</v>
      </c>
      <c r="H4594">
        <v>133</v>
      </c>
      <c r="I4594">
        <v>0</v>
      </c>
      <c r="J4594">
        <v>3.99</v>
      </c>
      <c r="K4594">
        <v>0</v>
      </c>
    </row>
    <row r="4595" spans="1:11" x14ac:dyDescent="0.2">
      <c r="A4595">
        <v>46808</v>
      </c>
      <c r="B4595">
        <v>292907</v>
      </c>
      <c r="C4595" t="s">
        <v>8097</v>
      </c>
      <c r="D4595">
        <v>10</v>
      </c>
      <c r="E4595">
        <v>12</v>
      </c>
      <c r="F4595">
        <v>1</v>
      </c>
      <c r="G4595">
        <v>12</v>
      </c>
      <c r="H4595">
        <v>48</v>
      </c>
      <c r="I4595">
        <v>0</v>
      </c>
      <c r="J4595">
        <v>6.99</v>
      </c>
      <c r="K4595">
        <v>83.88</v>
      </c>
    </row>
    <row r="4596" spans="1:11" x14ac:dyDescent="0.2">
      <c r="A4596">
        <v>35920</v>
      </c>
      <c r="B4596">
        <v>292911</v>
      </c>
      <c r="C4596" t="s">
        <v>8098</v>
      </c>
      <c r="D4596">
        <v>10</v>
      </c>
      <c r="E4596">
        <v>10</v>
      </c>
      <c r="F4596">
        <v>0</v>
      </c>
      <c r="G4596">
        <v>0</v>
      </c>
      <c r="H4596">
        <v>9</v>
      </c>
      <c r="I4596">
        <v>0</v>
      </c>
      <c r="J4596">
        <v>19.989999999999998</v>
      </c>
      <c r="K4596">
        <v>0</v>
      </c>
    </row>
    <row r="4597" spans="1:11" x14ac:dyDescent="0.2">
      <c r="A4597">
        <v>48810</v>
      </c>
      <c r="B4597">
        <v>292915</v>
      </c>
      <c r="C4597" t="s">
        <v>8099</v>
      </c>
      <c r="D4597">
        <v>10</v>
      </c>
      <c r="E4597">
        <v>6</v>
      </c>
      <c r="F4597">
        <v>0</v>
      </c>
      <c r="G4597">
        <v>0</v>
      </c>
      <c r="H4597">
        <v>80</v>
      </c>
      <c r="I4597">
        <v>0</v>
      </c>
      <c r="J4597">
        <v>6.99</v>
      </c>
      <c r="K4597">
        <v>0</v>
      </c>
    </row>
    <row r="4598" spans="1:11" x14ac:dyDescent="0.2">
      <c r="A4598">
        <v>31804</v>
      </c>
      <c r="B4598">
        <v>292917</v>
      </c>
      <c r="C4598" t="s">
        <v>8100</v>
      </c>
      <c r="D4598">
        <v>10</v>
      </c>
      <c r="E4598">
        <v>12</v>
      </c>
      <c r="F4598">
        <v>0</v>
      </c>
      <c r="G4598">
        <v>0</v>
      </c>
      <c r="H4598">
        <v>30</v>
      </c>
      <c r="I4598">
        <v>0</v>
      </c>
      <c r="J4598">
        <v>3.99</v>
      </c>
      <c r="K4598">
        <v>0</v>
      </c>
    </row>
    <row r="4599" spans="1:11" x14ac:dyDescent="0.2">
      <c r="A4599">
        <v>35921</v>
      </c>
      <c r="B4599">
        <v>292921</v>
      </c>
      <c r="C4599" t="s">
        <v>8101</v>
      </c>
      <c r="D4599">
        <v>10</v>
      </c>
      <c r="E4599">
        <v>15</v>
      </c>
      <c r="F4599">
        <v>0</v>
      </c>
      <c r="G4599">
        <v>0</v>
      </c>
      <c r="H4599">
        <v>30</v>
      </c>
      <c r="I4599">
        <v>0</v>
      </c>
      <c r="J4599">
        <v>1.49</v>
      </c>
      <c r="K4599">
        <v>0</v>
      </c>
    </row>
    <row r="4600" spans="1:11" x14ac:dyDescent="0.2">
      <c r="A4600">
        <v>44809</v>
      </c>
      <c r="B4600">
        <v>292945</v>
      </c>
      <c r="C4600" t="s">
        <v>8102</v>
      </c>
      <c r="D4600">
        <v>10</v>
      </c>
      <c r="E4600">
        <v>8</v>
      </c>
      <c r="F4600">
        <v>1</v>
      </c>
      <c r="G4600">
        <v>8</v>
      </c>
      <c r="H4600">
        <v>25</v>
      </c>
      <c r="I4600">
        <v>0</v>
      </c>
      <c r="J4600">
        <v>3.99</v>
      </c>
      <c r="K4600">
        <v>31.92</v>
      </c>
    </row>
    <row r="4601" spans="1:11" x14ac:dyDescent="0.2">
      <c r="A4601">
        <v>25954</v>
      </c>
      <c r="B4601">
        <v>292947</v>
      </c>
      <c r="C4601" t="s">
        <v>8103</v>
      </c>
      <c r="D4601">
        <v>10</v>
      </c>
      <c r="E4601">
        <v>16</v>
      </c>
      <c r="F4601">
        <v>0</v>
      </c>
      <c r="G4601">
        <v>0</v>
      </c>
      <c r="H4601">
        <v>48</v>
      </c>
      <c r="I4601">
        <v>0</v>
      </c>
      <c r="J4601">
        <v>1</v>
      </c>
      <c r="K4601">
        <v>0</v>
      </c>
    </row>
    <row r="4602" spans="1:11" x14ac:dyDescent="0.2">
      <c r="A4602">
        <v>3264</v>
      </c>
      <c r="B4602">
        <v>292968</v>
      </c>
      <c r="C4602" t="s">
        <v>8104</v>
      </c>
      <c r="D4602">
        <v>6</v>
      </c>
      <c r="E4602">
        <v>8</v>
      </c>
      <c r="F4602">
        <v>0</v>
      </c>
      <c r="G4602">
        <v>0</v>
      </c>
      <c r="H4602">
        <v>100</v>
      </c>
      <c r="I4602">
        <v>0</v>
      </c>
      <c r="J4602">
        <v>22.99</v>
      </c>
      <c r="K4602">
        <v>0</v>
      </c>
    </row>
    <row r="4603" spans="1:11" x14ac:dyDescent="0.2">
      <c r="A4603">
        <v>47912</v>
      </c>
      <c r="B4603">
        <v>292970</v>
      </c>
      <c r="C4603" t="s">
        <v>8105</v>
      </c>
      <c r="D4603">
        <v>10</v>
      </c>
      <c r="E4603">
        <v>20</v>
      </c>
      <c r="F4603">
        <v>0</v>
      </c>
      <c r="G4603">
        <v>0</v>
      </c>
      <c r="H4603">
        <v>60</v>
      </c>
      <c r="I4603">
        <v>0</v>
      </c>
      <c r="J4603">
        <v>1</v>
      </c>
      <c r="K4603">
        <v>0</v>
      </c>
    </row>
    <row r="4604" spans="1:11" x14ac:dyDescent="0.2">
      <c r="A4604">
        <v>48811</v>
      </c>
      <c r="B4604">
        <v>292987</v>
      </c>
      <c r="C4604" t="s">
        <v>8106</v>
      </c>
      <c r="D4604">
        <v>10</v>
      </c>
      <c r="E4604">
        <v>4</v>
      </c>
      <c r="F4604">
        <v>0</v>
      </c>
      <c r="G4604">
        <v>0</v>
      </c>
      <c r="H4604">
        <v>100</v>
      </c>
      <c r="I4604">
        <v>0</v>
      </c>
      <c r="J4604">
        <v>19.989999999999998</v>
      </c>
      <c r="K4604">
        <v>0</v>
      </c>
    </row>
    <row r="4605" spans="1:11" x14ac:dyDescent="0.2">
      <c r="A4605">
        <v>35922</v>
      </c>
      <c r="B4605">
        <v>292996</v>
      </c>
      <c r="C4605" t="s">
        <v>8107</v>
      </c>
      <c r="D4605">
        <v>10</v>
      </c>
      <c r="E4605">
        <v>2</v>
      </c>
      <c r="F4605">
        <v>0</v>
      </c>
      <c r="G4605">
        <v>0</v>
      </c>
      <c r="H4605">
        <v>100</v>
      </c>
      <c r="I4605">
        <v>0</v>
      </c>
      <c r="J4605">
        <v>6.99</v>
      </c>
      <c r="K4605">
        <v>0</v>
      </c>
    </row>
    <row r="4606" spans="1:11" x14ac:dyDescent="0.2">
      <c r="A4606">
        <v>10303</v>
      </c>
      <c r="B4606">
        <v>293006</v>
      </c>
      <c r="C4606" t="s">
        <v>8108</v>
      </c>
      <c r="D4606">
        <v>10</v>
      </c>
      <c r="E4606">
        <v>12</v>
      </c>
      <c r="F4606">
        <v>0</v>
      </c>
      <c r="G4606">
        <v>0</v>
      </c>
      <c r="H4606">
        <v>15</v>
      </c>
      <c r="I4606">
        <v>0</v>
      </c>
      <c r="J4606">
        <v>6.99</v>
      </c>
      <c r="K4606">
        <v>0</v>
      </c>
    </row>
    <row r="4607" spans="1:11" x14ac:dyDescent="0.2">
      <c r="A4607">
        <v>50370</v>
      </c>
      <c r="B4607">
        <v>293007</v>
      </c>
      <c r="C4607" t="s">
        <v>8109</v>
      </c>
      <c r="D4607">
        <v>10</v>
      </c>
      <c r="E4607">
        <v>8</v>
      </c>
      <c r="F4607">
        <v>0</v>
      </c>
      <c r="G4607">
        <v>0</v>
      </c>
      <c r="H4607">
        <v>1</v>
      </c>
      <c r="I4607">
        <v>0</v>
      </c>
      <c r="J4607">
        <v>21.99</v>
      </c>
      <c r="K4607">
        <v>0</v>
      </c>
    </row>
    <row r="4608" spans="1:11" x14ac:dyDescent="0.2">
      <c r="A4608">
        <v>33814</v>
      </c>
      <c r="B4608">
        <v>293008</v>
      </c>
      <c r="C4608" t="s">
        <v>7961</v>
      </c>
      <c r="D4608">
        <v>10</v>
      </c>
      <c r="E4608">
        <v>6</v>
      </c>
      <c r="F4608">
        <v>0</v>
      </c>
      <c r="G4608">
        <v>0</v>
      </c>
      <c r="H4608">
        <v>48</v>
      </c>
      <c r="I4608">
        <v>0</v>
      </c>
      <c r="J4608">
        <v>9.49</v>
      </c>
      <c r="K4608">
        <v>0</v>
      </c>
    </row>
    <row r="4609" spans="1:11" x14ac:dyDescent="0.2">
      <c r="A4609">
        <v>10304</v>
      </c>
      <c r="B4609">
        <v>293012</v>
      </c>
      <c r="C4609" t="s">
        <v>8110</v>
      </c>
      <c r="D4609">
        <v>10</v>
      </c>
      <c r="E4609">
        <v>12</v>
      </c>
      <c r="F4609">
        <v>0</v>
      </c>
      <c r="G4609">
        <v>0</v>
      </c>
      <c r="H4609">
        <v>38</v>
      </c>
      <c r="I4609">
        <v>0</v>
      </c>
      <c r="J4609">
        <v>2.99</v>
      </c>
      <c r="K4609">
        <v>0</v>
      </c>
    </row>
    <row r="4610" spans="1:11" x14ac:dyDescent="0.2">
      <c r="A4610">
        <v>10305</v>
      </c>
      <c r="B4610">
        <v>293018</v>
      </c>
      <c r="C4610" t="s">
        <v>8111</v>
      </c>
      <c r="D4610">
        <v>10</v>
      </c>
      <c r="E4610">
        <v>3</v>
      </c>
      <c r="F4610">
        <v>0</v>
      </c>
      <c r="G4610">
        <v>0</v>
      </c>
      <c r="H4610">
        <v>28</v>
      </c>
      <c r="I4610">
        <v>0</v>
      </c>
      <c r="J4610">
        <v>13.99</v>
      </c>
      <c r="K4610">
        <v>0</v>
      </c>
    </row>
    <row r="4611" spans="1:11" x14ac:dyDescent="0.2">
      <c r="A4611">
        <v>10306</v>
      </c>
      <c r="B4611">
        <v>293028</v>
      </c>
      <c r="C4611" t="s">
        <v>8112</v>
      </c>
      <c r="D4611">
        <v>10</v>
      </c>
      <c r="E4611">
        <v>2</v>
      </c>
      <c r="F4611">
        <v>0</v>
      </c>
      <c r="G4611">
        <v>0</v>
      </c>
      <c r="H4611">
        <v>100</v>
      </c>
      <c r="I4611">
        <v>0</v>
      </c>
      <c r="J4611">
        <v>19.989999999999998</v>
      </c>
      <c r="K4611">
        <v>0</v>
      </c>
    </row>
    <row r="4612" spans="1:11" x14ac:dyDescent="0.2">
      <c r="A4612">
        <v>35924</v>
      </c>
      <c r="B4612">
        <v>293029</v>
      </c>
      <c r="C4612" t="s">
        <v>8113</v>
      </c>
      <c r="D4612">
        <v>10</v>
      </c>
      <c r="E4612">
        <v>2</v>
      </c>
      <c r="F4612">
        <v>0</v>
      </c>
      <c r="G4612">
        <v>0</v>
      </c>
      <c r="H4612">
        <v>40</v>
      </c>
      <c r="I4612">
        <v>0</v>
      </c>
      <c r="J4612">
        <v>26.99</v>
      </c>
      <c r="K4612">
        <v>0</v>
      </c>
    </row>
    <row r="4613" spans="1:11" x14ac:dyDescent="0.2">
      <c r="A4613">
        <v>29934</v>
      </c>
      <c r="B4613">
        <v>293087</v>
      </c>
      <c r="C4613" t="s">
        <v>8114</v>
      </c>
      <c r="D4613">
        <v>10</v>
      </c>
      <c r="E4613">
        <v>48</v>
      </c>
      <c r="F4613">
        <v>0</v>
      </c>
      <c r="G4613">
        <v>0</v>
      </c>
      <c r="H4613">
        <v>64</v>
      </c>
      <c r="I4613">
        <v>0</v>
      </c>
      <c r="J4613">
        <v>1</v>
      </c>
      <c r="K4613">
        <v>0</v>
      </c>
    </row>
    <row r="4614" spans="1:11" x14ac:dyDescent="0.2">
      <c r="A4614">
        <v>43811</v>
      </c>
      <c r="B4614">
        <v>293109</v>
      </c>
      <c r="C4614" t="s">
        <v>8115</v>
      </c>
      <c r="D4614">
        <v>10</v>
      </c>
      <c r="E4614">
        <v>6</v>
      </c>
      <c r="F4614">
        <v>1</v>
      </c>
      <c r="G4614">
        <v>6</v>
      </c>
      <c r="H4614">
        <v>48</v>
      </c>
      <c r="I4614">
        <v>0</v>
      </c>
      <c r="J4614">
        <v>4.99</v>
      </c>
      <c r="K4614">
        <v>29.94</v>
      </c>
    </row>
    <row r="4615" spans="1:11" x14ac:dyDescent="0.2">
      <c r="A4615">
        <v>43812</v>
      </c>
      <c r="B4615">
        <v>293111</v>
      </c>
      <c r="C4615" t="s">
        <v>8116</v>
      </c>
      <c r="D4615">
        <v>10</v>
      </c>
      <c r="E4615">
        <v>6</v>
      </c>
      <c r="F4615">
        <v>1</v>
      </c>
      <c r="G4615">
        <v>6</v>
      </c>
      <c r="H4615">
        <v>128</v>
      </c>
      <c r="I4615">
        <v>0</v>
      </c>
      <c r="J4615">
        <v>11.99</v>
      </c>
      <c r="K4615">
        <v>71.94</v>
      </c>
    </row>
    <row r="4616" spans="1:11" x14ac:dyDescent="0.2">
      <c r="B4616">
        <v>293117</v>
      </c>
      <c r="C4616" t="s">
        <v>8117</v>
      </c>
      <c r="D4616">
        <v>12</v>
      </c>
      <c r="E4616">
        <v>12</v>
      </c>
      <c r="F4616">
        <v>0</v>
      </c>
      <c r="G4616">
        <v>0</v>
      </c>
      <c r="H4616">
        <v>48</v>
      </c>
      <c r="I4616">
        <v>0</v>
      </c>
      <c r="J4616">
        <v>5.99</v>
      </c>
      <c r="K4616">
        <v>0</v>
      </c>
    </row>
    <row r="4617" spans="1:11" x14ac:dyDescent="0.2">
      <c r="A4617">
        <v>50371</v>
      </c>
      <c r="B4617">
        <v>293137</v>
      </c>
      <c r="C4617" t="s">
        <v>8118</v>
      </c>
      <c r="D4617">
        <v>10</v>
      </c>
      <c r="E4617">
        <v>4</v>
      </c>
      <c r="F4617">
        <v>0</v>
      </c>
      <c r="G4617">
        <v>0</v>
      </c>
      <c r="H4617">
        <v>54</v>
      </c>
      <c r="I4617">
        <v>0</v>
      </c>
      <c r="J4617">
        <v>29.99</v>
      </c>
      <c r="K4617">
        <v>0</v>
      </c>
    </row>
    <row r="4618" spans="1:11" x14ac:dyDescent="0.2">
      <c r="A4618">
        <v>25955</v>
      </c>
      <c r="B4618">
        <v>293183</v>
      </c>
      <c r="C4618" t="s">
        <v>8119</v>
      </c>
      <c r="D4618">
        <v>10</v>
      </c>
      <c r="E4618">
        <v>14</v>
      </c>
      <c r="F4618">
        <v>0</v>
      </c>
      <c r="G4618">
        <v>0</v>
      </c>
      <c r="H4618">
        <v>12</v>
      </c>
      <c r="I4618">
        <v>0</v>
      </c>
      <c r="J4618">
        <v>1</v>
      </c>
      <c r="K4618">
        <v>0</v>
      </c>
    </row>
    <row r="4619" spans="1:11" x14ac:dyDescent="0.2">
      <c r="A4619">
        <v>33815</v>
      </c>
      <c r="B4619">
        <v>293210</v>
      </c>
      <c r="C4619" t="s">
        <v>8120</v>
      </c>
      <c r="D4619">
        <v>10</v>
      </c>
      <c r="E4619">
        <v>6</v>
      </c>
      <c r="F4619">
        <v>0</v>
      </c>
      <c r="G4619">
        <v>0</v>
      </c>
      <c r="H4619">
        <v>50</v>
      </c>
      <c r="I4619">
        <v>0</v>
      </c>
      <c r="J4619">
        <v>11.99</v>
      </c>
      <c r="K4619">
        <v>0</v>
      </c>
    </row>
    <row r="4620" spans="1:11" x14ac:dyDescent="0.2">
      <c r="A4620">
        <v>31805</v>
      </c>
      <c r="B4620">
        <v>293223</v>
      </c>
      <c r="C4620" t="s">
        <v>8121</v>
      </c>
      <c r="D4620">
        <v>10</v>
      </c>
      <c r="E4620">
        <v>6</v>
      </c>
      <c r="F4620">
        <v>0</v>
      </c>
      <c r="G4620">
        <v>0</v>
      </c>
      <c r="H4620">
        <v>78</v>
      </c>
      <c r="I4620">
        <v>0</v>
      </c>
      <c r="J4620">
        <v>9.99</v>
      </c>
      <c r="K4620">
        <v>0</v>
      </c>
    </row>
    <row r="4621" spans="1:11" x14ac:dyDescent="0.2">
      <c r="A4621">
        <v>37815</v>
      </c>
      <c r="B4621">
        <v>293266</v>
      </c>
      <c r="C4621" t="s">
        <v>8122</v>
      </c>
      <c r="D4621">
        <v>10</v>
      </c>
      <c r="E4621">
        <v>10</v>
      </c>
      <c r="F4621">
        <v>0</v>
      </c>
      <c r="G4621">
        <v>0</v>
      </c>
      <c r="H4621">
        <v>24</v>
      </c>
      <c r="I4621">
        <v>0</v>
      </c>
      <c r="J4621">
        <v>7.99</v>
      </c>
      <c r="K4621">
        <v>0</v>
      </c>
    </row>
    <row r="4622" spans="1:11" x14ac:dyDescent="0.2">
      <c r="A4622">
        <v>38402</v>
      </c>
      <c r="B4622">
        <v>293276</v>
      </c>
      <c r="C4622" t="s">
        <v>8123</v>
      </c>
      <c r="D4622">
        <v>10</v>
      </c>
      <c r="E4622">
        <v>8</v>
      </c>
      <c r="F4622">
        <v>0</v>
      </c>
      <c r="G4622">
        <v>0</v>
      </c>
      <c r="H4622">
        <v>56</v>
      </c>
      <c r="I4622">
        <v>0</v>
      </c>
      <c r="J4622">
        <v>7.99</v>
      </c>
      <c r="K4622">
        <v>0</v>
      </c>
    </row>
    <row r="4623" spans="1:11" x14ac:dyDescent="0.2">
      <c r="A4623">
        <v>10308</v>
      </c>
      <c r="B4623">
        <v>293291</v>
      </c>
      <c r="C4623" t="s">
        <v>8124</v>
      </c>
      <c r="D4623">
        <v>10</v>
      </c>
      <c r="E4623">
        <v>6</v>
      </c>
      <c r="F4623">
        <v>0</v>
      </c>
      <c r="G4623">
        <v>0</v>
      </c>
      <c r="H4623">
        <v>48</v>
      </c>
      <c r="I4623">
        <v>0</v>
      </c>
      <c r="J4623">
        <v>4.99</v>
      </c>
      <c r="K4623">
        <v>0</v>
      </c>
    </row>
    <row r="4624" spans="1:11" x14ac:dyDescent="0.2">
      <c r="A4624">
        <v>2204</v>
      </c>
      <c r="B4624">
        <v>293305</v>
      </c>
      <c r="C4624" t="s">
        <v>8125</v>
      </c>
      <c r="D4624">
        <v>6</v>
      </c>
      <c r="E4624">
        <v>6</v>
      </c>
      <c r="F4624">
        <v>120</v>
      </c>
      <c r="G4624">
        <v>720</v>
      </c>
      <c r="H4624">
        <v>36</v>
      </c>
      <c r="I4624">
        <v>3.3</v>
      </c>
      <c r="J4624">
        <v>19.989999999999998</v>
      </c>
      <c r="K4624">
        <v>14392.8</v>
      </c>
    </row>
    <row r="4625" spans="1:11" x14ac:dyDescent="0.2">
      <c r="A4625">
        <v>29953</v>
      </c>
      <c r="B4625">
        <v>293371</v>
      </c>
      <c r="C4625" t="s">
        <v>8126</v>
      </c>
      <c r="D4625">
        <v>10</v>
      </c>
      <c r="E4625">
        <v>12</v>
      </c>
      <c r="F4625">
        <v>0</v>
      </c>
      <c r="G4625">
        <v>0</v>
      </c>
      <c r="H4625">
        <v>14</v>
      </c>
      <c r="I4625">
        <v>0</v>
      </c>
      <c r="J4625">
        <v>1</v>
      </c>
      <c r="K4625">
        <v>0</v>
      </c>
    </row>
    <row r="4626" spans="1:11" x14ac:dyDescent="0.2">
      <c r="A4626">
        <v>25956</v>
      </c>
      <c r="B4626">
        <v>293382</v>
      </c>
      <c r="C4626" t="s">
        <v>8127</v>
      </c>
      <c r="D4626">
        <v>10</v>
      </c>
      <c r="E4626">
        <v>10</v>
      </c>
      <c r="F4626">
        <v>0</v>
      </c>
      <c r="G4626">
        <v>0</v>
      </c>
      <c r="H4626">
        <v>15</v>
      </c>
      <c r="I4626">
        <v>0</v>
      </c>
      <c r="J4626">
        <v>1</v>
      </c>
      <c r="K4626">
        <v>0</v>
      </c>
    </row>
    <row r="4627" spans="1:11" x14ac:dyDescent="0.2">
      <c r="A4627">
        <v>25957</v>
      </c>
      <c r="B4627">
        <v>293385</v>
      </c>
      <c r="C4627" t="s">
        <v>8128</v>
      </c>
      <c r="D4627">
        <v>10</v>
      </c>
      <c r="E4627">
        <v>15</v>
      </c>
      <c r="F4627">
        <v>0</v>
      </c>
      <c r="G4627">
        <v>0</v>
      </c>
      <c r="H4627">
        <v>28</v>
      </c>
      <c r="I4627">
        <v>0</v>
      </c>
      <c r="J4627">
        <v>1</v>
      </c>
      <c r="K4627">
        <v>0</v>
      </c>
    </row>
    <row r="4628" spans="1:11" x14ac:dyDescent="0.2">
      <c r="A4628">
        <v>29954</v>
      </c>
      <c r="B4628">
        <v>293431</v>
      </c>
      <c r="C4628" t="s">
        <v>8129</v>
      </c>
      <c r="D4628">
        <v>10</v>
      </c>
      <c r="E4628">
        <v>9</v>
      </c>
      <c r="F4628">
        <v>0</v>
      </c>
      <c r="G4628">
        <v>0</v>
      </c>
      <c r="H4628">
        <v>91</v>
      </c>
      <c r="I4628">
        <v>0</v>
      </c>
      <c r="J4628">
        <v>1</v>
      </c>
      <c r="K4628">
        <v>0</v>
      </c>
    </row>
    <row r="4629" spans="1:11" x14ac:dyDescent="0.2">
      <c r="A4629">
        <v>26816</v>
      </c>
      <c r="B4629">
        <v>293441</v>
      </c>
      <c r="C4629" t="s">
        <v>8130</v>
      </c>
      <c r="D4629">
        <v>10</v>
      </c>
      <c r="E4629">
        <v>20</v>
      </c>
      <c r="F4629">
        <v>0</v>
      </c>
      <c r="G4629">
        <v>0</v>
      </c>
      <c r="H4629">
        <v>100</v>
      </c>
      <c r="I4629">
        <v>0</v>
      </c>
      <c r="J4629">
        <v>6.99</v>
      </c>
      <c r="K4629">
        <v>0</v>
      </c>
    </row>
    <row r="4630" spans="1:11" x14ac:dyDescent="0.2">
      <c r="A4630">
        <v>25959</v>
      </c>
      <c r="B4630">
        <v>293462</v>
      </c>
      <c r="C4630" t="s">
        <v>8131</v>
      </c>
      <c r="D4630">
        <v>10</v>
      </c>
      <c r="E4630">
        <v>12</v>
      </c>
      <c r="F4630">
        <v>0</v>
      </c>
      <c r="G4630">
        <v>0</v>
      </c>
      <c r="H4630">
        <v>20</v>
      </c>
      <c r="I4630">
        <v>0</v>
      </c>
      <c r="J4630">
        <v>1</v>
      </c>
      <c r="K4630">
        <v>0</v>
      </c>
    </row>
    <row r="4631" spans="1:11" x14ac:dyDescent="0.2">
      <c r="A4631">
        <v>25960</v>
      </c>
      <c r="B4631">
        <v>293489</v>
      </c>
      <c r="C4631" t="s">
        <v>8132</v>
      </c>
      <c r="D4631">
        <v>10</v>
      </c>
      <c r="E4631">
        <v>8</v>
      </c>
      <c r="F4631">
        <v>0</v>
      </c>
      <c r="G4631">
        <v>0</v>
      </c>
      <c r="H4631">
        <v>42</v>
      </c>
      <c r="I4631">
        <v>0</v>
      </c>
      <c r="J4631">
        <v>1</v>
      </c>
      <c r="K4631">
        <v>0</v>
      </c>
    </row>
    <row r="4632" spans="1:11" x14ac:dyDescent="0.2">
      <c r="A4632">
        <v>43813</v>
      </c>
      <c r="B4632">
        <v>293506</v>
      </c>
      <c r="C4632" t="s">
        <v>8133</v>
      </c>
      <c r="D4632">
        <v>10</v>
      </c>
      <c r="E4632">
        <v>6</v>
      </c>
      <c r="F4632">
        <v>2</v>
      </c>
      <c r="G4632">
        <v>12</v>
      </c>
      <c r="H4632">
        <v>91</v>
      </c>
      <c r="I4632">
        <v>0</v>
      </c>
      <c r="J4632">
        <v>9.99</v>
      </c>
      <c r="K4632">
        <v>119.88</v>
      </c>
    </row>
    <row r="4633" spans="1:11" x14ac:dyDescent="0.2">
      <c r="A4633">
        <v>40920</v>
      </c>
      <c r="B4633">
        <v>293519</v>
      </c>
      <c r="C4633" t="s">
        <v>8134</v>
      </c>
      <c r="D4633">
        <v>10</v>
      </c>
      <c r="E4633">
        <v>6</v>
      </c>
      <c r="F4633">
        <v>0</v>
      </c>
      <c r="G4633">
        <v>0</v>
      </c>
      <c r="H4633">
        <v>36</v>
      </c>
      <c r="I4633">
        <v>0</v>
      </c>
      <c r="J4633">
        <v>1</v>
      </c>
      <c r="K4633">
        <v>0</v>
      </c>
    </row>
    <row r="4634" spans="1:11" x14ac:dyDescent="0.2">
      <c r="A4634">
        <v>10310</v>
      </c>
      <c r="B4634">
        <v>293520</v>
      </c>
      <c r="C4634" t="s">
        <v>8135</v>
      </c>
      <c r="D4634">
        <v>10</v>
      </c>
      <c r="E4634">
        <v>10</v>
      </c>
      <c r="F4634">
        <v>0</v>
      </c>
      <c r="G4634">
        <v>0</v>
      </c>
      <c r="H4634">
        <v>18</v>
      </c>
      <c r="I4634">
        <v>0</v>
      </c>
      <c r="J4634">
        <v>9.99</v>
      </c>
      <c r="K4634">
        <v>0</v>
      </c>
    </row>
    <row r="4635" spans="1:11" x14ac:dyDescent="0.2">
      <c r="A4635">
        <v>10312</v>
      </c>
      <c r="B4635">
        <v>293570</v>
      </c>
      <c r="C4635" t="s">
        <v>8136</v>
      </c>
      <c r="D4635">
        <v>10</v>
      </c>
      <c r="E4635">
        <v>9</v>
      </c>
      <c r="F4635">
        <v>0</v>
      </c>
      <c r="G4635">
        <v>0</v>
      </c>
      <c r="H4635">
        <v>70</v>
      </c>
      <c r="I4635">
        <v>0</v>
      </c>
      <c r="J4635">
        <v>3.99</v>
      </c>
      <c r="K4635">
        <v>0</v>
      </c>
    </row>
    <row r="4636" spans="1:11" x14ac:dyDescent="0.2">
      <c r="A4636">
        <v>25964</v>
      </c>
      <c r="B4636">
        <v>293608</v>
      </c>
      <c r="C4636" t="s">
        <v>8137</v>
      </c>
      <c r="D4636">
        <v>10</v>
      </c>
      <c r="E4636">
        <v>12</v>
      </c>
      <c r="F4636">
        <v>0</v>
      </c>
      <c r="G4636">
        <v>0</v>
      </c>
      <c r="H4636">
        <v>25</v>
      </c>
      <c r="I4636">
        <v>0</v>
      </c>
      <c r="J4636">
        <v>1</v>
      </c>
      <c r="K4636">
        <v>0</v>
      </c>
    </row>
    <row r="4637" spans="1:11" x14ac:dyDescent="0.2">
      <c r="A4637">
        <v>35925</v>
      </c>
      <c r="B4637">
        <v>293620</v>
      </c>
      <c r="C4637" t="s">
        <v>8138</v>
      </c>
      <c r="D4637">
        <v>10</v>
      </c>
      <c r="E4637">
        <v>10</v>
      </c>
      <c r="F4637">
        <v>0</v>
      </c>
      <c r="G4637">
        <v>0</v>
      </c>
      <c r="H4637">
        <v>112</v>
      </c>
      <c r="I4637">
        <v>0</v>
      </c>
      <c r="J4637">
        <v>5.99</v>
      </c>
      <c r="K4637">
        <v>0</v>
      </c>
    </row>
    <row r="4638" spans="1:11" x14ac:dyDescent="0.2">
      <c r="A4638">
        <v>43814</v>
      </c>
      <c r="B4638">
        <v>293651</v>
      </c>
      <c r="C4638" t="s">
        <v>8139</v>
      </c>
      <c r="D4638">
        <v>10</v>
      </c>
      <c r="E4638">
        <v>12</v>
      </c>
      <c r="F4638">
        <v>1</v>
      </c>
      <c r="G4638">
        <v>12</v>
      </c>
      <c r="H4638">
        <v>8</v>
      </c>
      <c r="I4638">
        <v>0.1</v>
      </c>
      <c r="J4638">
        <v>5.99</v>
      </c>
      <c r="K4638">
        <v>71.88</v>
      </c>
    </row>
    <row r="4639" spans="1:11" x14ac:dyDescent="0.2">
      <c r="A4639">
        <v>52015</v>
      </c>
      <c r="B4639">
        <v>293689</v>
      </c>
      <c r="C4639" t="s">
        <v>8140</v>
      </c>
      <c r="D4639">
        <v>10</v>
      </c>
      <c r="E4639">
        <v>4</v>
      </c>
      <c r="F4639">
        <v>78</v>
      </c>
      <c r="G4639">
        <v>312</v>
      </c>
      <c r="H4639">
        <v>20</v>
      </c>
      <c r="I4639">
        <v>3.9</v>
      </c>
      <c r="J4639">
        <v>14.99</v>
      </c>
      <c r="K4639">
        <v>4676.88</v>
      </c>
    </row>
    <row r="4640" spans="1:11" x14ac:dyDescent="0.2">
      <c r="A4640">
        <v>52016</v>
      </c>
      <c r="B4640">
        <v>293691</v>
      </c>
      <c r="C4640" t="s">
        <v>8141</v>
      </c>
      <c r="D4640">
        <v>10</v>
      </c>
      <c r="E4640">
        <v>4</v>
      </c>
      <c r="F4640">
        <v>85</v>
      </c>
      <c r="G4640">
        <v>340</v>
      </c>
      <c r="H4640">
        <v>10</v>
      </c>
      <c r="I4640">
        <v>8.5</v>
      </c>
      <c r="J4640">
        <v>24.99</v>
      </c>
      <c r="K4640">
        <v>8496.6</v>
      </c>
    </row>
    <row r="4641" spans="1:11" x14ac:dyDescent="0.2">
      <c r="A4641">
        <v>52017</v>
      </c>
      <c r="B4641">
        <v>293697</v>
      </c>
      <c r="C4641" t="s">
        <v>8142</v>
      </c>
      <c r="D4641">
        <v>10</v>
      </c>
      <c r="E4641">
        <v>4</v>
      </c>
      <c r="F4641">
        <v>149</v>
      </c>
      <c r="G4641">
        <v>594</v>
      </c>
      <c r="H4641">
        <v>8</v>
      </c>
      <c r="I4641">
        <v>18.600000000000001</v>
      </c>
      <c r="J4641">
        <v>29.99</v>
      </c>
      <c r="K4641">
        <v>17814.060000000001</v>
      </c>
    </row>
    <row r="4642" spans="1:11" x14ac:dyDescent="0.2">
      <c r="A4642">
        <v>47927</v>
      </c>
      <c r="B4642">
        <v>293713</v>
      </c>
      <c r="C4642" t="s">
        <v>8143</v>
      </c>
      <c r="D4642">
        <v>10</v>
      </c>
      <c r="E4642">
        <v>10</v>
      </c>
      <c r="F4642">
        <v>0</v>
      </c>
      <c r="G4642">
        <v>0</v>
      </c>
      <c r="H4642">
        <v>36</v>
      </c>
      <c r="I4642">
        <v>0</v>
      </c>
      <c r="J4642">
        <v>1</v>
      </c>
      <c r="K4642">
        <v>0</v>
      </c>
    </row>
    <row r="4643" spans="1:11" x14ac:dyDescent="0.2">
      <c r="A4643">
        <v>39807</v>
      </c>
      <c r="B4643">
        <v>293723</v>
      </c>
      <c r="C4643" t="s">
        <v>8144</v>
      </c>
      <c r="D4643">
        <v>10</v>
      </c>
      <c r="E4643">
        <v>10</v>
      </c>
      <c r="F4643">
        <v>0</v>
      </c>
      <c r="G4643">
        <v>0</v>
      </c>
      <c r="H4643">
        <v>112</v>
      </c>
      <c r="I4643">
        <v>0</v>
      </c>
      <c r="J4643">
        <v>5.99</v>
      </c>
      <c r="K4643">
        <v>0</v>
      </c>
    </row>
    <row r="4644" spans="1:11" x14ac:dyDescent="0.2">
      <c r="A4644">
        <v>46809</v>
      </c>
      <c r="B4644">
        <v>293783</v>
      </c>
      <c r="C4644" t="s">
        <v>8097</v>
      </c>
      <c r="D4644">
        <v>11</v>
      </c>
      <c r="E4644">
        <v>12</v>
      </c>
      <c r="F4644">
        <v>0</v>
      </c>
      <c r="G4644">
        <v>0</v>
      </c>
      <c r="H4644">
        <v>48</v>
      </c>
      <c r="I4644">
        <v>0</v>
      </c>
      <c r="J4644">
        <v>6.99</v>
      </c>
      <c r="K4644">
        <v>0</v>
      </c>
    </row>
    <row r="4645" spans="1:11" x14ac:dyDescent="0.2">
      <c r="A4645">
        <v>25965</v>
      </c>
      <c r="B4645">
        <v>293785</v>
      </c>
      <c r="C4645" t="s">
        <v>8145</v>
      </c>
      <c r="D4645">
        <v>10</v>
      </c>
      <c r="E4645">
        <v>14</v>
      </c>
      <c r="F4645">
        <v>0</v>
      </c>
      <c r="G4645">
        <v>0</v>
      </c>
      <c r="H4645">
        <v>66</v>
      </c>
      <c r="I4645">
        <v>0</v>
      </c>
      <c r="J4645">
        <v>1</v>
      </c>
      <c r="K4645">
        <v>0</v>
      </c>
    </row>
    <row r="4646" spans="1:11" x14ac:dyDescent="0.2">
      <c r="A4646">
        <v>25966</v>
      </c>
      <c r="B4646">
        <v>293798</v>
      </c>
      <c r="C4646" t="s">
        <v>8146</v>
      </c>
      <c r="D4646">
        <v>10</v>
      </c>
      <c r="E4646">
        <v>14</v>
      </c>
      <c r="F4646">
        <v>0</v>
      </c>
      <c r="G4646">
        <v>0</v>
      </c>
      <c r="H4646">
        <v>77</v>
      </c>
      <c r="I4646">
        <v>0</v>
      </c>
      <c r="J4646">
        <v>1</v>
      </c>
      <c r="K4646">
        <v>0</v>
      </c>
    </row>
    <row r="4647" spans="1:11" x14ac:dyDescent="0.2">
      <c r="A4647">
        <v>25967</v>
      </c>
      <c r="B4647">
        <v>293803</v>
      </c>
      <c r="C4647" t="s">
        <v>8147</v>
      </c>
      <c r="D4647">
        <v>10</v>
      </c>
      <c r="E4647">
        <v>18</v>
      </c>
      <c r="F4647">
        <v>0</v>
      </c>
      <c r="G4647">
        <v>0</v>
      </c>
      <c r="H4647">
        <v>72</v>
      </c>
      <c r="I4647">
        <v>0</v>
      </c>
      <c r="J4647">
        <v>1</v>
      </c>
      <c r="K4647">
        <v>0</v>
      </c>
    </row>
    <row r="4648" spans="1:11" x14ac:dyDescent="0.2">
      <c r="B4648">
        <v>293808</v>
      </c>
      <c r="C4648" t="s">
        <v>8148</v>
      </c>
      <c r="D4648">
        <v>10</v>
      </c>
      <c r="E4648">
        <v>6</v>
      </c>
      <c r="F4648">
        <v>0</v>
      </c>
      <c r="G4648">
        <v>0</v>
      </c>
      <c r="H4648">
        <v>64</v>
      </c>
      <c r="I4648">
        <v>0</v>
      </c>
      <c r="J4648">
        <v>14.99</v>
      </c>
      <c r="K4648">
        <v>0</v>
      </c>
    </row>
    <row r="4649" spans="1:11" x14ac:dyDescent="0.2">
      <c r="A4649">
        <v>25968</v>
      </c>
      <c r="B4649">
        <v>293811</v>
      </c>
      <c r="C4649" t="s">
        <v>8149</v>
      </c>
      <c r="D4649">
        <v>10</v>
      </c>
      <c r="E4649">
        <v>12</v>
      </c>
      <c r="F4649">
        <v>0</v>
      </c>
      <c r="G4649">
        <v>0</v>
      </c>
      <c r="H4649">
        <v>176</v>
      </c>
      <c r="I4649">
        <v>0</v>
      </c>
      <c r="J4649">
        <v>1</v>
      </c>
      <c r="K4649">
        <v>0</v>
      </c>
    </row>
    <row r="4650" spans="1:11" x14ac:dyDescent="0.2">
      <c r="B4650">
        <v>293840</v>
      </c>
      <c r="C4650" t="s">
        <v>8150</v>
      </c>
      <c r="D4650">
        <v>12</v>
      </c>
      <c r="E4650">
        <v>10</v>
      </c>
      <c r="F4650">
        <v>0</v>
      </c>
      <c r="G4650">
        <v>0</v>
      </c>
      <c r="H4650">
        <v>120</v>
      </c>
      <c r="I4650">
        <v>0</v>
      </c>
      <c r="J4650">
        <v>3.99</v>
      </c>
      <c r="K4650">
        <v>0</v>
      </c>
    </row>
    <row r="4651" spans="1:11" x14ac:dyDescent="0.2">
      <c r="A4651">
        <v>35926</v>
      </c>
      <c r="B4651">
        <v>293935</v>
      </c>
      <c r="C4651" t="s">
        <v>8151</v>
      </c>
      <c r="D4651">
        <v>10</v>
      </c>
      <c r="E4651">
        <v>6</v>
      </c>
      <c r="F4651">
        <v>0</v>
      </c>
      <c r="G4651">
        <v>0</v>
      </c>
      <c r="H4651">
        <v>224</v>
      </c>
      <c r="I4651">
        <v>0</v>
      </c>
      <c r="J4651">
        <v>7.99</v>
      </c>
      <c r="K4651">
        <v>0</v>
      </c>
    </row>
    <row r="4652" spans="1:11" x14ac:dyDescent="0.2">
      <c r="A4652">
        <v>25969</v>
      </c>
      <c r="B4652">
        <v>293984</v>
      </c>
      <c r="C4652" t="s">
        <v>8152</v>
      </c>
      <c r="D4652">
        <v>10</v>
      </c>
      <c r="E4652">
        <v>14</v>
      </c>
      <c r="F4652">
        <v>0</v>
      </c>
      <c r="G4652">
        <v>0</v>
      </c>
      <c r="H4652">
        <v>70</v>
      </c>
      <c r="I4652">
        <v>0</v>
      </c>
      <c r="J4652">
        <v>1</v>
      </c>
      <c r="K4652">
        <v>0</v>
      </c>
    </row>
    <row r="4653" spans="1:11" x14ac:dyDescent="0.2">
      <c r="A4653">
        <v>1201</v>
      </c>
      <c r="B4653">
        <v>294005</v>
      </c>
      <c r="C4653" t="s">
        <v>8153</v>
      </c>
      <c r="D4653">
        <v>6</v>
      </c>
      <c r="E4653">
        <v>96</v>
      </c>
      <c r="F4653">
        <v>0</v>
      </c>
      <c r="G4653">
        <v>0</v>
      </c>
      <c r="H4653">
        <v>3</v>
      </c>
      <c r="I4653">
        <v>0</v>
      </c>
      <c r="J4653">
        <v>5.99</v>
      </c>
      <c r="K4653">
        <v>0</v>
      </c>
    </row>
    <row r="4654" spans="1:11" x14ac:dyDescent="0.2">
      <c r="A4654">
        <v>25970</v>
      </c>
      <c r="B4654">
        <v>294041</v>
      </c>
      <c r="C4654" t="s">
        <v>8154</v>
      </c>
      <c r="D4654">
        <v>10</v>
      </c>
      <c r="E4654">
        <v>10</v>
      </c>
      <c r="F4654">
        <v>0</v>
      </c>
      <c r="G4654">
        <v>0</v>
      </c>
      <c r="H4654">
        <v>100</v>
      </c>
      <c r="I4654">
        <v>0</v>
      </c>
      <c r="J4654">
        <v>1</v>
      </c>
      <c r="K4654">
        <v>0</v>
      </c>
    </row>
    <row r="4655" spans="1:11" x14ac:dyDescent="0.2">
      <c r="A4655">
        <v>41815</v>
      </c>
      <c r="B4655">
        <v>294060</v>
      </c>
      <c r="C4655" t="s">
        <v>8155</v>
      </c>
      <c r="D4655">
        <v>10</v>
      </c>
      <c r="E4655">
        <v>6</v>
      </c>
      <c r="F4655">
        <v>0</v>
      </c>
      <c r="G4655">
        <v>0</v>
      </c>
      <c r="H4655">
        <v>30</v>
      </c>
      <c r="I4655">
        <v>0</v>
      </c>
      <c r="J4655">
        <v>26.99</v>
      </c>
      <c r="K4655">
        <v>0</v>
      </c>
    </row>
    <row r="4656" spans="1:11" x14ac:dyDescent="0.2">
      <c r="A4656">
        <v>25972</v>
      </c>
      <c r="B4656">
        <v>294192</v>
      </c>
      <c r="C4656" t="s">
        <v>8156</v>
      </c>
      <c r="D4656">
        <v>10</v>
      </c>
      <c r="E4656">
        <v>10</v>
      </c>
      <c r="F4656">
        <v>0</v>
      </c>
      <c r="G4656">
        <v>0</v>
      </c>
      <c r="H4656">
        <v>76</v>
      </c>
      <c r="I4656">
        <v>0</v>
      </c>
      <c r="J4656">
        <v>1</v>
      </c>
      <c r="K4656">
        <v>0</v>
      </c>
    </row>
    <row r="4657" spans="1:11" x14ac:dyDescent="0.2">
      <c r="B4657">
        <v>294197</v>
      </c>
      <c r="C4657" t="s">
        <v>8157</v>
      </c>
      <c r="D4657">
        <v>12</v>
      </c>
      <c r="E4657">
        <v>4</v>
      </c>
      <c r="F4657">
        <v>0</v>
      </c>
      <c r="G4657">
        <v>0</v>
      </c>
      <c r="H4657">
        <v>104</v>
      </c>
      <c r="I4657">
        <v>0</v>
      </c>
      <c r="J4657">
        <v>14.99</v>
      </c>
      <c r="K4657">
        <v>0</v>
      </c>
    </row>
    <row r="4658" spans="1:11" x14ac:dyDescent="0.2">
      <c r="B4658">
        <v>294464</v>
      </c>
      <c r="C4658" t="s">
        <v>8158</v>
      </c>
      <c r="D4658">
        <v>10</v>
      </c>
      <c r="E4658">
        <v>8</v>
      </c>
      <c r="F4658">
        <v>0</v>
      </c>
      <c r="G4658">
        <v>0</v>
      </c>
      <c r="H4658">
        <v>48</v>
      </c>
      <c r="I4658">
        <v>0</v>
      </c>
      <c r="J4658">
        <v>11.99</v>
      </c>
      <c r="K4658">
        <v>0</v>
      </c>
    </row>
    <row r="4659" spans="1:11" x14ac:dyDescent="0.2">
      <c r="A4659">
        <v>25974</v>
      </c>
      <c r="B4659">
        <v>294476</v>
      </c>
      <c r="C4659" t="s">
        <v>8159</v>
      </c>
      <c r="D4659">
        <v>10</v>
      </c>
      <c r="E4659">
        <v>8</v>
      </c>
      <c r="F4659">
        <v>0</v>
      </c>
      <c r="G4659">
        <v>0</v>
      </c>
      <c r="H4659">
        <v>40</v>
      </c>
      <c r="I4659">
        <v>0</v>
      </c>
      <c r="J4659">
        <v>19.989999999999998</v>
      </c>
      <c r="K4659">
        <v>0</v>
      </c>
    </row>
    <row r="4660" spans="1:11" x14ac:dyDescent="0.2">
      <c r="A4660">
        <v>35927</v>
      </c>
      <c r="B4660">
        <v>294491</v>
      </c>
      <c r="C4660" t="s">
        <v>8160</v>
      </c>
      <c r="D4660">
        <v>10</v>
      </c>
      <c r="E4660">
        <v>9</v>
      </c>
      <c r="F4660">
        <v>0</v>
      </c>
      <c r="G4660">
        <v>0</v>
      </c>
      <c r="H4660">
        <v>45</v>
      </c>
      <c r="I4660">
        <v>0</v>
      </c>
      <c r="J4660">
        <v>5.99</v>
      </c>
      <c r="K4660">
        <v>0</v>
      </c>
    </row>
    <row r="4661" spans="1:11" x14ac:dyDescent="0.2">
      <c r="A4661">
        <v>25976</v>
      </c>
      <c r="B4661">
        <v>294493</v>
      </c>
      <c r="C4661" t="s">
        <v>7794</v>
      </c>
      <c r="D4661">
        <v>10</v>
      </c>
      <c r="E4661">
        <v>9</v>
      </c>
      <c r="F4661">
        <v>0</v>
      </c>
      <c r="G4661">
        <v>0</v>
      </c>
      <c r="H4661">
        <v>40</v>
      </c>
      <c r="I4661">
        <v>0</v>
      </c>
      <c r="J4661">
        <v>7.99</v>
      </c>
      <c r="K4661">
        <v>0</v>
      </c>
    </row>
    <row r="4662" spans="1:11" x14ac:dyDescent="0.2">
      <c r="A4662">
        <v>52018</v>
      </c>
      <c r="B4662">
        <v>294495</v>
      </c>
      <c r="C4662" t="s">
        <v>7599</v>
      </c>
      <c r="D4662">
        <v>10</v>
      </c>
      <c r="E4662">
        <v>9</v>
      </c>
      <c r="F4662">
        <v>72</v>
      </c>
      <c r="G4662">
        <v>648</v>
      </c>
      <c r="H4662">
        <v>36</v>
      </c>
      <c r="I4662">
        <v>2</v>
      </c>
      <c r="J4662">
        <v>8.99</v>
      </c>
      <c r="K4662">
        <v>5825.52</v>
      </c>
    </row>
    <row r="4663" spans="1:11" x14ac:dyDescent="0.2">
      <c r="B4663">
        <v>295317</v>
      </c>
      <c r="C4663" t="s">
        <v>8161</v>
      </c>
      <c r="D4663">
        <v>12</v>
      </c>
      <c r="E4663">
        <v>10</v>
      </c>
      <c r="F4663">
        <v>0</v>
      </c>
      <c r="G4663">
        <v>0</v>
      </c>
      <c r="H4663">
        <v>80</v>
      </c>
      <c r="I4663">
        <v>0</v>
      </c>
      <c r="J4663">
        <v>4.99</v>
      </c>
      <c r="K4663">
        <v>0</v>
      </c>
    </row>
    <row r="4664" spans="1:11" x14ac:dyDescent="0.2">
      <c r="A4664">
        <v>40807</v>
      </c>
      <c r="B4664">
        <v>295477</v>
      </c>
      <c r="C4664" t="s">
        <v>8162</v>
      </c>
      <c r="D4664">
        <v>10</v>
      </c>
      <c r="E4664">
        <v>4</v>
      </c>
      <c r="F4664">
        <v>0</v>
      </c>
      <c r="G4664">
        <v>0</v>
      </c>
      <c r="H4664">
        <v>36</v>
      </c>
      <c r="I4664">
        <v>0</v>
      </c>
      <c r="J4664">
        <v>19.989999999999998</v>
      </c>
      <c r="K4664">
        <v>0</v>
      </c>
    </row>
    <row r="4665" spans="1:11" x14ac:dyDescent="0.2">
      <c r="A4665">
        <v>32810</v>
      </c>
      <c r="B4665">
        <v>295487</v>
      </c>
      <c r="C4665" t="s">
        <v>8163</v>
      </c>
      <c r="D4665">
        <v>10</v>
      </c>
      <c r="E4665">
        <v>4</v>
      </c>
      <c r="F4665">
        <v>0</v>
      </c>
      <c r="G4665">
        <v>0</v>
      </c>
      <c r="H4665">
        <v>60</v>
      </c>
      <c r="I4665">
        <v>0</v>
      </c>
      <c r="J4665">
        <v>21.99</v>
      </c>
      <c r="K4665">
        <v>0</v>
      </c>
    </row>
    <row r="4666" spans="1:11" x14ac:dyDescent="0.2">
      <c r="A4666">
        <v>31806</v>
      </c>
      <c r="B4666">
        <v>295695</v>
      </c>
      <c r="C4666" t="s">
        <v>8164</v>
      </c>
      <c r="D4666">
        <v>10</v>
      </c>
      <c r="E4666">
        <v>8</v>
      </c>
      <c r="F4666">
        <v>0</v>
      </c>
      <c r="G4666">
        <v>0</v>
      </c>
      <c r="H4666">
        <v>54</v>
      </c>
      <c r="I4666">
        <v>0</v>
      </c>
      <c r="J4666">
        <v>8.99</v>
      </c>
      <c r="K4666">
        <v>0</v>
      </c>
    </row>
    <row r="4667" spans="1:11" x14ac:dyDescent="0.2">
      <c r="A4667">
        <v>30823</v>
      </c>
      <c r="B4667">
        <v>295697</v>
      </c>
      <c r="C4667" t="s">
        <v>8165</v>
      </c>
      <c r="D4667">
        <v>10</v>
      </c>
      <c r="E4667">
        <v>1</v>
      </c>
      <c r="F4667">
        <v>-14</v>
      </c>
      <c r="G4667">
        <v>-14</v>
      </c>
      <c r="H4667">
        <v>20</v>
      </c>
      <c r="I4667">
        <v>-0.7</v>
      </c>
      <c r="J4667">
        <v>37.99</v>
      </c>
      <c r="K4667">
        <v>-531.86</v>
      </c>
    </row>
    <row r="4668" spans="1:11" x14ac:dyDescent="0.2">
      <c r="A4668">
        <v>41816</v>
      </c>
      <c r="B4668">
        <v>295698</v>
      </c>
      <c r="C4668" t="s">
        <v>8166</v>
      </c>
      <c r="D4668">
        <v>10</v>
      </c>
      <c r="E4668">
        <v>3</v>
      </c>
      <c r="F4668">
        <v>0</v>
      </c>
      <c r="G4668">
        <v>0</v>
      </c>
      <c r="H4668">
        <v>35</v>
      </c>
      <c r="I4668">
        <v>0</v>
      </c>
      <c r="J4668">
        <v>12.99</v>
      </c>
      <c r="K4668">
        <v>0</v>
      </c>
    </row>
    <row r="4669" spans="1:11" x14ac:dyDescent="0.2">
      <c r="A4669">
        <v>44810</v>
      </c>
      <c r="B4669">
        <v>295715</v>
      </c>
      <c r="C4669" t="s">
        <v>8167</v>
      </c>
      <c r="D4669">
        <v>10</v>
      </c>
      <c r="E4669">
        <v>2</v>
      </c>
      <c r="F4669">
        <v>0</v>
      </c>
      <c r="G4669">
        <v>0</v>
      </c>
      <c r="H4669">
        <v>42</v>
      </c>
      <c r="I4669">
        <v>0</v>
      </c>
      <c r="J4669">
        <v>39.99</v>
      </c>
      <c r="K4669">
        <v>0</v>
      </c>
    </row>
    <row r="4670" spans="1:11" x14ac:dyDescent="0.2">
      <c r="A4670">
        <v>25900</v>
      </c>
      <c r="B4670">
        <v>295718</v>
      </c>
      <c r="C4670" t="s">
        <v>8168</v>
      </c>
      <c r="D4670">
        <v>10</v>
      </c>
      <c r="E4670">
        <v>24</v>
      </c>
      <c r="F4670">
        <v>0</v>
      </c>
      <c r="G4670">
        <v>0</v>
      </c>
      <c r="H4670">
        <v>42</v>
      </c>
      <c r="I4670">
        <v>0</v>
      </c>
      <c r="J4670">
        <v>1</v>
      </c>
      <c r="K4670">
        <v>0</v>
      </c>
    </row>
    <row r="4671" spans="1:11" x14ac:dyDescent="0.2">
      <c r="A4671">
        <v>37816</v>
      </c>
      <c r="B4671">
        <v>295728</v>
      </c>
      <c r="C4671" t="s">
        <v>8169</v>
      </c>
      <c r="D4671">
        <v>10</v>
      </c>
      <c r="E4671">
        <v>4</v>
      </c>
      <c r="F4671">
        <v>0</v>
      </c>
      <c r="G4671">
        <v>0</v>
      </c>
      <c r="H4671">
        <v>28</v>
      </c>
      <c r="I4671">
        <v>0</v>
      </c>
      <c r="J4671">
        <v>19.989999999999998</v>
      </c>
      <c r="K4671">
        <v>0</v>
      </c>
    </row>
    <row r="4672" spans="1:11" x14ac:dyDescent="0.2">
      <c r="B4672">
        <v>295729</v>
      </c>
      <c r="C4672" t="s">
        <v>8170</v>
      </c>
      <c r="D4672">
        <v>12</v>
      </c>
      <c r="E4672">
        <v>12</v>
      </c>
      <c r="F4672">
        <v>0</v>
      </c>
      <c r="G4672">
        <v>0</v>
      </c>
      <c r="H4672">
        <v>16</v>
      </c>
      <c r="I4672">
        <v>0</v>
      </c>
      <c r="J4672">
        <v>3.99</v>
      </c>
      <c r="K4672">
        <v>0</v>
      </c>
    </row>
    <row r="4673" spans="1:11" x14ac:dyDescent="0.2">
      <c r="A4673">
        <v>42805</v>
      </c>
      <c r="B4673">
        <v>295731</v>
      </c>
      <c r="C4673" t="s">
        <v>7926</v>
      </c>
      <c r="D4673">
        <v>10</v>
      </c>
      <c r="E4673">
        <v>8</v>
      </c>
      <c r="F4673">
        <v>0</v>
      </c>
      <c r="G4673">
        <v>0</v>
      </c>
      <c r="H4673">
        <v>24</v>
      </c>
      <c r="I4673">
        <v>0</v>
      </c>
      <c r="J4673">
        <v>19.989999999999998</v>
      </c>
      <c r="K4673">
        <v>0</v>
      </c>
    </row>
    <row r="4674" spans="1:11" x14ac:dyDescent="0.2">
      <c r="A4674">
        <v>51064</v>
      </c>
      <c r="B4674">
        <v>295732</v>
      </c>
      <c r="C4674" t="s">
        <v>8171</v>
      </c>
      <c r="D4674">
        <v>10</v>
      </c>
      <c r="E4674">
        <v>6</v>
      </c>
      <c r="F4674">
        <v>0</v>
      </c>
      <c r="G4674">
        <v>0</v>
      </c>
      <c r="H4674">
        <v>162</v>
      </c>
      <c r="I4674">
        <v>0</v>
      </c>
      <c r="J4674">
        <v>9.99</v>
      </c>
      <c r="K4674">
        <v>0</v>
      </c>
    </row>
    <row r="4675" spans="1:11" x14ac:dyDescent="0.2">
      <c r="A4675">
        <v>41817</v>
      </c>
      <c r="B4675">
        <v>295772</v>
      </c>
      <c r="C4675" t="s">
        <v>8172</v>
      </c>
      <c r="D4675">
        <v>10</v>
      </c>
      <c r="E4675">
        <v>9</v>
      </c>
      <c r="F4675">
        <v>0</v>
      </c>
      <c r="G4675">
        <v>0</v>
      </c>
      <c r="H4675">
        <v>8</v>
      </c>
      <c r="I4675">
        <v>0</v>
      </c>
      <c r="J4675">
        <v>8.99</v>
      </c>
      <c r="K4675">
        <v>0</v>
      </c>
    </row>
    <row r="4676" spans="1:11" x14ac:dyDescent="0.2">
      <c r="A4676">
        <v>26817</v>
      </c>
      <c r="B4676">
        <v>295780</v>
      </c>
      <c r="C4676" t="s">
        <v>8173</v>
      </c>
      <c r="D4676">
        <v>10</v>
      </c>
      <c r="E4676">
        <v>4</v>
      </c>
      <c r="F4676">
        <v>0</v>
      </c>
      <c r="G4676">
        <v>0</v>
      </c>
      <c r="H4676">
        <v>6</v>
      </c>
      <c r="I4676">
        <v>0</v>
      </c>
      <c r="J4676">
        <v>16.989999999999998</v>
      </c>
      <c r="K4676">
        <v>0</v>
      </c>
    </row>
    <row r="4677" spans="1:11" x14ac:dyDescent="0.2">
      <c r="A4677">
        <v>40893</v>
      </c>
      <c r="B4677">
        <v>295782</v>
      </c>
      <c r="C4677" t="s">
        <v>8174</v>
      </c>
      <c r="D4677">
        <v>10</v>
      </c>
      <c r="E4677">
        <v>10</v>
      </c>
      <c r="F4677">
        <v>0</v>
      </c>
      <c r="G4677">
        <v>0</v>
      </c>
      <c r="H4677">
        <v>40</v>
      </c>
      <c r="I4677">
        <v>0</v>
      </c>
      <c r="J4677">
        <v>1</v>
      </c>
      <c r="K4677">
        <v>0</v>
      </c>
    </row>
    <row r="4678" spans="1:11" x14ac:dyDescent="0.2">
      <c r="A4678">
        <v>29837</v>
      </c>
      <c r="B4678">
        <v>295798</v>
      </c>
      <c r="C4678" t="s">
        <v>8175</v>
      </c>
      <c r="D4678">
        <v>10</v>
      </c>
      <c r="E4678">
        <v>1</v>
      </c>
      <c r="F4678">
        <v>0</v>
      </c>
      <c r="G4678">
        <v>0</v>
      </c>
      <c r="H4678">
        <v>40</v>
      </c>
      <c r="I4678">
        <v>0</v>
      </c>
      <c r="J4678">
        <v>29.99</v>
      </c>
      <c r="K4678">
        <v>0</v>
      </c>
    </row>
    <row r="4679" spans="1:11" x14ac:dyDescent="0.2">
      <c r="A4679">
        <v>29838</v>
      </c>
      <c r="B4679">
        <v>295799</v>
      </c>
      <c r="C4679" t="s">
        <v>8176</v>
      </c>
      <c r="D4679">
        <v>10</v>
      </c>
      <c r="E4679">
        <v>1</v>
      </c>
      <c r="F4679">
        <v>0</v>
      </c>
      <c r="G4679">
        <v>0</v>
      </c>
      <c r="H4679">
        <v>40</v>
      </c>
      <c r="I4679">
        <v>0</v>
      </c>
      <c r="J4679">
        <v>29.99</v>
      </c>
      <c r="K4679">
        <v>0</v>
      </c>
    </row>
    <row r="4680" spans="1:11" x14ac:dyDescent="0.2">
      <c r="A4680">
        <v>29935</v>
      </c>
      <c r="B4680">
        <v>295804</v>
      </c>
      <c r="C4680" t="s">
        <v>8177</v>
      </c>
      <c r="D4680">
        <v>10</v>
      </c>
      <c r="E4680">
        <v>40</v>
      </c>
      <c r="F4680">
        <v>0</v>
      </c>
      <c r="G4680">
        <v>0</v>
      </c>
      <c r="H4680">
        <v>70</v>
      </c>
      <c r="I4680">
        <v>0</v>
      </c>
      <c r="J4680">
        <v>1</v>
      </c>
      <c r="K4680">
        <v>0</v>
      </c>
    </row>
    <row r="4681" spans="1:11" x14ac:dyDescent="0.2">
      <c r="A4681">
        <v>50372</v>
      </c>
      <c r="B4681">
        <v>295813</v>
      </c>
      <c r="C4681" t="s">
        <v>8178</v>
      </c>
      <c r="D4681">
        <v>10</v>
      </c>
      <c r="E4681">
        <v>74</v>
      </c>
      <c r="F4681">
        <v>0</v>
      </c>
      <c r="G4681">
        <v>0</v>
      </c>
      <c r="H4681">
        <v>4</v>
      </c>
      <c r="I4681">
        <v>0</v>
      </c>
      <c r="J4681">
        <v>3.49</v>
      </c>
      <c r="K4681">
        <v>0</v>
      </c>
    </row>
    <row r="4682" spans="1:11" x14ac:dyDescent="0.2">
      <c r="A4682">
        <v>38838</v>
      </c>
      <c r="B4682">
        <v>295815</v>
      </c>
      <c r="C4682" t="s">
        <v>8179</v>
      </c>
      <c r="D4682">
        <v>10</v>
      </c>
      <c r="E4682">
        <v>6</v>
      </c>
      <c r="F4682">
        <v>0</v>
      </c>
      <c r="G4682">
        <v>0</v>
      </c>
      <c r="H4682">
        <v>136</v>
      </c>
      <c r="I4682">
        <v>0</v>
      </c>
      <c r="J4682">
        <v>12.99</v>
      </c>
      <c r="K4682">
        <v>0</v>
      </c>
    </row>
    <row r="4683" spans="1:11" x14ac:dyDescent="0.2">
      <c r="A4683">
        <v>29839</v>
      </c>
      <c r="B4683">
        <v>295935</v>
      </c>
      <c r="C4683" t="s">
        <v>8180</v>
      </c>
      <c r="D4683">
        <v>10</v>
      </c>
      <c r="E4683">
        <v>12</v>
      </c>
      <c r="F4683">
        <v>0</v>
      </c>
      <c r="G4683">
        <v>0</v>
      </c>
      <c r="H4683">
        <v>36</v>
      </c>
      <c r="I4683">
        <v>0</v>
      </c>
      <c r="J4683">
        <v>8.99</v>
      </c>
      <c r="K4683">
        <v>0</v>
      </c>
    </row>
    <row r="4684" spans="1:11" x14ac:dyDescent="0.2">
      <c r="B4684">
        <v>295936</v>
      </c>
      <c r="C4684" t="s">
        <v>8181</v>
      </c>
      <c r="D4684">
        <v>10</v>
      </c>
      <c r="E4684">
        <v>2</v>
      </c>
      <c r="F4684">
        <v>0</v>
      </c>
      <c r="G4684">
        <v>0</v>
      </c>
      <c r="H4684">
        <v>49</v>
      </c>
      <c r="I4684">
        <v>0</v>
      </c>
      <c r="J4684">
        <v>41.99</v>
      </c>
      <c r="K4684">
        <v>0</v>
      </c>
    </row>
    <row r="4685" spans="1:11" x14ac:dyDescent="0.2">
      <c r="A4685">
        <v>29936</v>
      </c>
      <c r="B4685">
        <v>295938</v>
      </c>
      <c r="C4685" t="s">
        <v>8182</v>
      </c>
      <c r="D4685">
        <v>10</v>
      </c>
      <c r="E4685">
        <v>24</v>
      </c>
      <c r="F4685">
        <v>0</v>
      </c>
      <c r="G4685">
        <v>0</v>
      </c>
      <c r="H4685">
        <v>36</v>
      </c>
      <c r="I4685">
        <v>0</v>
      </c>
      <c r="J4685">
        <v>1</v>
      </c>
      <c r="K4685">
        <v>0</v>
      </c>
    </row>
    <row r="4686" spans="1:11" x14ac:dyDescent="0.2">
      <c r="A4686">
        <v>50373</v>
      </c>
      <c r="B4686">
        <v>295944</v>
      </c>
      <c r="C4686" t="s">
        <v>8183</v>
      </c>
      <c r="D4686">
        <v>10</v>
      </c>
      <c r="E4686">
        <v>9</v>
      </c>
      <c r="F4686">
        <v>0</v>
      </c>
      <c r="G4686">
        <v>0</v>
      </c>
      <c r="H4686">
        <v>66</v>
      </c>
      <c r="I4686">
        <v>0</v>
      </c>
      <c r="J4686">
        <v>5.99</v>
      </c>
      <c r="K4686">
        <v>0</v>
      </c>
    </row>
    <row r="4687" spans="1:11" x14ac:dyDescent="0.2">
      <c r="A4687">
        <v>51808</v>
      </c>
      <c r="B4687">
        <v>295945</v>
      </c>
      <c r="C4687" t="s">
        <v>8184</v>
      </c>
      <c r="D4687">
        <v>10</v>
      </c>
      <c r="E4687">
        <v>12</v>
      </c>
      <c r="F4687">
        <v>78</v>
      </c>
      <c r="G4687">
        <v>932</v>
      </c>
      <c r="H4687">
        <v>72</v>
      </c>
      <c r="I4687">
        <v>1.1000000000000001</v>
      </c>
      <c r="J4687">
        <v>6.99</v>
      </c>
      <c r="K4687">
        <v>6514.68</v>
      </c>
    </row>
    <row r="4688" spans="1:11" x14ac:dyDescent="0.2">
      <c r="B4688">
        <v>295956</v>
      </c>
      <c r="C4688" t="s">
        <v>8185</v>
      </c>
      <c r="D4688">
        <v>12</v>
      </c>
      <c r="E4688">
        <v>6</v>
      </c>
      <c r="F4688">
        <v>0</v>
      </c>
      <c r="G4688">
        <v>0</v>
      </c>
      <c r="H4688">
        <v>40</v>
      </c>
      <c r="I4688">
        <v>0</v>
      </c>
      <c r="J4688">
        <v>3.99</v>
      </c>
      <c r="K4688">
        <v>0</v>
      </c>
    </row>
    <row r="4689" spans="1:12" x14ac:dyDescent="0.2">
      <c r="A4689">
        <v>38839</v>
      </c>
      <c r="B4689">
        <v>295958</v>
      </c>
      <c r="C4689" t="s">
        <v>8186</v>
      </c>
      <c r="D4689">
        <v>10</v>
      </c>
      <c r="E4689">
        <v>1</v>
      </c>
      <c r="F4689">
        <v>0</v>
      </c>
      <c r="G4689">
        <v>0</v>
      </c>
      <c r="H4689">
        <v>44</v>
      </c>
      <c r="I4689">
        <v>0</v>
      </c>
      <c r="J4689">
        <v>28.99</v>
      </c>
      <c r="K4689">
        <v>0</v>
      </c>
    </row>
    <row r="4690" spans="1:12" x14ac:dyDescent="0.2">
      <c r="A4690">
        <v>3200</v>
      </c>
      <c r="B4690">
        <v>295968</v>
      </c>
      <c r="C4690" t="s">
        <v>8187</v>
      </c>
      <c r="D4690">
        <v>6</v>
      </c>
      <c r="E4690">
        <v>8</v>
      </c>
      <c r="F4690">
        <v>220</v>
      </c>
      <c r="G4690">
        <v>1760</v>
      </c>
      <c r="H4690">
        <v>144</v>
      </c>
      <c r="I4690">
        <v>1.5</v>
      </c>
      <c r="J4690">
        <v>5.99</v>
      </c>
      <c r="K4690">
        <v>10542.4</v>
      </c>
    </row>
    <row r="4691" spans="1:12" x14ac:dyDescent="0.2">
      <c r="A4691">
        <v>40808</v>
      </c>
      <c r="B4691">
        <v>296031</v>
      </c>
      <c r="C4691" t="s">
        <v>8188</v>
      </c>
      <c r="D4691">
        <v>10</v>
      </c>
      <c r="E4691">
        <v>16</v>
      </c>
      <c r="F4691">
        <v>0</v>
      </c>
      <c r="G4691">
        <v>0</v>
      </c>
      <c r="H4691">
        <v>16</v>
      </c>
      <c r="I4691">
        <v>0</v>
      </c>
      <c r="J4691">
        <v>3.99</v>
      </c>
      <c r="K4691">
        <v>0</v>
      </c>
    </row>
    <row r="4692" spans="1:12" x14ac:dyDescent="0.2">
      <c r="A4692">
        <v>29840</v>
      </c>
      <c r="B4692">
        <v>296041</v>
      </c>
      <c r="C4692" t="s">
        <v>8189</v>
      </c>
      <c r="D4692">
        <v>10</v>
      </c>
      <c r="E4692">
        <v>1</v>
      </c>
      <c r="F4692">
        <v>0</v>
      </c>
      <c r="G4692">
        <v>0</v>
      </c>
      <c r="H4692">
        <v>70</v>
      </c>
      <c r="I4692">
        <v>0</v>
      </c>
      <c r="J4692">
        <v>21.99</v>
      </c>
      <c r="K4692">
        <v>0</v>
      </c>
    </row>
    <row r="4693" spans="1:12" x14ac:dyDescent="0.2">
      <c r="A4693">
        <v>29841</v>
      </c>
      <c r="B4693">
        <v>296043</v>
      </c>
      <c r="C4693" t="s">
        <v>8190</v>
      </c>
      <c r="D4693">
        <v>10</v>
      </c>
      <c r="E4693">
        <v>12</v>
      </c>
      <c r="F4693">
        <v>0</v>
      </c>
      <c r="G4693">
        <v>0</v>
      </c>
      <c r="H4693">
        <v>52</v>
      </c>
      <c r="I4693">
        <v>0</v>
      </c>
      <c r="J4693">
        <v>4.99</v>
      </c>
      <c r="K4693">
        <v>0</v>
      </c>
    </row>
    <row r="4694" spans="1:12" x14ac:dyDescent="0.2">
      <c r="A4694">
        <v>29842</v>
      </c>
      <c r="B4694">
        <v>296044</v>
      </c>
      <c r="C4694" t="s">
        <v>8191</v>
      </c>
      <c r="D4694">
        <v>10</v>
      </c>
      <c r="E4694">
        <v>34</v>
      </c>
      <c r="F4694">
        <v>0</v>
      </c>
      <c r="G4694">
        <v>0</v>
      </c>
      <c r="H4694">
        <v>45</v>
      </c>
      <c r="I4694">
        <v>0</v>
      </c>
      <c r="J4694">
        <v>2.99</v>
      </c>
      <c r="K4694">
        <v>0</v>
      </c>
    </row>
    <row r="4695" spans="1:12" x14ac:dyDescent="0.2">
      <c r="A4695">
        <v>29843</v>
      </c>
      <c r="B4695">
        <v>296050</v>
      </c>
      <c r="C4695" t="s">
        <v>8192</v>
      </c>
      <c r="D4695">
        <v>10</v>
      </c>
      <c r="E4695">
        <v>20</v>
      </c>
      <c r="F4695">
        <v>0</v>
      </c>
      <c r="G4695">
        <v>0</v>
      </c>
      <c r="H4695">
        <v>96</v>
      </c>
      <c r="I4695">
        <v>0</v>
      </c>
      <c r="J4695">
        <v>2.99</v>
      </c>
      <c r="K4695">
        <v>0</v>
      </c>
    </row>
    <row r="4696" spans="1:12" x14ac:dyDescent="0.2">
      <c r="A4696">
        <v>43815</v>
      </c>
      <c r="B4696">
        <v>296053</v>
      </c>
      <c r="C4696" t="s">
        <v>8193</v>
      </c>
      <c r="D4696">
        <v>10</v>
      </c>
      <c r="E4696">
        <v>16</v>
      </c>
      <c r="F4696">
        <v>3</v>
      </c>
      <c r="G4696">
        <v>48</v>
      </c>
      <c r="H4696">
        <v>84</v>
      </c>
      <c r="I4696">
        <v>0</v>
      </c>
      <c r="J4696">
        <v>7.99</v>
      </c>
      <c r="K4696">
        <v>383.52</v>
      </c>
    </row>
    <row r="4697" spans="1:12" x14ac:dyDescent="0.2">
      <c r="B4697">
        <v>296062</v>
      </c>
      <c r="C4697" t="s">
        <v>8194</v>
      </c>
      <c r="D4697">
        <v>11</v>
      </c>
      <c r="E4697">
        <v>4</v>
      </c>
      <c r="F4697">
        <v>0</v>
      </c>
      <c r="G4697">
        <v>0</v>
      </c>
      <c r="H4697">
        <v>48</v>
      </c>
      <c r="I4697">
        <v>0</v>
      </c>
      <c r="J4697">
        <v>12.99</v>
      </c>
      <c r="K4697">
        <v>0</v>
      </c>
      <c r="L4697" t="s">
        <v>3699</v>
      </c>
    </row>
    <row r="4698" spans="1:12" x14ac:dyDescent="0.2">
      <c r="B4698">
        <v>296064</v>
      </c>
      <c r="C4698" t="s">
        <v>8195</v>
      </c>
      <c r="D4698">
        <v>11</v>
      </c>
      <c r="E4698">
        <v>8</v>
      </c>
      <c r="F4698">
        <v>0</v>
      </c>
      <c r="G4698">
        <v>0</v>
      </c>
      <c r="H4698">
        <v>60</v>
      </c>
      <c r="I4698">
        <v>0</v>
      </c>
      <c r="J4698">
        <v>5.99</v>
      </c>
      <c r="K4698">
        <v>0</v>
      </c>
    </row>
    <row r="4699" spans="1:12" x14ac:dyDescent="0.2">
      <c r="A4699">
        <v>35928</v>
      </c>
      <c r="B4699">
        <v>296072</v>
      </c>
      <c r="C4699" t="s">
        <v>7429</v>
      </c>
      <c r="D4699">
        <v>10</v>
      </c>
      <c r="E4699">
        <v>4</v>
      </c>
      <c r="F4699">
        <v>0</v>
      </c>
      <c r="G4699">
        <v>0</v>
      </c>
      <c r="H4699">
        <v>40</v>
      </c>
      <c r="I4699">
        <v>0</v>
      </c>
      <c r="J4699">
        <v>17.989999999999998</v>
      </c>
      <c r="K4699">
        <v>0</v>
      </c>
    </row>
    <row r="4700" spans="1:12" x14ac:dyDescent="0.2">
      <c r="A4700">
        <v>43413</v>
      </c>
      <c r="B4700">
        <v>296075</v>
      </c>
      <c r="C4700" t="s">
        <v>8196</v>
      </c>
      <c r="D4700">
        <v>10</v>
      </c>
      <c r="E4700">
        <v>10</v>
      </c>
      <c r="F4700">
        <v>2</v>
      </c>
      <c r="G4700">
        <v>20</v>
      </c>
      <c r="H4700">
        <v>150</v>
      </c>
      <c r="I4700">
        <v>0</v>
      </c>
      <c r="J4700">
        <v>1</v>
      </c>
      <c r="K4700">
        <v>20</v>
      </c>
    </row>
    <row r="4701" spans="1:12" x14ac:dyDescent="0.2">
      <c r="B4701">
        <v>296082</v>
      </c>
      <c r="C4701" t="s">
        <v>8197</v>
      </c>
      <c r="D4701">
        <v>10</v>
      </c>
      <c r="E4701">
        <v>20</v>
      </c>
      <c r="F4701">
        <v>0</v>
      </c>
      <c r="G4701">
        <v>0</v>
      </c>
      <c r="H4701">
        <v>100</v>
      </c>
      <c r="I4701">
        <v>0</v>
      </c>
      <c r="J4701">
        <v>3.99</v>
      </c>
      <c r="K4701">
        <v>0</v>
      </c>
    </row>
    <row r="4702" spans="1:12" x14ac:dyDescent="0.2">
      <c r="A4702">
        <v>26818</v>
      </c>
      <c r="B4702">
        <v>296092</v>
      </c>
      <c r="C4702" t="s">
        <v>8198</v>
      </c>
      <c r="D4702">
        <v>10</v>
      </c>
      <c r="E4702">
        <v>12</v>
      </c>
      <c r="F4702">
        <v>0</v>
      </c>
      <c r="G4702">
        <v>0</v>
      </c>
      <c r="H4702">
        <v>55</v>
      </c>
      <c r="I4702">
        <v>0</v>
      </c>
      <c r="J4702">
        <v>4.99</v>
      </c>
      <c r="K4702">
        <v>0</v>
      </c>
    </row>
    <row r="4703" spans="1:12" x14ac:dyDescent="0.2">
      <c r="A4703">
        <v>25835</v>
      </c>
      <c r="B4703">
        <v>296093</v>
      </c>
      <c r="C4703" t="s">
        <v>8199</v>
      </c>
      <c r="D4703">
        <v>10</v>
      </c>
      <c r="E4703">
        <v>4</v>
      </c>
      <c r="F4703">
        <v>0</v>
      </c>
      <c r="G4703">
        <v>0</v>
      </c>
      <c r="H4703">
        <v>30</v>
      </c>
      <c r="I4703">
        <v>0</v>
      </c>
      <c r="J4703">
        <v>14.99</v>
      </c>
      <c r="K4703">
        <v>0</v>
      </c>
    </row>
    <row r="4704" spans="1:12" x14ac:dyDescent="0.2">
      <c r="A4704">
        <v>45805</v>
      </c>
      <c r="B4704">
        <v>296095</v>
      </c>
      <c r="C4704" t="s">
        <v>8200</v>
      </c>
      <c r="D4704">
        <v>10</v>
      </c>
      <c r="E4704">
        <v>6</v>
      </c>
      <c r="F4704">
        <v>1</v>
      </c>
      <c r="G4704">
        <v>8</v>
      </c>
      <c r="H4704">
        <v>55</v>
      </c>
      <c r="I4704">
        <v>0</v>
      </c>
      <c r="J4704">
        <v>26.99</v>
      </c>
      <c r="K4704">
        <v>215.92</v>
      </c>
    </row>
    <row r="4705" spans="1:11" x14ac:dyDescent="0.2">
      <c r="A4705">
        <v>45806</v>
      </c>
      <c r="B4705">
        <v>296104</v>
      </c>
      <c r="C4705" t="s">
        <v>8144</v>
      </c>
      <c r="D4705">
        <v>10</v>
      </c>
      <c r="E4705">
        <v>12</v>
      </c>
      <c r="F4705">
        <v>2</v>
      </c>
      <c r="G4705">
        <v>24</v>
      </c>
      <c r="H4705">
        <v>80</v>
      </c>
      <c r="I4705">
        <v>0</v>
      </c>
      <c r="J4705">
        <v>5.99</v>
      </c>
      <c r="K4705">
        <v>143.76</v>
      </c>
    </row>
    <row r="4706" spans="1:11" x14ac:dyDescent="0.2">
      <c r="A4706">
        <v>25979</v>
      </c>
      <c r="B4706">
        <v>296118</v>
      </c>
      <c r="C4706" t="s">
        <v>8201</v>
      </c>
      <c r="D4706">
        <v>10</v>
      </c>
      <c r="E4706">
        <v>14</v>
      </c>
      <c r="F4706">
        <v>0</v>
      </c>
      <c r="G4706">
        <v>0</v>
      </c>
      <c r="H4706">
        <v>117</v>
      </c>
      <c r="I4706">
        <v>0</v>
      </c>
      <c r="J4706">
        <v>1</v>
      </c>
      <c r="K4706">
        <v>0</v>
      </c>
    </row>
    <row r="4707" spans="1:11" x14ac:dyDescent="0.2">
      <c r="A4707">
        <v>25980</v>
      </c>
      <c r="B4707">
        <v>296120</v>
      </c>
      <c r="C4707" t="s">
        <v>8156</v>
      </c>
      <c r="D4707">
        <v>10</v>
      </c>
      <c r="E4707">
        <v>14</v>
      </c>
      <c r="F4707">
        <v>0</v>
      </c>
      <c r="G4707">
        <v>0</v>
      </c>
      <c r="H4707">
        <v>66</v>
      </c>
      <c r="I4707">
        <v>0</v>
      </c>
      <c r="J4707">
        <v>1</v>
      </c>
      <c r="K4707">
        <v>0</v>
      </c>
    </row>
    <row r="4708" spans="1:11" x14ac:dyDescent="0.2">
      <c r="A4708">
        <v>25981</v>
      </c>
      <c r="B4708">
        <v>296122</v>
      </c>
      <c r="C4708" t="s">
        <v>8202</v>
      </c>
      <c r="D4708">
        <v>10</v>
      </c>
      <c r="E4708">
        <v>12</v>
      </c>
      <c r="F4708">
        <v>0</v>
      </c>
      <c r="G4708">
        <v>0</v>
      </c>
      <c r="H4708">
        <v>70</v>
      </c>
      <c r="I4708">
        <v>0</v>
      </c>
      <c r="J4708">
        <v>1</v>
      </c>
      <c r="K4708">
        <v>0</v>
      </c>
    </row>
    <row r="4709" spans="1:11" x14ac:dyDescent="0.2">
      <c r="A4709">
        <v>29844</v>
      </c>
      <c r="B4709">
        <v>296125</v>
      </c>
      <c r="C4709" t="s">
        <v>8203</v>
      </c>
      <c r="D4709">
        <v>10</v>
      </c>
      <c r="E4709">
        <v>1</v>
      </c>
      <c r="F4709">
        <v>0</v>
      </c>
      <c r="G4709">
        <v>0</v>
      </c>
      <c r="H4709">
        <v>40</v>
      </c>
      <c r="I4709">
        <v>0</v>
      </c>
      <c r="J4709">
        <v>31.99</v>
      </c>
      <c r="K4709">
        <v>0</v>
      </c>
    </row>
    <row r="4710" spans="1:11" x14ac:dyDescent="0.2">
      <c r="A4710">
        <v>29845</v>
      </c>
      <c r="B4710">
        <v>296127</v>
      </c>
      <c r="C4710" t="s">
        <v>8204</v>
      </c>
      <c r="D4710">
        <v>10</v>
      </c>
      <c r="E4710">
        <v>4</v>
      </c>
      <c r="F4710">
        <v>0</v>
      </c>
      <c r="G4710">
        <v>0</v>
      </c>
      <c r="H4710">
        <v>63</v>
      </c>
      <c r="I4710">
        <v>0</v>
      </c>
      <c r="J4710">
        <v>9.99</v>
      </c>
      <c r="K4710">
        <v>0</v>
      </c>
    </row>
    <row r="4711" spans="1:11" x14ac:dyDescent="0.2">
      <c r="A4711">
        <v>29846</v>
      </c>
      <c r="B4711">
        <v>296129</v>
      </c>
      <c r="C4711" t="s">
        <v>8205</v>
      </c>
      <c r="D4711">
        <v>10</v>
      </c>
      <c r="E4711">
        <v>14</v>
      </c>
      <c r="F4711">
        <v>0</v>
      </c>
      <c r="G4711">
        <v>0</v>
      </c>
      <c r="H4711">
        <v>104</v>
      </c>
      <c r="I4711">
        <v>0</v>
      </c>
      <c r="J4711">
        <v>3.99</v>
      </c>
      <c r="K4711">
        <v>0</v>
      </c>
    </row>
    <row r="4712" spans="1:11" x14ac:dyDescent="0.2">
      <c r="A4712">
        <v>32932</v>
      </c>
      <c r="B4712">
        <v>296130</v>
      </c>
      <c r="C4712" t="s">
        <v>8206</v>
      </c>
      <c r="D4712">
        <v>10</v>
      </c>
      <c r="E4712">
        <v>10</v>
      </c>
      <c r="F4712">
        <v>0</v>
      </c>
      <c r="G4712">
        <v>0</v>
      </c>
      <c r="H4712">
        <v>70</v>
      </c>
      <c r="I4712">
        <v>0</v>
      </c>
      <c r="J4712">
        <v>1</v>
      </c>
      <c r="K4712">
        <v>0</v>
      </c>
    </row>
    <row r="4713" spans="1:11" x14ac:dyDescent="0.2">
      <c r="A4713">
        <v>32950</v>
      </c>
      <c r="B4713">
        <v>296131</v>
      </c>
      <c r="C4713" t="s">
        <v>8207</v>
      </c>
      <c r="D4713">
        <v>10</v>
      </c>
      <c r="E4713">
        <v>16</v>
      </c>
      <c r="F4713">
        <v>0</v>
      </c>
      <c r="G4713">
        <v>0</v>
      </c>
      <c r="H4713">
        <v>56</v>
      </c>
      <c r="I4713">
        <v>0</v>
      </c>
      <c r="J4713">
        <v>1</v>
      </c>
      <c r="K4713">
        <v>0</v>
      </c>
    </row>
    <row r="4714" spans="1:11" x14ac:dyDescent="0.2">
      <c r="A4714">
        <v>29955</v>
      </c>
      <c r="B4714">
        <v>296133</v>
      </c>
      <c r="C4714" t="s">
        <v>8208</v>
      </c>
      <c r="D4714">
        <v>10</v>
      </c>
      <c r="E4714">
        <v>16</v>
      </c>
      <c r="F4714">
        <v>0</v>
      </c>
      <c r="G4714">
        <v>0</v>
      </c>
      <c r="H4714">
        <v>91</v>
      </c>
      <c r="I4714">
        <v>0</v>
      </c>
      <c r="J4714">
        <v>1</v>
      </c>
      <c r="K4714">
        <v>0</v>
      </c>
    </row>
    <row r="4715" spans="1:11" x14ac:dyDescent="0.2">
      <c r="A4715">
        <v>32951</v>
      </c>
      <c r="B4715">
        <v>296134</v>
      </c>
      <c r="C4715" t="s">
        <v>7706</v>
      </c>
      <c r="D4715">
        <v>10</v>
      </c>
      <c r="E4715">
        <v>16</v>
      </c>
      <c r="F4715">
        <v>0</v>
      </c>
      <c r="G4715">
        <v>0</v>
      </c>
      <c r="H4715">
        <v>32</v>
      </c>
      <c r="I4715">
        <v>0</v>
      </c>
      <c r="J4715">
        <v>1</v>
      </c>
      <c r="K4715">
        <v>0</v>
      </c>
    </row>
    <row r="4716" spans="1:11" x14ac:dyDescent="0.2">
      <c r="A4716">
        <v>32952</v>
      </c>
      <c r="B4716">
        <v>296137</v>
      </c>
      <c r="C4716" t="s">
        <v>8209</v>
      </c>
      <c r="D4716">
        <v>10</v>
      </c>
      <c r="E4716">
        <v>12</v>
      </c>
      <c r="F4716">
        <v>0</v>
      </c>
      <c r="G4716">
        <v>0</v>
      </c>
      <c r="H4716">
        <v>60</v>
      </c>
      <c r="I4716">
        <v>0</v>
      </c>
      <c r="J4716">
        <v>1</v>
      </c>
      <c r="K4716">
        <v>0</v>
      </c>
    </row>
    <row r="4717" spans="1:11" x14ac:dyDescent="0.2">
      <c r="A4717">
        <v>29956</v>
      </c>
      <c r="B4717">
        <v>296139</v>
      </c>
      <c r="C4717" t="s">
        <v>8129</v>
      </c>
      <c r="D4717">
        <v>10</v>
      </c>
      <c r="E4717">
        <v>9</v>
      </c>
      <c r="F4717">
        <v>0</v>
      </c>
      <c r="G4717">
        <v>0</v>
      </c>
      <c r="H4717">
        <v>114</v>
      </c>
      <c r="I4717">
        <v>0</v>
      </c>
      <c r="J4717">
        <v>1</v>
      </c>
      <c r="K4717">
        <v>0</v>
      </c>
    </row>
    <row r="4718" spans="1:11" x14ac:dyDescent="0.2">
      <c r="A4718">
        <v>40894</v>
      </c>
      <c r="B4718">
        <v>296143</v>
      </c>
      <c r="C4718" t="s">
        <v>8210</v>
      </c>
      <c r="D4718">
        <v>10</v>
      </c>
      <c r="E4718">
        <v>24</v>
      </c>
      <c r="F4718">
        <v>0</v>
      </c>
      <c r="G4718">
        <v>0</v>
      </c>
      <c r="H4718">
        <v>320</v>
      </c>
      <c r="I4718">
        <v>0</v>
      </c>
      <c r="J4718">
        <v>1</v>
      </c>
      <c r="K4718">
        <v>0</v>
      </c>
    </row>
    <row r="4719" spans="1:11" x14ac:dyDescent="0.2">
      <c r="A4719">
        <v>29957</v>
      </c>
      <c r="B4719">
        <v>296145</v>
      </c>
      <c r="C4719" t="s">
        <v>8211</v>
      </c>
      <c r="D4719">
        <v>10</v>
      </c>
      <c r="E4719">
        <v>12</v>
      </c>
      <c r="F4719">
        <v>0</v>
      </c>
      <c r="G4719">
        <v>0</v>
      </c>
      <c r="H4719">
        <v>48</v>
      </c>
      <c r="I4719">
        <v>0</v>
      </c>
      <c r="J4719">
        <v>1</v>
      </c>
      <c r="K4719">
        <v>0</v>
      </c>
    </row>
    <row r="4720" spans="1:11" x14ac:dyDescent="0.2">
      <c r="A4720">
        <v>32953</v>
      </c>
      <c r="B4720">
        <v>296146</v>
      </c>
      <c r="C4720" t="s">
        <v>7833</v>
      </c>
      <c r="D4720">
        <v>10</v>
      </c>
      <c r="E4720">
        <v>14</v>
      </c>
      <c r="F4720">
        <v>0</v>
      </c>
      <c r="G4720">
        <v>0</v>
      </c>
      <c r="H4720">
        <v>70</v>
      </c>
      <c r="I4720">
        <v>0</v>
      </c>
      <c r="J4720">
        <v>1</v>
      </c>
      <c r="K4720">
        <v>0</v>
      </c>
    </row>
    <row r="4721" spans="1:12" x14ac:dyDescent="0.2">
      <c r="A4721">
        <v>29958</v>
      </c>
      <c r="B4721">
        <v>296148</v>
      </c>
      <c r="C4721" t="s">
        <v>8212</v>
      </c>
      <c r="D4721">
        <v>10</v>
      </c>
      <c r="E4721">
        <v>12</v>
      </c>
      <c r="F4721">
        <v>0</v>
      </c>
      <c r="G4721">
        <v>0</v>
      </c>
      <c r="H4721">
        <v>48</v>
      </c>
      <c r="I4721">
        <v>0</v>
      </c>
      <c r="J4721">
        <v>1</v>
      </c>
      <c r="K4721">
        <v>0</v>
      </c>
    </row>
    <row r="4722" spans="1:12" x14ac:dyDescent="0.2">
      <c r="A4722">
        <v>29847</v>
      </c>
      <c r="B4722">
        <v>296149</v>
      </c>
      <c r="C4722" t="s">
        <v>8213</v>
      </c>
      <c r="D4722">
        <v>10</v>
      </c>
      <c r="E4722">
        <v>12</v>
      </c>
      <c r="F4722">
        <v>0</v>
      </c>
      <c r="G4722">
        <v>0</v>
      </c>
      <c r="H4722">
        <v>45</v>
      </c>
      <c r="I4722">
        <v>0</v>
      </c>
      <c r="J4722">
        <v>4.99</v>
      </c>
      <c r="K4722">
        <v>0</v>
      </c>
    </row>
    <row r="4723" spans="1:12" x14ac:dyDescent="0.2">
      <c r="A4723">
        <v>29848</v>
      </c>
      <c r="B4723">
        <v>296150</v>
      </c>
      <c r="C4723" t="s">
        <v>8214</v>
      </c>
      <c r="D4723">
        <v>10</v>
      </c>
      <c r="E4723">
        <v>12</v>
      </c>
      <c r="F4723">
        <v>0</v>
      </c>
      <c r="G4723">
        <v>0</v>
      </c>
      <c r="H4723">
        <v>56</v>
      </c>
      <c r="I4723">
        <v>0</v>
      </c>
      <c r="J4723">
        <v>3.99</v>
      </c>
      <c r="K4723">
        <v>0</v>
      </c>
    </row>
    <row r="4724" spans="1:12" x14ac:dyDescent="0.2">
      <c r="A4724">
        <v>29959</v>
      </c>
      <c r="B4724">
        <v>296151</v>
      </c>
      <c r="C4724" t="s">
        <v>8215</v>
      </c>
      <c r="D4724">
        <v>10</v>
      </c>
      <c r="E4724">
        <v>16</v>
      </c>
      <c r="F4724">
        <v>0</v>
      </c>
      <c r="G4724">
        <v>0</v>
      </c>
      <c r="H4724">
        <v>91</v>
      </c>
      <c r="I4724">
        <v>0</v>
      </c>
      <c r="J4724">
        <v>1</v>
      </c>
      <c r="K4724">
        <v>0</v>
      </c>
    </row>
    <row r="4725" spans="1:12" x14ac:dyDescent="0.2">
      <c r="A4725">
        <v>30824</v>
      </c>
      <c r="B4725">
        <v>296152</v>
      </c>
      <c r="C4725" t="s">
        <v>8216</v>
      </c>
      <c r="D4725">
        <v>10</v>
      </c>
      <c r="E4725">
        <v>12</v>
      </c>
      <c r="F4725">
        <v>0</v>
      </c>
      <c r="G4725">
        <v>0</v>
      </c>
      <c r="H4725">
        <v>16</v>
      </c>
      <c r="I4725">
        <v>0</v>
      </c>
      <c r="J4725">
        <v>6.99</v>
      </c>
      <c r="K4725">
        <v>0</v>
      </c>
    </row>
    <row r="4726" spans="1:12" x14ac:dyDescent="0.2">
      <c r="A4726">
        <v>29960</v>
      </c>
      <c r="B4726">
        <v>296153</v>
      </c>
      <c r="C4726" t="s">
        <v>8217</v>
      </c>
      <c r="D4726">
        <v>10</v>
      </c>
      <c r="E4726">
        <v>16</v>
      </c>
      <c r="F4726">
        <v>0</v>
      </c>
      <c r="G4726">
        <v>0</v>
      </c>
      <c r="H4726">
        <v>84</v>
      </c>
      <c r="I4726">
        <v>0</v>
      </c>
      <c r="J4726">
        <v>1</v>
      </c>
      <c r="K4726">
        <v>0</v>
      </c>
    </row>
    <row r="4727" spans="1:12" x14ac:dyDescent="0.2">
      <c r="A4727">
        <v>29961</v>
      </c>
      <c r="B4727">
        <v>296155</v>
      </c>
      <c r="C4727" t="s">
        <v>8218</v>
      </c>
      <c r="D4727">
        <v>10</v>
      </c>
      <c r="E4727">
        <v>16</v>
      </c>
      <c r="F4727">
        <v>0</v>
      </c>
      <c r="G4727">
        <v>0</v>
      </c>
      <c r="H4727">
        <v>98</v>
      </c>
      <c r="I4727">
        <v>0</v>
      </c>
      <c r="J4727">
        <v>1</v>
      </c>
      <c r="K4727">
        <v>0</v>
      </c>
    </row>
    <row r="4728" spans="1:12" x14ac:dyDescent="0.2">
      <c r="A4728">
        <v>29962</v>
      </c>
      <c r="B4728">
        <v>296156</v>
      </c>
      <c r="C4728" t="s">
        <v>8219</v>
      </c>
      <c r="D4728">
        <v>10</v>
      </c>
      <c r="E4728">
        <v>16</v>
      </c>
      <c r="F4728">
        <v>0</v>
      </c>
      <c r="G4728">
        <v>0</v>
      </c>
      <c r="H4728">
        <v>90</v>
      </c>
      <c r="I4728">
        <v>0</v>
      </c>
      <c r="J4728">
        <v>1</v>
      </c>
      <c r="K4728">
        <v>0</v>
      </c>
    </row>
    <row r="4729" spans="1:12" x14ac:dyDescent="0.2">
      <c r="A4729">
        <v>26819</v>
      </c>
      <c r="B4729">
        <v>296158</v>
      </c>
      <c r="C4729" t="s">
        <v>8220</v>
      </c>
      <c r="D4729">
        <v>10</v>
      </c>
      <c r="E4729">
        <v>6</v>
      </c>
      <c r="F4729">
        <v>0</v>
      </c>
      <c r="G4729">
        <v>0</v>
      </c>
      <c r="H4729">
        <v>117</v>
      </c>
      <c r="I4729">
        <v>0</v>
      </c>
      <c r="J4729">
        <v>14.99</v>
      </c>
      <c r="K4729">
        <v>0</v>
      </c>
    </row>
    <row r="4730" spans="1:12" x14ac:dyDescent="0.2">
      <c r="A4730">
        <v>44438</v>
      </c>
      <c r="B4730">
        <v>296160</v>
      </c>
      <c r="C4730" t="s">
        <v>8221</v>
      </c>
      <c r="D4730">
        <v>11</v>
      </c>
      <c r="E4730">
        <v>14</v>
      </c>
      <c r="F4730">
        <v>79</v>
      </c>
      <c r="G4730">
        <v>1108</v>
      </c>
      <c r="H4730">
        <v>60</v>
      </c>
      <c r="I4730">
        <v>1.3</v>
      </c>
      <c r="J4730">
        <v>7.99</v>
      </c>
      <c r="K4730">
        <v>8852.92</v>
      </c>
      <c r="L4730" t="s">
        <v>3699</v>
      </c>
    </row>
    <row r="4731" spans="1:12" x14ac:dyDescent="0.2">
      <c r="A4731">
        <v>47928</v>
      </c>
      <c r="B4731">
        <v>296165</v>
      </c>
      <c r="C4731" t="s">
        <v>8222</v>
      </c>
      <c r="D4731">
        <v>10</v>
      </c>
      <c r="E4731">
        <v>14</v>
      </c>
      <c r="F4731">
        <v>0</v>
      </c>
      <c r="G4731">
        <v>0</v>
      </c>
      <c r="H4731">
        <v>80</v>
      </c>
      <c r="I4731">
        <v>0</v>
      </c>
      <c r="J4731">
        <v>1</v>
      </c>
      <c r="K4731">
        <v>0</v>
      </c>
    </row>
    <row r="4732" spans="1:12" x14ac:dyDescent="0.2">
      <c r="B4732">
        <v>296169</v>
      </c>
      <c r="C4732" t="s">
        <v>8223</v>
      </c>
      <c r="D4732">
        <v>10</v>
      </c>
      <c r="E4732">
        <v>16</v>
      </c>
      <c r="F4732">
        <v>0</v>
      </c>
      <c r="G4732">
        <v>0</v>
      </c>
      <c r="H4732">
        <v>48</v>
      </c>
      <c r="I4732">
        <v>0</v>
      </c>
      <c r="J4732">
        <v>1</v>
      </c>
      <c r="K4732">
        <v>0</v>
      </c>
    </row>
    <row r="4733" spans="1:12" x14ac:dyDescent="0.2">
      <c r="A4733">
        <v>25982</v>
      </c>
      <c r="B4733">
        <v>296173</v>
      </c>
      <c r="C4733" t="s">
        <v>8224</v>
      </c>
      <c r="D4733">
        <v>10</v>
      </c>
      <c r="E4733">
        <v>14</v>
      </c>
      <c r="F4733">
        <v>0</v>
      </c>
      <c r="G4733">
        <v>0</v>
      </c>
      <c r="H4733">
        <v>78</v>
      </c>
      <c r="I4733">
        <v>0</v>
      </c>
      <c r="J4733">
        <v>5.99</v>
      </c>
      <c r="K4733">
        <v>0</v>
      </c>
    </row>
    <row r="4734" spans="1:12" x14ac:dyDescent="0.2">
      <c r="A4734">
        <v>25983</v>
      </c>
      <c r="B4734">
        <v>296178</v>
      </c>
      <c r="C4734" t="s">
        <v>8225</v>
      </c>
      <c r="D4734">
        <v>10</v>
      </c>
      <c r="E4734">
        <v>16</v>
      </c>
      <c r="F4734">
        <v>0</v>
      </c>
      <c r="G4734">
        <v>0</v>
      </c>
      <c r="H4734">
        <v>77</v>
      </c>
      <c r="I4734">
        <v>0</v>
      </c>
      <c r="J4734">
        <v>1</v>
      </c>
      <c r="K4734">
        <v>0</v>
      </c>
    </row>
    <row r="4735" spans="1:12" x14ac:dyDescent="0.2">
      <c r="A4735">
        <v>25984</v>
      </c>
      <c r="B4735">
        <v>296181</v>
      </c>
      <c r="C4735" t="s">
        <v>8226</v>
      </c>
      <c r="D4735">
        <v>10</v>
      </c>
      <c r="E4735">
        <v>14</v>
      </c>
      <c r="F4735">
        <v>0</v>
      </c>
      <c r="G4735">
        <v>0</v>
      </c>
      <c r="H4735">
        <v>126</v>
      </c>
      <c r="I4735">
        <v>0</v>
      </c>
      <c r="J4735">
        <v>1</v>
      </c>
      <c r="K4735">
        <v>0</v>
      </c>
    </row>
    <row r="4736" spans="1:12" x14ac:dyDescent="0.2">
      <c r="A4736">
        <v>29963</v>
      </c>
      <c r="B4736">
        <v>296188</v>
      </c>
      <c r="C4736" t="s">
        <v>8227</v>
      </c>
      <c r="D4736">
        <v>10</v>
      </c>
      <c r="E4736">
        <v>16</v>
      </c>
      <c r="F4736">
        <v>0</v>
      </c>
      <c r="G4736">
        <v>0</v>
      </c>
      <c r="H4736">
        <v>66</v>
      </c>
      <c r="I4736">
        <v>0</v>
      </c>
      <c r="J4736">
        <v>1</v>
      </c>
      <c r="K4736">
        <v>0</v>
      </c>
    </row>
    <row r="4737" spans="1:11" x14ac:dyDescent="0.2">
      <c r="A4737">
        <v>29964</v>
      </c>
      <c r="B4737">
        <v>296193</v>
      </c>
      <c r="C4737" t="s">
        <v>7807</v>
      </c>
      <c r="D4737">
        <v>10</v>
      </c>
      <c r="E4737">
        <v>12</v>
      </c>
      <c r="F4737">
        <v>0</v>
      </c>
      <c r="G4737">
        <v>0</v>
      </c>
      <c r="H4737">
        <v>56</v>
      </c>
      <c r="I4737">
        <v>0</v>
      </c>
      <c r="J4737">
        <v>1</v>
      </c>
      <c r="K4737">
        <v>0</v>
      </c>
    </row>
    <row r="4738" spans="1:11" x14ac:dyDescent="0.2">
      <c r="A4738">
        <v>44811</v>
      </c>
      <c r="B4738">
        <v>296201</v>
      </c>
      <c r="C4738" t="s">
        <v>8228</v>
      </c>
      <c r="D4738">
        <v>10</v>
      </c>
      <c r="E4738">
        <v>6</v>
      </c>
      <c r="F4738">
        <v>-1</v>
      </c>
      <c r="G4738">
        <v>-6</v>
      </c>
      <c r="H4738">
        <v>135</v>
      </c>
      <c r="I4738">
        <v>0</v>
      </c>
      <c r="J4738">
        <v>15.89</v>
      </c>
      <c r="K4738">
        <v>-95.34</v>
      </c>
    </row>
    <row r="4739" spans="1:11" x14ac:dyDescent="0.2">
      <c r="A4739">
        <v>47808</v>
      </c>
      <c r="B4739">
        <v>296212</v>
      </c>
      <c r="C4739" t="s">
        <v>8229</v>
      </c>
      <c r="D4739">
        <v>10</v>
      </c>
      <c r="E4739">
        <v>4</v>
      </c>
      <c r="F4739">
        <v>0</v>
      </c>
      <c r="G4739">
        <v>0</v>
      </c>
      <c r="H4739">
        <v>24</v>
      </c>
      <c r="I4739">
        <v>0</v>
      </c>
      <c r="J4739">
        <v>29.99</v>
      </c>
      <c r="K4739">
        <v>0</v>
      </c>
    </row>
    <row r="4740" spans="1:11" x14ac:dyDescent="0.2">
      <c r="A4740">
        <v>29965</v>
      </c>
      <c r="B4740">
        <v>296219</v>
      </c>
      <c r="C4740" t="s">
        <v>8230</v>
      </c>
      <c r="D4740">
        <v>10</v>
      </c>
      <c r="E4740">
        <v>14</v>
      </c>
      <c r="F4740">
        <v>0</v>
      </c>
      <c r="G4740">
        <v>0</v>
      </c>
      <c r="H4740">
        <v>100</v>
      </c>
      <c r="I4740">
        <v>0</v>
      </c>
      <c r="J4740">
        <v>1</v>
      </c>
      <c r="K4740">
        <v>0</v>
      </c>
    </row>
    <row r="4741" spans="1:11" x14ac:dyDescent="0.2">
      <c r="A4741">
        <v>29849</v>
      </c>
      <c r="B4741">
        <v>296221</v>
      </c>
      <c r="C4741" t="s">
        <v>8231</v>
      </c>
      <c r="D4741">
        <v>10</v>
      </c>
      <c r="E4741">
        <v>6</v>
      </c>
      <c r="F4741">
        <v>0</v>
      </c>
      <c r="G4741">
        <v>0</v>
      </c>
      <c r="H4741">
        <v>48</v>
      </c>
      <c r="I4741">
        <v>0</v>
      </c>
      <c r="J4741">
        <v>8.99</v>
      </c>
      <c r="K4741">
        <v>0</v>
      </c>
    </row>
    <row r="4742" spans="1:11" x14ac:dyDescent="0.2">
      <c r="A4742">
        <v>29966</v>
      </c>
      <c r="B4742">
        <v>296222</v>
      </c>
      <c r="C4742" t="s">
        <v>8232</v>
      </c>
      <c r="D4742">
        <v>6</v>
      </c>
      <c r="E4742">
        <v>14</v>
      </c>
      <c r="F4742">
        <v>0</v>
      </c>
      <c r="G4742">
        <v>0</v>
      </c>
      <c r="H4742">
        <v>72</v>
      </c>
      <c r="I4742">
        <v>0</v>
      </c>
      <c r="J4742">
        <v>1</v>
      </c>
      <c r="K4742">
        <v>0</v>
      </c>
    </row>
    <row r="4743" spans="1:11" x14ac:dyDescent="0.2">
      <c r="A4743">
        <v>29967</v>
      </c>
      <c r="B4743">
        <v>296223</v>
      </c>
      <c r="C4743" t="s">
        <v>8156</v>
      </c>
      <c r="D4743">
        <v>10</v>
      </c>
      <c r="E4743">
        <v>14</v>
      </c>
      <c r="F4743">
        <v>0</v>
      </c>
      <c r="G4743">
        <v>0</v>
      </c>
      <c r="H4743">
        <v>72</v>
      </c>
      <c r="I4743">
        <v>0</v>
      </c>
      <c r="J4743">
        <v>1</v>
      </c>
      <c r="K4743">
        <v>0</v>
      </c>
    </row>
    <row r="4744" spans="1:11" x14ac:dyDescent="0.2">
      <c r="A4744">
        <v>29968</v>
      </c>
      <c r="B4744">
        <v>296224</v>
      </c>
      <c r="C4744" t="s">
        <v>8233</v>
      </c>
      <c r="D4744">
        <v>10</v>
      </c>
      <c r="E4744">
        <v>14</v>
      </c>
      <c r="F4744">
        <v>0</v>
      </c>
      <c r="G4744">
        <v>0</v>
      </c>
      <c r="H4744">
        <v>80</v>
      </c>
      <c r="I4744">
        <v>0</v>
      </c>
      <c r="J4744">
        <v>1</v>
      </c>
      <c r="K4744">
        <v>0</v>
      </c>
    </row>
    <row r="4745" spans="1:11" x14ac:dyDescent="0.2">
      <c r="A4745">
        <v>29850</v>
      </c>
      <c r="B4745">
        <v>296225</v>
      </c>
      <c r="C4745" t="s">
        <v>8234</v>
      </c>
      <c r="D4745">
        <v>10</v>
      </c>
      <c r="E4745">
        <v>6</v>
      </c>
      <c r="F4745">
        <v>0</v>
      </c>
      <c r="G4745">
        <v>0</v>
      </c>
      <c r="H4745">
        <v>66</v>
      </c>
      <c r="I4745">
        <v>0</v>
      </c>
      <c r="J4745">
        <v>19.989999999999998</v>
      </c>
      <c r="K4745">
        <v>0</v>
      </c>
    </row>
    <row r="4746" spans="1:11" x14ac:dyDescent="0.2">
      <c r="A4746">
        <v>29851</v>
      </c>
      <c r="B4746">
        <v>296228</v>
      </c>
      <c r="C4746" t="s">
        <v>8235</v>
      </c>
      <c r="D4746">
        <v>10</v>
      </c>
      <c r="E4746">
        <v>2</v>
      </c>
      <c r="F4746">
        <v>0</v>
      </c>
      <c r="G4746">
        <v>0</v>
      </c>
      <c r="H4746">
        <v>54</v>
      </c>
      <c r="I4746">
        <v>0</v>
      </c>
      <c r="J4746">
        <v>12.99</v>
      </c>
      <c r="K4746">
        <v>0</v>
      </c>
    </row>
    <row r="4747" spans="1:11" x14ac:dyDescent="0.2">
      <c r="A4747">
        <v>29969</v>
      </c>
      <c r="B4747">
        <v>296231</v>
      </c>
      <c r="C4747" t="s">
        <v>8236</v>
      </c>
      <c r="D4747">
        <v>10</v>
      </c>
      <c r="E4747">
        <v>14</v>
      </c>
      <c r="F4747">
        <v>0</v>
      </c>
      <c r="G4747">
        <v>0</v>
      </c>
      <c r="H4747">
        <v>108</v>
      </c>
      <c r="I4747">
        <v>0</v>
      </c>
      <c r="J4747">
        <v>1</v>
      </c>
      <c r="K4747">
        <v>0</v>
      </c>
    </row>
    <row r="4748" spans="1:11" x14ac:dyDescent="0.2">
      <c r="A4748">
        <v>29852</v>
      </c>
      <c r="B4748">
        <v>296233</v>
      </c>
      <c r="C4748" t="s">
        <v>8237</v>
      </c>
      <c r="D4748">
        <v>10</v>
      </c>
      <c r="E4748">
        <v>20</v>
      </c>
      <c r="F4748">
        <v>0</v>
      </c>
      <c r="G4748">
        <v>0</v>
      </c>
      <c r="H4748">
        <v>52</v>
      </c>
      <c r="I4748">
        <v>0</v>
      </c>
      <c r="J4748">
        <v>3.99</v>
      </c>
      <c r="K4748">
        <v>0</v>
      </c>
    </row>
    <row r="4749" spans="1:11" x14ac:dyDescent="0.2">
      <c r="A4749">
        <v>29970</v>
      </c>
      <c r="B4749">
        <v>296235</v>
      </c>
      <c r="C4749" t="s">
        <v>8238</v>
      </c>
      <c r="D4749">
        <v>10</v>
      </c>
      <c r="E4749">
        <v>14</v>
      </c>
      <c r="F4749">
        <v>0</v>
      </c>
      <c r="G4749">
        <v>0</v>
      </c>
      <c r="H4749">
        <v>70</v>
      </c>
      <c r="I4749">
        <v>0</v>
      </c>
      <c r="J4749">
        <v>1</v>
      </c>
      <c r="K4749">
        <v>0</v>
      </c>
    </row>
    <row r="4750" spans="1:11" x14ac:dyDescent="0.2">
      <c r="A4750">
        <v>29853</v>
      </c>
      <c r="B4750">
        <v>296236</v>
      </c>
      <c r="C4750" t="s">
        <v>8239</v>
      </c>
      <c r="D4750">
        <v>10</v>
      </c>
      <c r="E4750">
        <v>12</v>
      </c>
      <c r="F4750">
        <v>0</v>
      </c>
      <c r="G4750">
        <v>0</v>
      </c>
      <c r="H4750">
        <v>54</v>
      </c>
      <c r="I4750">
        <v>0</v>
      </c>
      <c r="J4750">
        <v>4.99</v>
      </c>
      <c r="K4750">
        <v>0</v>
      </c>
    </row>
    <row r="4751" spans="1:11" x14ac:dyDescent="0.2">
      <c r="A4751">
        <v>29971</v>
      </c>
      <c r="B4751">
        <v>296237</v>
      </c>
      <c r="C4751" t="s">
        <v>8240</v>
      </c>
      <c r="D4751">
        <v>6</v>
      </c>
      <c r="E4751">
        <v>24</v>
      </c>
      <c r="F4751">
        <v>0</v>
      </c>
      <c r="G4751">
        <v>0</v>
      </c>
      <c r="H4751">
        <v>80</v>
      </c>
      <c r="I4751">
        <v>0</v>
      </c>
      <c r="J4751">
        <v>1</v>
      </c>
      <c r="K4751">
        <v>0</v>
      </c>
    </row>
    <row r="4752" spans="1:11" x14ac:dyDescent="0.2">
      <c r="A4752">
        <v>29854</v>
      </c>
      <c r="B4752">
        <v>296238</v>
      </c>
      <c r="C4752" t="s">
        <v>8241</v>
      </c>
      <c r="D4752">
        <v>10</v>
      </c>
      <c r="E4752">
        <v>4</v>
      </c>
      <c r="F4752">
        <v>0</v>
      </c>
      <c r="G4752">
        <v>0</v>
      </c>
      <c r="H4752">
        <v>20</v>
      </c>
      <c r="I4752">
        <v>0</v>
      </c>
      <c r="J4752">
        <v>16.989999999999998</v>
      </c>
      <c r="K4752">
        <v>0</v>
      </c>
    </row>
    <row r="4753" spans="1:11" x14ac:dyDescent="0.2">
      <c r="A4753">
        <v>29972</v>
      </c>
      <c r="B4753">
        <v>296241</v>
      </c>
      <c r="C4753" t="s">
        <v>7946</v>
      </c>
      <c r="D4753">
        <v>6</v>
      </c>
      <c r="E4753">
        <v>24</v>
      </c>
      <c r="F4753">
        <v>0</v>
      </c>
      <c r="G4753">
        <v>0</v>
      </c>
      <c r="H4753">
        <v>78</v>
      </c>
      <c r="I4753">
        <v>0</v>
      </c>
      <c r="J4753">
        <v>1</v>
      </c>
      <c r="K4753">
        <v>0</v>
      </c>
    </row>
    <row r="4754" spans="1:11" x14ac:dyDescent="0.2">
      <c r="A4754">
        <v>29973</v>
      </c>
      <c r="B4754">
        <v>296242</v>
      </c>
      <c r="C4754" t="s">
        <v>8242</v>
      </c>
      <c r="D4754">
        <v>10</v>
      </c>
      <c r="E4754">
        <v>14</v>
      </c>
      <c r="F4754">
        <v>0</v>
      </c>
      <c r="G4754">
        <v>0</v>
      </c>
      <c r="H4754">
        <v>42</v>
      </c>
      <c r="I4754">
        <v>0</v>
      </c>
      <c r="J4754">
        <v>1</v>
      </c>
      <c r="K4754">
        <v>0</v>
      </c>
    </row>
    <row r="4755" spans="1:11" x14ac:dyDescent="0.2">
      <c r="A4755">
        <v>29974</v>
      </c>
      <c r="B4755">
        <v>296246</v>
      </c>
      <c r="C4755" t="s">
        <v>7965</v>
      </c>
      <c r="D4755">
        <v>10</v>
      </c>
      <c r="E4755">
        <v>16</v>
      </c>
      <c r="F4755">
        <v>0</v>
      </c>
      <c r="G4755">
        <v>0</v>
      </c>
      <c r="H4755">
        <v>104</v>
      </c>
      <c r="I4755">
        <v>0</v>
      </c>
      <c r="J4755">
        <v>1</v>
      </c>
      <c r="K4755">
        <v>0</v>
      </c>
    </row>
    <row r="4756" spans="1:11" x14ac:dyDescent="0.2">
      <c r="A4756">
        <v>32954</v>
      </c>
      <c r="B4756">
        <v>296247</v>
      </c>
      <c r="C4756" t="s">
        <v>8243</v>
      </c>
      <c r="D4756">
        <v>10</v>
      </c>
      <c r="E4756">
        <v>12</v>
      </c>
      <c r="F4756">
        <v>0</v>
      </c>
      <c r="G4756">
        <v>0</v>
      </c>
      <c r="H4756">
        <v>112</v>
      </c>
      <c r="I4756">
        <v>0</v>
      </c>
      <c r="J4756">
        <v>3.99</v>
      </c>
      <c r="K4756">
        <v>0</v>
      </c>
    </row>
    <row r="4757" spans="1:11" x14ac:dyDescent="0.2">
      <c r="A4757">
        <v>40921</v>
      </c>
      <c r="B4757">
        <v>296249</v>
      </c>
      <c r="C4757" t="s">
        <v>8244</v>
      </c>
      <c r="D4757">
        <v>10</v>
      </c>
      <c r="E4757">
        <v>12</v>
      </c>
      <c r="F4757">
        <v>0</v>
      </c>
      <c r="G4757">
        <v>0</v>
      </c>
      <c r="H4757">
        <v>60</v>
      </c>
      <c r="I4757">
        <v>0</v>
      </c>
      <c r="J4757">
        <v>1</v>
      </c>
      <c r="K4757">
        <v>0</v>
      </c>
    </row>
    <row r="4758" spans="1:11" x14ac:dyDescent="0.2">
      <c r="A4758">
        <v>32955</v>
      </c>
      <c r="B4758">
        <v>296252</v>
      </c>
      <c r="C4758" t="s">
        <v>8245</v>
      </c>
      <c r="D4758">
        <v>10</v>
      </c>
      <c r="E4758">
        <v>12</v>
      </c>
      <c r="F4758">
        <v>0</v>
      </c>
      <c r="G4758">
        <v>0</v>
      </c>
      <c r="H4758">
        <v>126</v>
      </c>
      <c r="I4758">
        <v>0</v>
      </c>
      <c r="J4758">
        <v>2.99</v>
      </c>
      <c r="K4758">
        <v>0</v>
      </c>
    </row>
    <row r="4759" spans="1:11" x14ac:dyDescent="0.2">
      <c r="A4759">
        <v>32956</v>
      </c>
      <c r="B4759">
        <v>296254</v>
      </c>
      <c r="C4759" t="s">
        <v>8146</v>
      </c>
      <c r="D4759">
        <v>10</v>
      </c>
      <c r="E4759">
        <v>12</v>
      </c>
      <c r="F4759">
        <v>0</v>
      </c>
      <c r="G4759">
        <v>0</v>
      </c>
      <c r="H4759">
        <v>153</v>
      </c>
      <c r="I4759">
        <v>0</v>
      </c>
      <c r="J4759">
        <v>1.99</v>
      </c>
      <c r="K4759">
        <v>0</v>
      </c>
    </row>
    <row r="4760" spans="1:11" x14ac:dyDescent="0.2">
      <c r="A4760">
        <v>40922</v>
      </c>
      <c r="B4760">
        <v>296256</v>
      </c>
      <c r="C4760" t="s">
        <v>8246</v>
      </c>
      <c r="D4760">
        <v>10</v>
      </c>
      <c r="E4760">
        <v>12</v>
      </c>
      <c r="F4760">
        <v>0</v>
      </c>
      <c r="G4760">
        <v>0</v>
      </c>
      <c r="H4760">
        <v>114</v>
      </c>
      <c r="I4760">
        <v>0</v>
      </c>
      <c r="J4760">
        <v>1</v>
      </c>
      <c r="K4760">
        <v>0</v>
      </c>
    </row>
    <row r="4761" spans="1:11" x14ac:dyDescent="0.2">
      <c r="A4761">
        <v>32957</v>
      </c>
      <c r="B4761">
        <v>296262</v>
      </c>
      <c r="C4761" t="s">
        <v>8247</v>
      </c>
      <c r="D4761">
        <v>10</v>
      </c>
      <c r="E4761">
        <v>12</v>
      </c>
      <c r="F4761">
        <v>0</v>
      </c>
      <c r="G4761">
        <v>0</v>
      </c>
      <c r="H4761">
        <v>96</v>
      </c>
      <c r="I4761">
        <v>0</v>
      </c>
      <c r="J4761">
        <v>4.49</v>
      </c>
      <c r="K4761">
        <v>0</v>
      </c>
    </row>
    <row r="4762" spans="1:11" x14ac:dyDescent="0.2">
      <c r="A4762">
        <v>25837</v>
      </c>
      <c r="B4762">
        <v>296276</v>
      </c>
      <c r="C4762" t="s">
        <v>8169</v>
      </c>
      <c r="D4762">
        <v>10</v>
      </c>
      <c r="E4762">
        <v>4</v>
      </c>
      <c r="F4762">
        <v>0</v>
      </c>
      <c r="G4762">
        <v>0</v>
      </c>
      <c r="H4762">
        <v>44</v>
      </c>
      <c r="I4762">
        <v>0</v>
      </c>
      <c r="J4762">
        <v>13.99</v>
      </c>
      <c r="K4762">
        <v>0</v>
      </c>
    </row>
    <row r="4763" spans="1:11" x14ac:dyDescent="0.2">
      <c r="A4763">
        <v>40923</v>
      </c>
      <c r="B4763">
        <v>296277</v>
      </c>
      <c r="C4763" t="s">
        <v>8248</v>
      </c>
      <c r="D4763">
        <v>10</v>
      </c>
      <c r="E4763">
        <v>12</v>
      </c>
      <c r="F4763">
        <v>0</v>
      </c>
      <c r="G4763">
        <v>0</v>
      </c>
      <c r="H4763">
        <v>80</v>
      </c>
      <c r="I4763">
        <v>0</v>
      </c>
      <c r="J4763">
        <v>1</v>
      </c>
      <c r="K4763">
        <v>0</v>
      </c>
    </row>
    <row r="4764" spans="1:11" x14ac:dyDescent="0.2">
      <c r="A4764">
        <v>40924</v>
      </c>
      <c r="B4764">
        <v>296278</v>
      </c>
      <c r="C4764" t="s">
        <v>8249</v>
      </c>
      <c r="D4764">
        <v>10</v>
      </c>
      <c r="E4764">
        <v>12</v>
      </c>
      <c r="F4764">
        <v>0</v>
      </c>
      <c r="G4764">
        <v>0</v>
      </c>
      <c r="H4764">
        <v>120</v>
      </c>
      <c r="I4764">
        <v>0</v>
      </c>
      <c r="J4764">
        <v>1</v>
      </c>
      <c r="K4764">
        <v>0</v>
      </c>
    </row>
    <row r="4765" spans="1:11" x14ac:dyDescent="0.2">
      <c r="A4765">
        <v>29975</v>
      </c>
      <c r="B4765">
        <v>296279</v>
      </c>
      <c r="C4765" t="s">
        <v>8242</v>
      </c>
      <c r="D4765">
        <v>10</v>
      </c>
      <c r="E4765">
        <v>16</v>
      </c>
      <c r="F4765">
        <v>0</v>
      </c>
      <c r="G4765">
        <v>0</v>
      </c>
      <c r="H4765">
        <v>50</v>
      </c>
      <c r="I4765">
        <v>0</v>
      </c>
      <c r="J4765">
        <v>1</v>
      </c>
      <c r="K4765">
        <v>0</v>
      </c>
    </row>
    <row r="4766" spans="1:11" x14ac:dyDescent="0.2">
      <c r="A4766">
        <v>40925</v>
      </c>
      <c r="B4766">
        <v>296281</v>
      </c>
      <c r="C4766" t="s">
        <v>8236</v>
      </c>
      <c r="D4766">
        <v>10</v>
      </c>
      <c r="E4766">
        <v>12</v>
      </c>
      <c r="F4766">
        <v>0</v>
      </c>
      <c r="G4766">
        <v>0</v>
      </c>
      <c r="H4766">
        <v>171</v>
      </c>
      <c r="I4766">
        <v>0</v>
      </c>
      <c r="J4766">
        <v>1</v>
      </c>
      <c r="K4766">
        <v>0</v>
      </c>
    </row>
    <row r="4767" spans="1:11" x14ac:dyDescent="0.2">
      <c r="A4767">
        <v>29976</v>
      </c>
      <c r="B4767">
        <v>296290</v>
      </c>
      <c r="C4767" t="s">
        <v>8227</v>
      </c>
      <c r="D4767">
        <v>10</v>
      </c>
      <c r="E4767">
        <v>14</v>
      </c>
      <c r="F4767">
        <v>0</v>
      </c>
      <c r="G4767">
        <v>0</v>
      </c>
      <c r="H4767">
        <v>60</v>
      </c>
      <c r="I4767">
        <v>0</v>
      </c>
      <c r="J4767">
        <v>1</v>
      </c>
      <c r="K4767">
        <v>0</v>
      </c>
    </row>
    <row r="4768" spans="1:11" x14ac:dyDescent="0.2">
      <c r="A4768">
        <v>40926</v>
      </c>
      <c r="B4768">
        <v>296291</v>
      </c>
      <c r="C4768" t="s">
        <v>8145</v>
      </c>
      <c r="D4768">
        <v>10</v>
      </c>
      <c r="E4768">
        <v>12</v>
      </c>
      <c r="F4768">
        <v>0</v>
      </c>
      <c r="G4768">
        <v>0</v>
      </c>
      <c r="H4768">
        <v>68</v>
      </c>
      <c r="I4768">
        <v>0</v>
      </c>
      <c r="J4768">
        <v>1</v>
      </c>
      <c r="K4768">
        <v>0</v>
      </c>
    </row>
    <row r="4769" spans="1:11" x14ac:dyDescent="0.2">
      <c r="A4769">
        <v>40927</v>
      </c>
      <c r="B4769">
        <v>296293</v>
      </c>
      <c r="C4769" t="s">
        <v>8250</v>
      </c>
      <c r="D4769">
        <v>10</v>
      </c>
      <c r="E4769">
        <v>12</v>
      </c>
      <c r="F4769">
        <v>0</v>
      </c>
      <c r="G4769">
        <v>0</v>
      </c>
      <c r="H4769">
        <v>110</v>
      </c>
      <c r="I4769">
        <v>0</v>
      </c>
      <c r="J4769">
        <v>1</v>
      </c>
      <c r="K4769">
        <v>0</v>
      </c>
    </row>
    <row r="4770" spans="1:11" x14ac:dyDescent="0.2">
      <c r="A4770">
        <v>29977</v>
      </c>
      <c r="B4770">
        <v>296295</v>
      </c>
      <c r="C4770" t="s">
        <v>8251</v>
      </c>
      <c r="D4770">
        <v>10</v>
      </c>
      <c r="E4770">
        <v>16</v>
      </c>
      <c r="F4770">
        <v>0</v>
      </c>
      <c r="G4770">
        <v>0</v>
      </c>
      <c r="H4770">
        <v>63</v>
      </c>
      <c r="I4770">
        <v>0</v>
      </c>
      <c r="J4770">
        <v>1</v>
      </c>
      <c r="K4770">
        <v>0</v>
      </c>
    </row>
    <row r="4771" spans="1:11" x14ac:dyDescent="0.2">
      <c r="A4771">
        <v>52114</v>
      </c>
      <c r="B4771">
        <v>296303</v>
      </c>
      <c r="C4771" t="s">
        <v>8252</v>
      </c>
      <c r="D4771">
        <v>10</v>
      </c>
      <c r="E4771">
        <v>4</v>
      </c>
      <c r="F4771">
        <v>22</v>
      </c>
      <c r="G4771">
        <v>86</v>
      </c>
      <c r="H4771">
        <v>60</v>
      </c>
      <c r="I4771">
        <v>0.4</v>
      </c>
      <c r="J4771">
        <v>17.989999999999998</v>
      </c>
      <c r="K4771">
        <v>1547.14</v>
      </c>
    </row>
    <row r="4772" spans="1:11" x14ac:dyDescent="0.2">
      <c r="A4772">
        <v>30825</v>
      </c>
      <c r="B4772">
        <v>296305</v>
      </c>
      <c r="C4772" t="s">
        <v>8253</v>
      </c>
      <c r="D4772">
        <v>10</v>
      </c>
      <c r="E4772">
        <v>2</v>
      </c>
      <c r="F4772">
        <v>0</v>
      </c>
      <c r="G4772">
        <v>0</v>
      </c>
      <c r="H4772">
        <v>24</v>
      </c>
      <c r="I4772">
        <v>0</v>
      </c>
      <c r="J4772">
        <v>64.989999999999995</v>
      </c>
      <c r="K4772">
        <v>0</v>
      </c>
    </row>
    <row r="4773" spans="1:11" x14ac:dyDescent="0.2">
      <c r="A4773">
        <v>31807</v>
      </c>
      <c r="B4773">
        <v>296308</v>
      </c>
      <c r="C4773" t="s">
        <v>8254</v>
      </c>
      <c r="D4773">
        <v>10</v>
      </c>
      <c r="E4773">
        <v>10</v>
      </c>
      <c r="F4773">
        <v>0</v>
      </c>
      <c r="G4773">
        <v>0</v>
      </c>
      <c r="H4773">
        <v>28</v>
      </c>
      <c r="I4773">
        <v>0</v>
      </c>
      <c r="J4773">
        <v>4.49</v>
      </c>
      <c r="K4773">
        <v>0</v>
      </c>
    </row>
    <row r="4774" spans="1:11" x14ac:dyDescent="0.2">
      <c r="A4774">
        <v>30826</v>
      </c>
      <c r="B4774">
        <v>296309</v>
      </c>
      <c r="C4774" t="s">
        <v>8255</v>
      </c>
      <c r="D4774">
        <v>10</v>
      </c>
      <c r="E4774">
        <v>1</v>
      </c>
      <c r="F4774">
        <v>-9</v>
      </c>
      <c r="G4774">
        <v>-9</v>
      </c>
      <c r="H4774">
        <v>24</v>
      </c>
      <c r="I4774">
        <v>-0.4</v>
      </c>
      <c r="J4774">
        <v>179</v>
      </c>
      <c r="K4774">
        <v>-1611</v>
      </c>
    </row>
    <row r="4775" spans="1:11" x14ac:dyDescent="0.2">
      <c r="A4775">
        <v>26821</v>
      </c>
      <c r="B4775">
        <v>296318</v>
      </c>
      <c r="C4775" t="s">
        <v>8256</v>
      </c>
      <c r="D4775">
        <v>10</v>
      </c>
      <c r="E4775">
        <v>6</v>
      </c>
      <c r="F4775">
        <v>0</v>
      </c>
      <c r="G4775">
        <v>0</v>
      </c>
      <c r="H4775">
        <v>56</v>
      </c>
      <c r="I4775">
        <v>0</v>
      </c>
      <c r="J4775">
        <v>6.99</v>
      </c>
      <c r="K4775">
        <v>0</v>
      </c>
    </row>
    <row r="4776" spans="1:11" x14ac:dyDescent="0.2">
      <c r="A4776">
        <v>27817</v>
      </c>
      <c r="B4776">
        <v>296320</v>
      </c>
      <c r="C4776" t="s">
        <v>8257</v>
      </c>
      <c r="D4776">
        <v>11</v>
      </c>
      <c r="E4776">
        <v>12</v>
      </c>
      <c r="F4776">
        <v>0</v>
      </c>
      <c r="G4776">
        <v>0</v>
      </c>
      <c r="H4776">
        <v>63</v>
      </c>
      <c r="I4776">
        <v>0</v>
      </c>
      <c r="J4776">
        <v>6.99</v>
      </c>
      <c r="K4776">
        <v>0</v>
      </c>
    </row>
    <row r="4777" spans="1:11" x14ac:dyDescent="0.2">
      <c r="A4777">
        <v>29978</v>
      </c>
      <c r="B4777">
        <v>296330</v>
      </c>
      <c r="C4777" t="s">
        <v>8258</v>
      </c>
      <c r="D4777">
        <v>10</v>
      </c>
      <c r="E4777">
        <v>14</v>
      </c>
      <c r="F4777">
        <v>0</v>
      </c>
      <c r="G4777">
        <v>0</v>
      </c>
      <c r="H4777">
        <v>104</v>
      </c>
      <c r="I4777">
        <v>0</v>
      </c>
      <c r="J4777">
        <v>1</v>
      </c>
      <c r="K4777">
        <v>0</v>
      </c>
    </row>
    <row r="4778" spans="1:11" x14ac:dyDescent="0.2">
      <c r="A4778">
        <v>29979</v>
      </c>
      <c r="B4778">
        <v>296350</v>
      </c>
      <c r="C4778" t="s">
        <v>8259</v>
      </c>
      <c r="D4778">
        <v>10</v>
      </c>
      <c r="E4778">
        <v>14</v>
      </c>
      <c r="F4778">
        <v>0</v>
      </c>
      <c r="G4778">
        <v>0</v>
      </c>
      <c r="H4778">
        <v>160</v>
      </c>
      <c r="I4778">
        <v>0</v>
      </c>
      <c r="J4778">
        <v>1</v>
      </c>
      <c r="K4778">
        <v>0</v>
      </c>
    </row>
    <row r="4779" spans="1:11" x14ac:dyDescent="0.2">
      <c r="A4779">
        <v>29980</v>
      </c>
      <c r="B4779">
        <v>296352</v>
      </c>
      <c r="C4779" t="s">
        <v>8260</v>
      </c>
      <c r="D4779">
        <v>6</v>
      </c>
      <c r="E4779">
        <v>18</v>
      </c>
      <c r="F4779">
        <v>0</v>
      </c>
      <c r="G4779">
        <v>0</v>
      </c>
      <c r="H4779">
        <v>100</v>
      </c>
      <c r="I4779">
        <v>0</v>
      </c>
      <c r="J4779">
        <v>1</v>
      </c>
      <c r="K4779">
        <v>0</v>
      </c>
    </row>
    <row r="4780" spans="1:11" x14ac:dyDescent="0.2">
      <c r="A4780">
        <v>29981</v>
      </c>
      <c r="B4780">
        <v>296356</v>
      </c>
      <c r="C4780" t="s">
        <v>7968</v>
      </c>
      <c r="D4780">
        <v>6</v>
      </c>
      <c r="E4780">
        <v>14</v>
      </c>
      <c r="F4780">
        <v>0</v>
      </c>
      <c r="G4780">
        <v>0</v>
      </c>
      <c r="H4780">
        <v>100</v>
      </c>
      <c r="I4780">
        <v>0</v>
      </c>
      <c r="J4780">
        <v>1</v>
      </c>
      <c r="K4780">
        <v>0</v>
      </c>
    </row>
    <row r="4781" spans="1:11" x14ac:dyDescent="0.2">
      <c r="A4781">
        <v>29982</v>
      </c>
      <c r="B4781">
        <v>296366</v>
      </c>
      <c r="C4781" t="s">
        <v>8261</v>
      </c>
      <c r="D4781">
        <v>6</v>
      </c>
      <c r="E4781">
        <v>18</v>
      </c>
      <c r="F4781">
        <v>0</v>
      </c>
      <c r="G4781">
        <v>0</v>
      </c>
      <c r="H4781">
        <v>100</v>
      </c>
      <c r="I4781">
        <v>0</v>
      </c>
      <c r="J4781">
        <v>1</v>
      </c>
      <c r="K4781">
        <v>0</v>
      </c>
    </row>
    <row r="4782" spans="1:11" x14ac:dyDescent="0.2">
      <c r="A4782">
        <v>32958</v>
      </c>
      <c r="B4782">
        <v>296394</v>
      </c>
      <c r="C4782" t="s">
        <v>8251</v>
      </c>
      <c r="D4782">
        <v>10</v>
      </c>
      <c r="E4782">
        <v>16</v>
      </c>
      <c r="F4782">
        <v>0</v>
      </c>
      <c r="G4782">
        <v>0</v>
      </c>
      <c r="H4782">
        <v>72</v>
      </c>
      <c r="I4782">
        <v>0</v>
      </c>
      <c r="J4782">
        <v>1</v>
      </c>
      <c r="K4782">
        <v>0</v>
      </c>
    </row>
    <row r="4783" spans="1:11" x14ac:dyDescent="0.2">
      <c r="A4783">
        <v>32959</v>
      </c>
      <c r="B4783">
        <v>296398</v>
      </c>
      <c r="C4783" t="s">
        <v>8262</v>
      </c>
      <c r="D4783">
        <v>10</v>
      </c>
      <c r="E4783">
        <v>14</v>
      </c>
      <c r="F4783">
        <v>0</v>
      </c>
      <c r="G4783">
        <v>0</v>
      </c>
      <c r="H4783">
        <v>60</v>
      </c>
      <c r="I4783">
        <v>0</v>
      </c>
      <c r="J4783">
        <v>1</v>
      </c>
      <c r="K4783">
        <v>0</v>
      </c>
    </row>
    <row r="4784" spans="1:11" x14ac:dyDescent="0.2">
      <c r="A4784">
        <v>32960</v>
      </c>
      <c r="B4784">
        <v>296399</v>
      </c>
      <c r="C4784" t="s">
        <v>8156</v>
      </c>
      <c r="D4784">
        <v>10</v>
      </c>
      <c r="E4784">
        <v>16</v>
      </c>
      <c r="F4784">
        <v>0</v>
      </c>
      <c r="G4784">
        <v>0</v>
      </c>
      <c r="H4784">
        <v>48</v>
      </c>
      <c r="I4784">
        <v>0</v>
      </c>
      <c r="J4784">
        <v>1</v>
      </c>
      <c r="K4784">
        <v>0</v>
      </c>
    </row>
    <row r="4785" spans="1:11" x14ac:dyDescent="0.2">
      <c r="A4785">
        <v>40928</v>
      </c>
      <c r="B4785">
        <v>296400</v>
      </c>
      <c r="C4785" t="s">
        <v>8227</v>
      </c>
      <c r="D4785">
        <v>10</v>
      </c>
      <c r="E4785">
        <v>16</v>
      </c>
      <c r="F4785">
        <v>0</v>
      </c>
      <c r="G4785">
        <v>0</v>
      </c>
      <c r="H4785">
        <v>64</v>
      </c>
      <c r="I4785">
        <v>0</v>
      </c>
      <c r="J4785">
        <v>1</v>
      </c>
      <c r="K4785">
        <v>0</v>
      </c>
    </row>
    <row r="4786" spans="1:11" x14ac:dyDescent="0.2">
      <c r="A4786">
        <v>32961</v>
      </c>
      <c r="B4786">
        <v>296404</v>
      </c>
      <c r="C4786" t="s">
        <v>6479</v>
      </c>
      <c r="D4786">
        <v>6</v>
      </c>
      <c r="E4786">
        <v>14</v>
      </c>
      <c r="F4786">
        <v>0</v>
      </c>
      <c r="G4786">
        <v>0</v>
      </c>
      <c r="H4786">
        <v>54</v>
      </c>
      <c r="I4786">
        <v>0</v>
      </c>
      <c r="J4786">
        <v>1</v>
      </c>
      <c r="K4786">
        <v>0</v>
      </c>
    </row>
    <row r="4787" spans="1:11" x14ac:dyDescent="0.2">
      <c r="A4787">
        <v>29983</v>
      </c>
      <c r="B4787">
        <v>296407</v>
      </c>
      <c r="C4787" t="s">
        <v>8263</v>
      </c>
      <c r="D4787">
        <v>10</v>
      </c>
      <c r="E4787">
        <v>16</v>
      </c>
      <c r="F4787">
        <v>0</v>
      </c>
      <c r="G4787">
        <v>0</v>
      </c>
      <c r="H4787">
        <v>91</v>
      </c>
      <c r="I4787">
        <v>0</v>
      </c>
      <c r="J4787">
        <v>1</v>
      </c>
      <c r="K4787">
        <v>0</v>
      </c>
    </row>
    <row r="4788" spans="1:11" x14ac:dyDescent="0.2">
      <c r="A4788">
        <v>32962</v>
      </c>
      <c r="B4788">
        <v>296414</v>
      </c>
      <c r="C4788" t="s">
        <v>7962</v>
      </c>
      <c r="D4788">
        <v>10</v>
      </c>
      <c r="E4788">
        <v>18</v>
      </c>
      <c r="F4788">
        <v>0</v>
      </c>
      <c r="G4788">
        <v>0</v>
      </c>
      <c r="H4788">
        <v>48</v>
      </c>
      <c r="I4788">
        <v>0</v>
      </c>
      <c r="J4788">
        <v>1</v>
      </c>
      <c r="K4788">
        <v>0</v>
      </c>
    </row>
    <row r="4789" spans="1:11" x14ac:dyDescent="0.2">
      <c r="A4789">
        <v>32963</v>
      </c>
      <c r="B4789">
        <v>296416</v>
      </c>
      <c r="C4789" t="s">
        <v>8264</v>
      </c>
      <c r="D4789">
        <v>10</v>
      </c>
      <c r="E4789">
        <v>18</v>
      </c>
      <c r="F4789">
        <v>0</v>
      </c>
      <c r="G4789">
        <v>0</v>
      </c>
      <c r="H4789">
        <v>45</v>
      </c>
      <c r="I4789">
        <v>0</v>
      </c>
      <c r="J4789">
        <v>1</v>
      </c>
      <c r="K4789">
        <v>0</v>
      </c>
    </row>
    <row r="4790" spans="1:11" x14ac:dyDescent="0.2">
      <c r="A4790">
        <v>32964</v>
      </c>
      <c r="B4790">
        <v>296417</v>
      </c>
      <c r="C4790" t="s">
        <v>8265</v>
      </c>
      <c r="D4790">
        <v>10</v>
      </c>
      <c r="E4790">
        <v>16</v>
      </c>
      <c r="F4790">
        <v>0</v>
      </c>
      <c r="G4790">
        <v>0</v>
      </c>
      <c r="H4790">
        <v>96</v>
      </c>
      <c r="I4790">
        <v>0</v>
      </c>
      <c r="J4790">
        <v>1</v>
      </c>
      <c r="K4790">
        <v>0</v>
      </c>
    </row>
    <row r="4791" spans="1:11" x14ac:dyDescent="0.2">
      <c r="A4791">
        <v>32965</v>
      </c>
      <c r="B4791">
        <v>296418</v>
      </c>
      <c r="C4791" t="s">
        <v>6479</v>
      </c>
      <c r="D4791">
        <v>10</v>
      </c>
      <c r="E4791">
        <v>13</v>
      </c>
      <c r="F4791">
        <v>0</v>
      </c>
      <c r="G4791">
        <v>0</v>
      </c>
      <c r="H4791">
        <v>42</v>
      </c>
      <c r="I4791">
        <v>0</v>
      </c>
      <c r="J4791">
        <v>1</v>
      </c>
      <c r="K4791">
        <v>0</v>
      </c>
    </row>
    <row r="4792" spans="1:11" x14ac:dyDescent="0.2">
      <c r="A4792">
        <v>25985</v>
      </c>
      <c r="B4792">
        <v>296453</v>
      </c>
      <c r="C4792" t="s">
        <v>8007</v>
      </c>
      <c r="D4792">
        <v>10</v>
      </c>
      <c r="E4792">
        <v>16</v>
      </c>
      <c r="F4792">
        <v>0</v>
      </c>
      <c r="G4792">
        <v>0</v>
      </c>
      <c r="H4792">
        <v>50</v>
      </c>
      <c r="I4792">
        <v>0</v>
      </c>
      <c r="J4792">
        <v>1</v>
      </c>
      <c r="K4792">
        <v>0</v>
      </c>
    </row>
    <row r="4793" spans="1:11" x14ac:dyDescent="0.2">
      <c r="A4793">
        <v>25986</v>
      </c>
      <c r="B4793">
        <v>296454</v>
      </c>
      <c r="C4793" t="s">
        <v>8008</v>
      </c>
      <c r="D4793">
        <v>10</v>
      </c>
      <c r="E4793">
        <v>16</v>
      </c>
      <c r="F4793">
        <v>0</v>
      </c>
      <c r="G4793">
        <v>0</v>
      </c>
      <c r="H4793">
        <v>42</v>
      </c>
      <c r="I4793">
        <v>0</v>
      </c>
      <c r="J4793">
        <v>1</v>
      </c>
      <c r="K4793">
        <v>0</v>
      </c>
    </row>
    <row r="4794" spans="1:11" x14ac:dyDescent="0.2">
      <c r="A4794">
        <v>25987</v>
      </c>
      <c r="B4794">
        <v>296456</v>
      </c>
      <c r="C4794" t="s">
        <v>8266</v>
      </c>
      <c r="D4794">
        <v>10</v>
      </c>
      <c r="E4794">
        <v>14</v>
      </c>
      <c r="F4794">
        <v>0</v>
      </c>
      <c r="G4794">
        <v>0</v>
      </c>
      <c r="H4794">
        <v>54</v>
      </c>
      <c r="I4794">
        <v>0</v>
      </c>
      <c r="J4794">
        <v>1</v>
      </c>
      <c r="K4794">
        <v>0</v>
      </c>
    </row>
    <row r="4795" spans="1:11" x14ac:dyDescent="0.2">
      <c r="B4795">
        <v>296463</v>
      </c>
      <c r="C4795" t="s">
        <v>8267</v>
      </c>
      <c r="D4795">
        <v>12</v>
      </c>
      <c r="E4795">
        <v>10</v>
      </c>
      <c r="F4795">
        <v>0</v>
      </c>
      <c r="G4795">
        <v>0</v>
      </c>
      <c r="H4795">
        <v>40</v>
      </c>
      <c r="I4795">
        <v>0</v>
      </c>
      <c r="J4795">
        <v>2.99</v>
      </c>
      <c r="K4795">
        <v>0</v>
      </c>
    </row>
    <row r="4796" spans="1:11" x14ac:dyDescent="0.2">
      <c r="A4796">
        <v>32966</v>
      </c>
      <c r="B4796">
        <v>296464</v>
      </c>
      <c r="C4796" t="s">
        <v>8268</v>
      </c>
      <c r="D4796">
        <v>10</v>
      </c>
      <c r="E4796">
        <v>10</v>
      </c>
      <c r="F4796">
        <v>0</v>
      </c>
      <c r="G4796">
        <v>0</v>
      </c>
      <c r="H4796">
        <v>72</v>
      </c>
      <c r="I4796">
        <v>0</v>
      </c>
      <c r="J4796">
        <v>1</v>
      </c>
      <c r="K4796">
        <v>0</v>
      </c>
    </row>
    <row r="4797" spans="1:11" x14ac:dyDescent="0.2">
      <c r="A4797">
        <v>32967</v>
      </c>
      <c r="B4797">
        <v>296465</v>
      </c>
      <c r="C4797" t="s">
        <v>8000</v>
      </c>
      <c r="D4797">
        <v>10</v>
      </c>
      <c r="E4797">
        <v>8</v>
      </c>
      <c r="F4797">
        <v>0</v>
      </c>
      <c r="G4797">
        <v>0</v>
      </c>
      <c r="H4797">
        <v>96</v>
      </c>
      <c r="I4797">
        <v>0</v>
      </c>
      <c r="J4797">
        <v>1</v>
      </c>
      <c r="K4797">
        <v>0</v>
      </c>
    </row>
    <row r="4798" spans="1:11" x14ac:dyDescent="0.2">
      <c r="A4798">
        <v>32968</v>
      </c>
      <c r="B4798">
        <v>296466</v>
      </c>
      <c r="C4798" t="s">
        <v>8269</v>
      </c>
      <c r="D4798">
        <v>6</v>
      </c>
      <c r="E4798">
        <v>16</v>
      </c>
      <c r="F4798">
        <v>0</v>
      </c>
      <c r="G4798">
        <v>0</v>
      </c>
      <c r="H4798">
        <v>63</v>
      </c>
      <c r="I4798">
        <v>0</v>
      </c>
      <c r="J4798">
        <v>1</v>
      </c>
      <c r="K4798">
        <v>0</v>
      </c>
    </row>
    <row r="4799" spans="1:11" x14ac:dyDescent="0.2">
      <c r="A4799">
        <v>32969</v>
      </c>
      <c r="B4799">
        <v>296467</v>
      </c>
      <c r="C4799" t="s">
        <v>8007</v>
      </c>
      <c r="D4799">
        <v>10</v>
      </c>
      <c r="E4799">
        <v>14</v>
      </c>
      <c r="F4799">
        <v>0</v>
      </c>
      <c r="G4799">
        <v>0</v>
      </c>
      <c r="H4799">
        <v>54</v>
      </c>
      <c r="I4799">
        <v>0</v>
      </c>
      <c r="J4799">
        <v>1</v>
      </c>
      <c r="K4799">
        <v>0</v>
      </c>
    </row>
    <row r="4800" spans="1:11" x14ac:dyDescent="0.2">
      <c r="A4800">
        <v>25989</v>
      </c>
      <c r="B4800">
        <v>296481</v>
      </c>
      <c r="C4800" t="s">
        <v>8270</v>
      </c>
      <c r="D4800">
        <v>10</v>
      </c>
      <c r="E4800">
        <v>14</v>
      </c>
      <c r="F4800">
        <v>0</v>
      </c>
      <c r="G4800">
        <v>0</v>
      </c>
      <c r="H4800">
        <v>104</v>
      </c>
      <c r="I4800">
        <v>0</v>
      </c>
      <c r="J4800">
        <v>1</v>
      </c>
      <c r="K4800">
        <v>0</v>
      </c>
    </row>
    <row r="4801" spans="1:11" x14ac:dyDescent="0.2">
      <c r="A4801">
        <v>29984</v>
      </c>
      <c r="B4801">
        <v>296505</v>
      </c>
      <c r="C4801" t="s">
        <v>8271</v>
      </c>
      <c r="D4801">
        <v>10</v>
      </c>
      <c r="E4801">
        <v>14</v>
      </c>
      <c r="F4801">
        <v>0</v>
      </c>
      <c r="G4801">
        <v>0</v>
      </c>
      <c r="H4801">
        <v>48</v>
      </c>
      <c r="I4801">
        <v>0</v>
      </c>
      <c r="J4801">
        <v>1</v>
      </c>
      <c r="K4801">
        <v>0</v>
      </c>
    </row>
    <row r="4802" spans="1:11" x14ac:dyDescent="0.2">
      <c r="A4802">
        <v>29985</v>
      </c>
      <c r="B4802">
        <v>296508</v>
      </c>
      <c r="C4802" t="s">
        <v>8272</v>
      </c>
      <c r="D4802">
        <v>10</v>
      </c>
      <c r="E4802">
        <v>16</v>
      </c>
      <c r="F4802">
        <v>0</v>
      </c>
      <c r="G4802">
        <v>0</v>
      </c>
      <c r="H4802">
        <v>60</v>
      </c>
      <c r="I4802">
        <v>0</v>
      </c>
      <c r="J4802">
        <v>1</v>
      </c>
      <c r="K4802">
        <v>0</v>
      </c>
    </row>
    <row r="4803" spans="1:11" x14ac:dyDescent="0.2">
      <c r="A4803">
        <v>29987</v>
      </c>
      <c r="B4803">
        <v>296513</v>
      </c>
      <c r="C4803" t="s">
        <v>8273</v>
      </c>
      <c r="D4803">
        <v>10</v>
      </c>
      <c r="E4803">
        <v>14</v>
      </c>
      <c r="F4803">
        <v>0</v>
      </c>
      <c r="G4803">
        <v>0</v>
      </c>
      <c r="H4803">
        <v>42</v>
      </c>
      <c r="I4803">
        <v>0</v>
      </c>
      <c r="J4803">
        <v>6.99</v>
      </c>
      <c r="K4803">
        <v>0</v>
      </c>
    </row>
    <row r="4804" spans="1:11" x14ac:dyDescent="0.2">
      <c r="A4804">
        <v>29988</v>
      </c>
      <c r="B4804">
        <v>296514</v>
      </c>
      <c r="C4804" t="s">
        <v>8274</v>
      </c>
      <c r="D4804">
        <v>10</v>
      </c>
      <c r="E4804">
        <v>16</v>
      </c>
      <c r="F4804">
        <v>0</v>
      </c>
      <c r="G4804">
        <v>0</v>
      </c>
      <c r="H4804">
        <v>54</v>
      </c>
      <c r="I4804">
        <v>0</v>
      </c>
      <c r="J4804">
        <v>1</v>
      </c>
      <c r="K4804">
        <v>0</v>
      </c>
    </row>
    <row r="4805" spans="1:11" x14ac:dyDescent="0.2">
      <c r="A4805">
        <v>29989</v>
      </c>
      <c r="B4805">
        <v>296516</v>
      </c>
      <c r="C4805" t="s">
        <v>8275</v>
      </c>
      <c r="D4805">
        <v>10</v>
      </c>
      <c r="E4805">
        <v>14</v>
      </c>
      <c r="F4805">
        <v>0</v>
      </c>
      <c r="G4805">
        <v>0</v>
      </c>
      <c r="H4805">
        <v>84</v>
      </c>
      <c r="I4805">
        <v>0</v>
      </c>
      <c r="J4805">
        <v>1</v>
      </c>
      <c r="K4805">
        <v>0</v>
      </c>
    </row>
    <row r="4806" spans="1:11" x14ac:dyDescent="0.2">
      <c r="A4806">
        <v>29990</v>
      </c>
      <c r="B4806">
        <v>296524</v>
      </c>
      <c r="C4806" t="s">
        <v>8276</v>
      </c>
      <c r="D4806">
        <v>10</v>
      </c>
      <c r="E4806">
        <v>14</v>
      </c>
      <c r="F4806">
        <v>0</v>
      </c>
      <c r="G4806">
        <v>0</v>
      </c>
      <c r="H4806">
        <v>45</v>
      </c>
      <c r="I4806">
        <v>0</v>
      </c>
      <c r="J4806">
        <v>1</v>
      </c>
      <c r="K4806">
        <v>0</v>
      </c>
    </row>
    <row r="4807" spans="1:11" x14ac:dyDescent="0.2">
      <c r="A4807">
        <v>32970</v>
      </c>
      <c r="B4807">
        <v>296529</v>
      </c>
      <c r="C4807" t="s">
        <v>8277</v>
      </c>
      <c r="D4807">
        <v>10</v>
      </c>
      <c r="E4807">
        <v>16</v>
      </c>
      <c r="F4807">
        <v>0</v>
      </c>
      <c r="G4807">
        <v>0</v>
      </c>
      <c r="H4807">
        <v>56</v>
      </c>
      <c r="I4807">
        <v>0</v>
      </c>
      <c r="J4807">
        <v>1</v>
      </c>
      <c r="K4807">
        <v>0</v>
      </c>
    </row>
    <row r="4808" spans="1:11" x14ac:dyDescent="0.2">
      <c r="A4808">
        <v>32971</v>
      </c>
      <c r="B4808">
        <v>296531</v>
      </c>
      <c r="C4808" t="s">
        <v>8278</v>
      </c>
      <c r="D4808">
        <v>10</v>
      </c>
      <c r="E4808">
        <v>18</v>
      </c>
      <c r="F4808">
        <v>0</v>
      </c>
      <c r="G4808">
        <v>0</v>
      </c>
      <c r="H4808">
        <v>48</v>
      </c>
      <c r="I4808">
        <v>0</v>
      </c>
      <c r="J4808">
        <v>1</v>
      </c>
      <c r="K4808">
        <v>0</v>
      </c>
    </row>
    <row r="4809" spans="1:11" x14ac:dyDescent="0.2">
      <c r="A4809">
        <v>32972</v>
      </c>
      <c r="B4809">
        <v>296532</v>
      </c>
      <c r="C4809" t="s">
        <v>8266</v>
      </c>
      <c r="D4809">
        <v>10</v>
      </c>
      <c r="E4809">
        <v>16</v>
      </c>
      <c r="F4809">
        <v>0</v>
      </c>
      <c r="G4809">
        <v>0</v>
      </c>
      <c r="H4809">
        <v>30</v>
      </c>
      <c r="I4809">
        <v>0</v>
      </c>
      <c r="J4809">
        <v>1</v>
      </c>
      <c r="K4809">
        <v>0</v>
      </c>
    </row>
    <row r="4810" spans="1:11" x14ac:dyDescent="0.2">
      <c r="A4810">
        <v>32973</v>
      </c>
      <c r="B4810">
        <v>296533</v>
      </c>
      <c r="C4810" t="s">
        <v>8275</v>
      </c>
      <c r="D4810">
        <v>10</v>
      </c>
      <c r="E4810">
        <v>16</v>
      </c>
      <c r="F4810">
        <v>0</v>
      </c>
      <c r="G4810">
        <v>0</v>
      </c>
      <c r="H4810">
        <v>72</v>
      </c>
      <c r="I4810">
        <v>0</v>
      </c>
      <c r="J4810">
        <v>1</v>
      </c>
      <c r="K4810">
        <v>0</v>
      </c>
    </row>
    <row r="4811" spans="1:11" x14ac:dyDescent="0.2">
      <c r="A4811">
        <v>25990</v>
      </c>
      <c r="B4811">
        <v>296535</v>
      </c>
      <c r="C4811" t="s">
        <v>8279</v>
      </c>
      <c r="D4811">
        <v>10</v>
      </c>
      <c r="E4811">
        <v>16</v>
      </c>
      <c r="F4811">
        <v>0</v>
      </c>
      <c r="G4811">
        <v>0</v>
      </c>
      <c r="H4811">
        <v>72</v>
      </c>
      <c r="I4811">
        <v>0</v>
      </c>
      <c r="J4811">
        <v>1</v>
      </c>
      <c r="K4811">
        <v>0</v>
      </c>
    </row>
    <row r="4812" spans="1:11" x14ac:dyDescent="0.2">
      <c r="A4812">
        <v>40929</v>
      </c>
      <c r="B4812">
        <v>296537</v>
      </c>
      <c r="C4812" t="s">
        <v>8280</v>
      </c>
      <c r="D4812">
        <v>10</v>
      </c>
      <c r="E4812">
        <v>16</v>
      </c>
      <c r="F4812">
        <v>0</v>
      </c>
      <c r="G4812">
        <v>-1</v>
      </c>
      <c r="H4812">
        <v>81</v>
      </c>
      <c r="I4812">
        <v>0</v>
      </c>
      <c r="J4812">
        <v>1</v>
      </c>
      <c r="K4812">
        <v>-1</v>
      </c>
    </row>
    <row r="4813" spans="1:11" x14ac:dyDescent="0.2">
      <c r="A4813">
        <v>1202</v>
      </c>
      <c r="B4813">
        <v>296540</v>
      </c>
      <c r="C4813" t="s">
        <v>8281</v>
      </c>
      <c r="D4813">
        <v>6</v>
      </c>
      <c r="E4813">
        <v>6</v>
      </c>
      <c r="F4813">
        <v>108</v>
      </c>
      <c r="G4813">
        <v>648</v>
      </c>
      <c r="H4813">
        <v>18</v>
      </c>
      <c r="I4813">
        <v>6</v>
      </c>
      <c r="J4813">
        <v>6.99</v>
      </c>
      <c r="K4813">
        <v>4529.5200000000004</v>
      </c>
    </row>
    <row r="4814" spans="1:11" x14ac:dyDescent="0.2">
      <c r="A4814">
        <v>32974</v>
      </c>
      <c r="B4814">
        <v>296546</v>
      </c>
      <c r="C4814" t="s">
        <v>8279</v>
      </c>
      <c r="D4814">
        <v>10</v>
      </c>
      <c r="E4814">
        <v>12</v>
      </c>
      <c r="F4814">
        <v>0</v>
      </c>
      <c r="G4814">
        <v>0</v>
      </c>
      <c r="H4814">
        <v>128</v>
      </c>
      <c r="I4814">
        <v>0</v>
      </c>
      <c r="J4814">
        <v>2.4900000000000002</v>
      </c>
      <c r="K4814">
        <v>0</v>
      </c>
    </row>
    <row r="4815" spans="1:11" x14ac:dyDescent="0.2">
      <c r="A4815">
        <v>46810</v>
      </c>
      <c r="B4815">
        <v>296547</v>
      </c>
      <c r="C4815" t="s">
        <v>7720</v>
      </c>
      <c r="D4815">
        <v>10</v>
      </c>
      <c r="E4815">
        <v>4</v>
      </c>
      <c r="F4815">
        <v>-2</v>
      </c>
      <c r="G4815">
        <v>-8</v>
      </c>
      <c r="H4815">
        <v>143</v>
      </c>
      <c r="I4815">
        <v>0</v>
      </c>
      <c r="J4815">
        <v>19.989999999999998</v>
      </c>
      <c r="K4815">
        <v>-159.91999999999999</v>
      </c>
    </row>
    <row r="4816" spans="1:11" x14ac:dyDescent="0.2">
      <c r="A4816">
        <v>50803</v>
      </c>
      <c r="B4816">
        <v>296548</v>
      </c>
      <c r="C4816" t="s">
        <v>8282</v>
      </c>
      <c r="D4816">
        <v>6</v>
      </c>
      <c r="E4816">
        <v>10</v>
      </c>
      <c r="F4816">
        <v>2</v>
      </c>
      <c r="G4816">
        <v>20</v>
      </c>
      <c r="H4816">
        <v>194</v>
      </c>
      <c r="I4816">
        <v>0</v>
      </c>
      <c r="J4816">
        <v>9.99</v>
      </c>
      <c r="K4816">
        <v>199.8</v>
      </c>
    </row>
    <row r="4817" spans="1:11" x14ac:dyDescent="0.2">
      <c r="A4817">
        <v>40930</v>
      </c>
      <c r="B4817">
        <v>296550</v>
      </c>
      <c r="C4817" t="s">
        <v>8280</v>
      </c>
      <c r="D4817">
        <v>10</v>
      </c>
      <c r="E4817">
        <v>12</v>
      </c>
      <c r="F4817">
        <v>0</v>
      </c>
      <c r="G4817">
        <v>0</v>
      </c>
      <c r="H4817">
        <v>80</v>
      </c>
      <c r="I4817">
        <v>0</v>
      </c>
      <c r="J4817">
        <v>1</v>
      </c>
      <c r="K4817">
        <v>0</v>
      </c>
    </row>
    <row r="4818" spans="1:11" x14ac:dyDescent="0.2">
      <c r="A4818">
        <v>40931</v>
      </c>
      <c r="B4818">
        <v>296603</v>
      </c>
      <c r="C4818" t="s">
        <v>8283</v>
      </c>
      <c r="D4818">
        <v>10</v>
      </c>
      <c r="E4818">
        <v>20</v>
      </c>
      <c r="F4818">
        <v>0</v>
      </c>
      <c r="G4818">
        <v>0</v>
      </c>
      <c r="H4818">
        <v>119</v>
      </c>
      <c r="I4818">
        <v>0</v>
      </c>
      <c r="J4818">
        <v>1</v>
      </c>
      <c r="K4818">
        <v>0</v>
      </c>
    </row>
    <row r="4819" spans="1:11" x14ac:dyDescent="0.2">
      <c r="A4819">
        <v>29991</v>
      </c>
      <c r="B4819">
        <v>296606</v>
      </c>
      <c r="C4819" t="s">
        <v>8284</v>
      </c>
      <c r="D4819">
        <v>10</v>
      </c>
      <c r="E4819">
        <v>12</v>
      </c>
      <c r="F4819">
        <v>0</v>
      </c>
      <c r="G4819">
        <v>0</v>
      </c>
      <c r="H4819">
        <v>90</v>
      </c>
      <c r="I4819">
        <v>0</v>
      </c>
      <c r="J4819">
        <v>1</v>
      </c>
      <c r="K4819">
        <v>0</v>
      </c>
    </row>
    <row r="4820" spans="1:11" x14ac:dyDescent="0.2">
      <c r="A4820">
        <v>29992</v>
      </c>
      <c r="B4820">
        <v>296609</v>
      </c>
      <c r="C4820" t="s">
        <v>8285</v>
      </c>
      <c r="D4820">
        <v>10</v>
      </c>
      <c r="E4820">
        <v>12</v>
      </c>
      <c r="F4820">
        <v>0</v>
      </c>
      <c r="G4820">
        <v>0</v>
      </c>
      <c r="H4820">
        <v>110</v>
      </c>
      <c r="I4820">
        <v>0</v>
      </c>
      <c r="J4820">
        <v>1</v>
      </c>
      <c r="K4820">
        <v>0</v>
      </c>
    </row>
    <row r="4821" spans="1:11" x14ac:dyDescent="0.2">
      <c r="A4821">
        <v>29993</v>
      </c>
      <c r="B4821">
        <v>296612</v>
      </c>
      <c r="C4821" t="s">
        <v>8284</v>
      </c>
      <c r="D4821">
        <v>10</v>
      </c>
      <c r="E4821">
        <v>12</v>
      </c>
      <c r="F4821">
        <v>0</v>
      </c>
      <c r="G4821">
        <v>0</v>
      </c>
      <c r="H4821">
        <v>108</v>
      </c>
      <c r="I4821">
        <v>0</v>
      </c>
      <c r="J4821">
        <v>1</v>
      </c>
      <c r="K4821">
        <v>0</v>
      </c>
    </row>
    <row r="4822" spans="1:11" x14ac:dyDescent="0.2">
      <c r="A4822">
        <v>29994</v>
      </c>
      <c r="B4822">
        <v>296614</v>
      </c>
      <c r="C4822" t="s">
        <v>8285</v>
      </c>
      <c r="D4822">
        <v>10</v>
      </c>
      <c r="E4822">
        <v>12</v>
      </c>
      <c r="F4822">
        <v>0</v>
      </c>
      <c r="G4822">
        <v>0</v>
      </c>
      <c r="H4822">
        <v>105</v>
      </c>
      <c r="I4822">
        <v>0</v>
      </c>
      <c r="J4822">
        <v>1</v>
      </c>
      <c r="K4822">
        <v>0</v>
      </c>
    </row>
    <row r="4823" spans="1:11" x14ac:dyDescent="0.2">
      <c r="A4823">
        <v>50374</v>
      </c>
      <c r="B4823">
        <v>296640</v>
      </c>
      <c r="C4823" t="s">
        <v>8286</v>
      </c>
      <c r="D4823">
        <v>10</v>
      </c>
      <c r="E4823">
        <v>4</v>
      </c>
      <c r="F4823">
        <v>0</v>
      </c>
      <c r="G4823">
        <v>0</v>
      </c>
      <c r="H4823">
        <v>18</v>
      </c>
      <c r="I4823">
        <v>0</v>
      </c>
      <c r="J4823">
        <v>24.99</v>
      </c>
      <c r="K4823">
        <v>0</v>
      </c>
    </row>
    <row r="4824" spans="1:11" x14ac:dyDescent="0.2">
      <c r="A4824">
        <v>38403</v>
      </c>
      <c r="B4824">
        <v>296654</v>
      </c>
      <c r="C4824" t="s">
        <v>7820</v>
      </c>
      <c r="D4824">
        <v>10</v>
      </c>
      <c r="E4824">
        <v>18</v>
      </c>
      <c r="F4824">
        <v>-1</v>
      </c>
      <c r="G4824">
        <v>-18</v>
      </c>
      <c r="H4824">
        <v>70</v>
      </c>
      <c r="I4824">
        <v>0</v>
      </c>
      <c r="J4824">
        <v>1</v>
      </c>
      <c r="K4824">
        <v>-18</v>
      </c>
    </row>
    <row r="4825" spans="1:11" x14ac:dyDescent="0.2">
      <c r="A4825">
        <v>1369</v>
      </c>
      <c r="B4825">
        <v>296661</v>
      </c>
      <c r="C4825" t="s">
        <v>8287</v>
      </c>
      <c r="D4825">
        <v>6</v>
      </c>
      <c r="E4825">
        <v>8</v>
      </c>
      <c r="F4825">
        <v>2860</v>
      </c>
      <c r="G4825">
        <v>22880</v>
      </c>
      <c r="H4825">
        <v>100</v>
      </c>
      <c r="I4825">
        <v>28.6</v>
      </c>
      <c r="J4825">
        <v>12.99</v>
      </c>
      <c r="K4825">
        <v>297211.2</v>
      </c>
    </row>
    <row r="4826" spans="1:11" x14ac:dyDescent="0.2">
      <c r="A4826">
        <v>2205</v>
      </c>
      <c r="B4826">
        <v>296668</v>
      </c>
      <c r="C4826" t="s">
        <v>8288</v>
      </c>
      <c r="D4826">
        <v>6</v>
      </c>
      <c r="E4826">
        <v>12</v>
      </c>
      <c r="F4826">
        <v>550</v>
      </c>
      <c r="G4826">
        <v>6600</v>
      </c>
      <c r="H4826">
        <v>50</v>
      </c>
      <c r="I4826">
        <v>11</v>
      </c>
      <c r="J4826">
        <v>3.99</v>
      </c>
      <c r="K4826">
        <v>26334</v>
      </c>
    </row>
    <row r="4827" spans="1:11" x14ac:dyDescent="0.2">
      <c r="A4827">
        <v>38404</v>
      </c>
      <c r="B4827">
        <v>296671</v>
      </c>
      <c r="C4827" t="s">
        <v>7807</v>
      </c>
      <c r="D4827">
        <v>10</v>
      </c>
      <c r="E4827">
        <v>18</v>
      </c>
      <c r="F4827">
        <v>0</v>
      </c>
      <c r="G4827">
        <v>0</v>
      </c>
      <c r="H4827">
        <v>48</v>
      </c>
      <c r="I4827">
        <v>0</v>
      </c>
      <c r="J4827">
        <v>1</v>
      </c>
      <c r="K4827">
        <v>0</v>
      </c>
    </row>
    <row r="4828" spans="1:11" x14ac:dyDescent="0.2">
      <c r="A4828">
        <v>40932</v>
      </c>
      <c r="B4828">
        <v>296672</v>
      </c>
      <c r="C4828" t="s">
        <v>8289</v>
      </c>
      <c r="D4828">
        <v>10</v>
      </c>
      <c r="E4828">
        <v>16</v>
      </c>
      <c r="F4828">
        <v>0</v>
      </c>
      <c r="G4828">
        <v>0</v>
      </c>
      <c r="H4828">
        <v>48</v>
      </c>
      <c r="I4828">
        <v>0</v>
      </c>
      <c r="J4828">
        <v>1</v>
      </c>
      <c r="K4828">
        <v>0</v>
      </c>
    </row>
    <row r="4829" spans="1:11" x14ac:dyDescent="0.2">
      <c r="A4829">
        <v>32975</v>
      </c>
      <c r="B4829">
        <v>296674</v>
      </c>
      <c r="C4829" t="s">
        <v>8290</v>
      </c>
      <c r="D4829">
        <v>10</v>
      </c>
      <c r="E4829">
        <v>14</v>
      </c>
      <c r="F4829">
        <v>0</v>
      </c>
      <c r="G4829">
        <v>0</v>
      </c>
      <c r="H4829">
        <v>60</v>
      </c>
      <c r="I4829">
        <v>0</v>
      </c>
      <c r="J4829">
        <v>1</v>
      </c>
      <c r="K4829">
        <v>0</v>
      </c>
    </row>
    <row r="4830" spans="1:11" x14ac:dyDescent="0.2">
      <c r="A4830">
        <v>25991</v>
      </c>
      <c r="B4830">
        <v>296676</v>
      </c>
      <c r="C4830" t="s">
        <v>8291</v>
      </c>
      <c r="D4830">
        <v>10</v>
      </c>
      <c r="E4830">
        <v>16</v>
      </c>
      <c r="F4830">
        <v>0</v>
      </c>
      <c r="G4830">
        <v>0</v>
      </c>
      <c r="H4830">
        <v>96</v>
      </c>
      <c r="I4830">
        <v>0</v>
      </c>
      <c r="J4830">
        <v>1</v>
      </c>
      <c r="K4830">
        <v>0</v>
      </c>
    </row>
    <row r="4831" spans="1:11" x14ac:dyDescent="0.2">
      <c r="A4831">
        <v>38405</v>
      </c>
      <c r="B4831">
        <v>296677</v>
      </c>
      <c r="C4831" t="s">
        <v>7819</v>
      </c>
      <c r="D4831">
        <v>10</v>
      </c>
      <c r="E4831">
        <v>12</v>
      </c>
      <c r="F4831">
        <v>0</v>
      </c>
      <c r="G4831">
        <v>0</v>
      </c>
      <c r="H4831">
        <v>77</v>
      </c>
      <c r="I4831">
        <v>0</v>
      </c>
      <c r="J4831">
        <v>1</v>
      </c>
      <c r="K4831">
        <v>0</v>
      </c>
    </row>
    <row r="4832" spans="1:11" x14ac:dyDescent="0.2">
      <c r="A4832">
        <v>32976</v>
      </c>
      <c r="B4832">
        <v>296678</v>
      </c>
      <c r="C4832" t="s">
        <v>8242</v>
      </c>
      <c r="D4832">
        <v>10</v>
      </c>
      <c r="E4832">
        <v>16</v>
      </c>
      <c r="F4832">
        <v>0</v>
      </c>
      <c r="G4832">
        <v>0</v>
      </c>
      <c r="H4832">
        <v>40</v>
      </c>
      <c r="I4832">
        <v>0</v>
      </c>
      <c r="J4832">
        <v>5.99</v>
      </c>
      <c r="K4832">
        <v>0</v>
      </c>
    </row>
    <row r="4833" spans="1:11" x14ac:dyDescent="0.2">
      <c r="A4833">
        <v>32977</v>
      </c>
      <c r="B4833">
        <v>296679</v>
      </c>
      <c r="C4833" t="s">
        <v>8156</v>
      </c>
      <c r="D4833">
        <v>10</v>
      </c>
      <c r="E4833">
        <v>16</v>
      </c>
      <c r="F4833">
        <v>0</v>
      </c>
      <c r="G4833">
        <v>0</v>
      </c>
      <c r="H4833">
        <v>54</v>
      </c>
      <c r="I4833">
        <v>0</v>
      </c>
      <c r="J4833">
        <v>1.99</v>
      </c>
      <c r="K4833">
        <v>0</v>
      </c>
    </row>
    <row r="4834" spans="1:11" x14ac:dyDescent="0.2">
      <c r="A4834">
        <v>32978</v>
      </c>
      <c r="B4834">
        <v>296682</v>
      </c>
      <c r="C4834" t="s">
        <v>8264</v>
      </c>
      <c r="D4834">
        <v>10</v>
      </c>
      <c r="E4834">
        <v>14</v>
      </c>
      <c r="F4834">
        <v>0</v>
      </c>
      <c r="G4834">
        <v>0</v>
      </c>
      <c r="H4834">
        <v>84</v>
      </c>
      <c r="I4834">
        <v>0</v>
      </c>
      <c r="J4834">
        <v>3.99</v>
      </c>
      <c r="K4834">
        <v>0</v>
      </c>
    </row>
    <row r="4835" spans="1:11" x14ac:dyDescent="0.2">
      <c r="A4835">
        <v>29855</v>
      </c>
      <c r="B4835">
        <v>296683</v>
      </c>
      <c r="C4835" t="s">
        <v>8292</v>
      </c>
      <c r="D4835">
        <v>10</v>
      </c>
      <c r="E4835">
        <v>2</v>
      </c>
      <c r="F4835">
        <v>0</v>
      </c>
      <c r="G4835">
        <v>0</v>
      </c>
      <c r="H4835">
        <v>25</v>
      </c>
      <c r="I4835">
        <v>0</v>
      </c>
      <c r="J4835">
        <v>29.99</v>
      </c>
      <c r="K4835">
        <v>0</v>
      </c>
    </row>
    <row r="4836" spans="1:11" x14ac:dyDescent="0.2">
      <c r="A4836">
        <v>32979</v>
      </c>
      <c r="B4836">
        <v>296684</v>
      </c>
      <c r="C4836" t="s">
        <v>7829</v>
      </c>
      <c r="D4836">
        <v>10</v>
      </c>
      <c r="E4836">
        <v>14</v>
      </c>
      <c r="F4836">
        <v>0</v>
      </c>
      <c r="G4836">
        <v>0</v>
      </c>
      <c r="H4836">
        <v>130</v>
      </c>
      <c r="I4836">
        <v>0</v>
      </c>
      <c r="J4836">
        <v>3.49</v>
      </c>
      <c r="K4836">
        <v>0</v>
      </c>
    </row>
    <row r="4837" spans="1:11" x14ac:dyDescent="0.2">
      <c r="A4837">
        <v>32980</v>
      </c>
      <c r="B4837">
        <v>296686</v>
      </c>
      <c r="C4837" t="s">
        <v>8293</v>
      </c>
      <c r="D4837">
        <v>10</v>
      </c>
      <c r="E4837">
        <v>16</v>
      </c>
      <c r="F4837">
        <v>0</v>
      </c>
      <c r="G4837">
        <v>0</v>
      </c>
      <c r="H4837">
        <v>81</v>
      </c>
      <c r="I4837">
        <v>0</v>
      </c>
      <c r="J4837">
        <v>5.99</v>
      </c>
      <c r="K4837">
        <v>0</v>
      </c>
    </row>
    <row r="4838" spans="1:11" x14ac:dyDescent="0.2">
      <c r="A4838">
        <v>32981</v>
      </c>
      <c r="B4838">
        <v>296687</v>
      </c>
      <c r="C4838" t="s">
        <v>6479</v>
      </c>
      <c r="D4838">
        <v>10</v>
      </c>
      <c r="E4838">
        <v>14</v>
      </c>
      <c r="F4838">
        <v>0</v>
      </c>
      <c r="G4838">
        <v>0</v>
      </c>
      <c r="H4838">
        <v>45</v>
      </c>
      <c r="I4838">
        <v>0</v>
      </c>
      <c r="J4838">
        <v>4.99</v>
      </c>
      <c r="K4838">
        <v>0</v>
      </c>
    </row>
    <row r="4839" spans="1:11" x14ac:dyDescent="0.2">
      <c r="B4839">
        <v>296694</v>
      </c>
      <c r="C4839" t="s">
        <v>8294</v>
      </c>
      <c r="D4839">
        <v>10</v>
      </c>
      <c r="E4839">
        <v>3</v>
      </c>
      <c r="F4839">
        <v>0</v>
      </c>
      <c r="G4839">
        <v>0</v>
      </c>
      <c r="H4839">
        <v>30</v>
      </c>
      <c r="I4839">
        <v>0</v>
      </c>
      <c r="J4839">
        <v>26.99</v>
      </c>
      <c r="K4839">
        <v>0</v>
      </c>
    </row>
    <row r="4840" spans="1:11" x14ac:dyDescent="0.2">
      <c r="A4840">
        <v>25992</v>
      </c>
      <c r="B4840">
        <v>296697</v>
      </c>
      <c r="C4840" t="s">
        <v>8295</v>
      </c>
      <c r="D4840">
        <v>10</v>
      </c>
      <c r="E4840">
        <v>14</v>
      </c>
      <c r="F4840">
        <v>0</v>
      </c>
      <c r="G4840">
        <v>0</v>
      </c>
      <c r="H4840">
        <v>136</v>
      </c>
      <c r="I4840">
        <v>0</v>
      </c>
      <c r="J4840">
        <v>1</v>
      </c>
      <c r="K4840">
        <v>0</v>
      </c>
    </row>
    <row r="4841" spans="1:11" x14ac:dyDescent="0.2">
      <c r="A4841">
        <v>38400</v>
      </c>
      <c r="B4841">
        <v>296707</v>
      </c>
      <c r="C4841" t="s">
        <v>7706</v>
      </c>
      <c r="D4841">
        <v>10</v>
      </c>
      <c r="E4841">
        <v>18</v>
      </c>
      <c r="F4841">
        <v>0</v>
      </c>
      <c r="G4841">
        <v>0</v>
      </c>
      <c r="H4841">
        <v>100</v>
      </c>
      <c r="I4841">
        <v>0</v>
      </c>
      <c r="J4841">
        <v>1</v>
      </c>
      <c r="K4841">
        <v>0</v>
      </c>
    </row>
    <row r="4842" spans="1:11" x14ac:dyDescent="0.2">
      <c r="A4842">
        <v>41818</v>
      </c>
      <c r="B4842">
        <v>296718</v>
      </c>
      <c r="C4842" t="s">
        <v>8296</v>
      </c>
      <c r="D4842">
        <v>10</v>
      </c>
      <c r="E4842">
        <v>16</v>
      </c>
      <c r="F4842">
        <v>0</v>
      </c>
      <c r="G4842">
        <v>0</v>
      </c>
      <c r="H4842">
        <v>48</v>
      </c>
      <c r="I4842">
        <v>0</v>
      </c>
      <c r="J4842">
        <v>11.99</v>
      </c>
      <c r="K4842">
        <v>0</v>
      </c>
    </row>
    <row r="4843" spans="1:11" x14ac:dyDescent="0.2">
      <c r="A4843">
        <v>40933</v>
      </c>
      <c r="B4843">
        <v>296719</v>
      </c>
      <c r="C4843" t="s">
        <v>8293</v>
      </c>
      <c r="D4843">
        <v>6</v>
      </c>
      <c r="E4843">
        <v>12</v>
      </c>
      <c r="F4843">
        <v>0</v>
      </c>
      <c r="G4843">
        <v>0</v>
      </c>
      <c r="H4843">
        <v>88</v>
      </c>
      <c r="I4843">
        <v>0</v>
      </c>
      <c r="J4843">
        <v>1</v>
      </c>
      <c r="K4843">
        <v>0</v>
      </c>
    </row>
    <row r="4844" spans="1:11" x14ac:dyDescent="0.2">
      <c r="A4844">
        <v>32982</v>
      </c>
      <c r="B4844">
        <v>296724</v>
      </c>
      <c r="C4844" t="s">
        <v>8297</v>
      </c>
      <c r="D4844">
        <v>10</v>
      </c>
      <c r="E4844">
        <v>16</v>
      </c>
      <c r="F4844">
        <v>0</v>
      </c>
      <c r="G4844">
        <v>0</v>
      </c>
      <c r="H4844">
        <v>104</v>
      </c>
      <c r="I4844">
        <v>0</v>
      </c>
      <c r="J4844">
        <v>1</v>
      </c>
      <c r="K4844">
        <v>0</v>
      </c>
    </row>
    <row r="4845" spans="1:11" x14ac:dyDescent="0.2">
      <c r="A4845">
        <v>40934</v>
      </c>
      <c r="B4845">
        <v>296725</v>
      </c>
      <c r="C4845" t="s">
        <v>8242</v>
      </c>
      <c r="D4845">
        <v>6</v>
      </c>
      <c r="E4845">
        <v>18</v>
      </c>
      <c r="F4845">
        <v>0</v>
      </c>
      <c r="G4845">
        <v>0</v>
      </c>
      <c r="H4845">
        <v>25</v>
      </c>
      <c r="I4845">
        <v>0</v>
      </c>
      <c r="J4845">
        <v>1</v>
      </c>
      <c r="K4845">
        <v>0</v>
      </c>
    </row>
    <row r="4846" spans="1:11" x14ac:dyDescent="0.2">
      <c r="A4846">
        <v>32983</v>
      </c>
      <c r="B4846">
        <v>296726</v>
      </c>
      <c r="C4846" t="s">
        <v>8086</v>
      </c>
      <c r="D4846">
        <v>10</v>
      </c>
      <c r="E4846">
        <v>14</v>
      </c>
      <c r="F4846">
        <v>0</v>
      </c>
      <c r="G4846">
        <v>0</v>
      </c>
      <c r="H4846">
        <v>117</v>
      </c>
      <c r="I4846">
        <v>0</v>
      </c>
      <c r="J4846">
        <v>1</v>
      </c>
      <c r="K4846">
        <v>0</v>
      </c>
    </row>
    <row r="4847" spans="1:11" x14ac:dyDescent="0.2">
      <c r="A4847">
        <v>38406</v>
      </c>
      <c r="B4847">
        <v>296728</v>
      </c>
      <c r="C4847" t="s">
        <v>8298</v>
      </c>
      <c r="D4847">
        <v>10</v>
      </c>
      <c r="E4847">
        <v>16</v>
      </c>
      <c r="F4847">
        <v>0</v>
      </c>
      <c r="G4847">
        <v>0</v>
      </c>
      <c r="H4847">
        <v>30</v>
      </c>
      <c r="I4847">
        <v>0</v>
      </c>
      <c r="J4847">
        <v>1</v>
      </c>
      <c r="K4847">
        <v>0</v>
      </c>
    </row>
    <row r="4848" spans="1:11" x14ac:dyDescent="0.2">
      <c r="A4848">
        <v>40935</v>
      </c>
      <c r="B4848">
        <v>296735</v>
      </c>
      <c r="C4848" t="s">
        <v>8156</v>
      </c>
      <c r="D4848">
        <v>10</v>
      </c>
      <c r="E4848">
        <v>14</v>
      </c>
      <c r="F4848">
        <v>0</v>
      </c>
      <c r="G4848">
        <v>0</v>
      </c>
      <c r="H4848">
        <v>80</v>
      </c>
      <c r="I4848">
        <v>0</v>
      </c>
      <c r="J4848">
        <v>1</v>
      </c>
      <c r="K4848">
        <v>0</v>
      </c>
    </row>
    <row r="4849" spans="1:11" x14ac:dyDescent="0.2">
      <c r="A4849">
        <v>40936</v>
      </c>
      <c r="B4849">
        <v>296738</v>
      </c>
      <c r="C4849" t="s">
        <v>7574</v>
      </c>
      <c r="D4849">
        <v>10</v>
      </c>
      <c r="E4849">
        <v>16</v>
      </c>
      <c r="F4849">
        <v>0</v>
      </c>
      <c r="G4849">
        <v>0</v>
      </c>
      <c r="H4849">
        <v>80</v>
      </c>
      <c r="I4849">
        <v>0</v>
      </c>
      <c r="J4849">
        <v>1</v>
      </c>
      <c r="K4849">
        <v>0</v>
      </c>
    </row>
    <row r="4850" spans="1:11" x14ac:dyDescent="0.2">
      <c r="A4850">
        <v>35931</v>
      </c>
      <c r="B4850">
        <v>296741</v>
      </c>
      <c r="C4850" t="s">
        <v>8299</v>
      </c>
      <c r="D4850">
        <v>10</v>
      </c>
      <c r="E4850">
        <v>12</v>
      </c>
      <c r="F4850">
        <v>0</v>
      </c>
      <c r="G4850">
        <v>0</v>
      </c>
      <c r="H4850">
        <v>203</v>
      </c>
      <c r="I4850">
        <v>0</v>
      </c>
      <c r="J4850">
        <v>5.99</v>
      </c>
      <c r="K4850">
        <v>0</v>
      </c>
    </row>
    <row r="4851" spans="1:11" x14ac:dyDescent="0.2">
      <c r="A4851">
        <v>32984</v>
      </c>
      <c r="B4851">
        <v>296742</v>
      </c>
      <c r="C4851" t="s">
        <v>8291</v>
      </c>
      <c r="D4851">
        <v>10</v>
      </c>
      <c r="E4851">
        <v>16</v>
      </c>
      <c r="F4851">
        <v>0</v>
      </c>
      <c r="G4851">
        <v>0</v>
      </c>
      <c r="H4851">
        <v>84</v>
      </c>
      <c r="I4851">
        <v>0</v>
      </c>
      <c r="J4851">
        <v>1</v>
      </c>
      <c r="K4851">
        <v>0</v>
      </c>
    </row>
    <row r="4852" spans="1:11" x14ac:dyDescent="0.2">
      <c r="A4852">
        <v>28831</v>
      </c>
      <c r="B4852">
        <v>296769</v>
      </c>
      <c r="C4852" t="s">
        <v>8300</v>
      </c>
      <c r="D4852">
        <v>10</v>
      </c>
      <c r="E4852">
        <v>4</v>
      </c>
      <c r="F4852">
        <v>0</v>
      </c>
      <c r="G4852">
        <v>0</v>
      </c>
      <c r="H4852">
        <v>30</v>
      </c>
      <c r="I4852">
        <v>0</v>
      </c>
      <c r="J4852">
        <v>11.99</v>
      </c>
      <c r="K4852">
        <v>0</v>
      </c>
    </row>
    <row r="4853" spans="1:11" x14ac:dyDescent="0.2">
      <c r="A4853">
        <v>28832</v>
      </c>
      <c r="B4853">
        <v>296770</v>
      </c>
      <c r="C4853" t="s">
        <v>8301</v>
      </c>
      <c r="D4853">
        <v>10</v>
      </c>
      <c r="E4853">
        <v>6</v>
      </c>
      <c r="F4853">
        <v>0</v>
      </c>
      <c r="G4853">
        <v>0</v>
      </c>
      <c r="H4853">
        <v>64</v>
      </c>
      <c r="I4853">
        <v>0</v>
      </c>
      <c r="J4853">
        <v>11.99</v>
      </c>
      <c r="K4853">
        <v>0</v>
      </c>
    </row>
    <row r="4854" spans="1:11" x14ac:dyDescent="0.2">
      <c r="A4854">
        <v>28833</v>
      </c>
      <c r="B4854">
        <v>296771</v>
      </c>
      <c r="C4854" t="s">
        <v>8302</v>
      </c>
      <c r="D4854">
        <v>10</v>
      </c>
      <c r="E4854">
        <v>6</v>
      </c>
      <c r="F4854">
        <v>0</v>
      </c>
      <c r="G4854">
        <v>0</v>
      </c>
      <c r="H4854">
        <v>36</v>
      </c>
      <c r="I4854">
        <v>0</v>
      </c>
      <c r="J4854">
        <v>11.99</v>
      </c>
      <c r="K4854">
        <v>0</v>
      </c>
    </row>
    <row r="4855" spans="1:11" x14ac:dyDescent="0.2">
      <c r="A4855">
        <v>38407</v>
      </c>
      <c r="B4855">
        <v>296787</v>
      </c>
      <c r="C4855" t="s">
        <v>8303</v>
      </c>
      <c r="D4855">
        <v>10</v>
      </c>
      <c r="E4855">
        <v>20</v>
      </c>
      <c r="F4855">
        <v>0</v>
      </c>
      <c r="G4855">
        <v>0</v>
      </c>
      <c r="H4855">
        <v>98</v>
      </c>
      <c r="I4855">
        <v>0</v>
      </c>
      <c r="J4855">
        <v>1</v>
      </c>
      <c r="K4855">
        <v>0</v>
      </c>
    </row>
    <row r="4856" spans="1:11" x14ac:dyDescent="0.2">
      <c r="A4856">
        <v>50375</v>
      </c>
      <c r="B4856">
        <v>296789</v>
      </c>
      <c r="C4856" t="s">
        <v>8304</v>
      </c>
      <c r="D4856">
        <v>10</v>
      </c>
      <c r="E4856">
        <v>2</v>
      </c>
      <c r="F4856">
        <v>0</v>
      </c>
      <c r="G4856">
        <v>0</v>
      </c>
      <c r="H4856">
        <v>25</v>
      </c>
      <c r="I4856">
        <v>0</v>
      </c>
      <c r="J4856">
        <v>49.99</v>
      </c>
      <c r="K4856">
        <v>0</v>
      </c>
    </row>
    <row r="4857" spans="1:11" x14ac:dyDescent="0.2">
      <c r="A4857">
        <v>28835</v>
      </c>
      <c r="B4857">
        <v>296812</v>
      </c>
      <c r="C4857" t="s">
        <v>8305</v>
      </c>
      <c r="D4857">
        <v>10</v>
      </c>
      <c r="E4857">
        <v>10</v>
      </c>
      <c r="F4857">
        <v>0</v>
      </c>
      <c r="G4857">
        <v>0</v>
      </c>
      <c r="H4857">
        <v>120</v>
      </c>
      <c r="I4857">
        <v>0</v>
      </c>
      <c r="J4857">
        <v>8.99</v>
      </c>
      <c r="K4857">
        <v>0</v>
      </c>
    </row>
    <row r="4858" spans="1:11" x14ac:dyDescent="0.2">
      <c r="A4858">
        <v>29995</v>
      </c>
      <c r="B4858">
        <v>296813</v>
      </c>
      <c r="C4858" t="s">
        <v>8306</v>
      </c>
      <c r="D4858">
        <v>10</v>
      </c>
      <c r="E4858">
        <v>16</v>
      </c>
      <c r="F4858">
        <v>0</v>
      </c>
      <c r="G4858">
        <v>0</v>
      </c>
      <c r="H4858">
        <v>30</v>
      </c>
      <c r="I4858">
        <v>0</v>
      </c>
      <c r="J4858">
        <v>1</v>
      </c>
      <c r="K4858">
        <v>0</v>
      </c>
    </row>
    <row r="4859" spans="1:11" x14ac:dyDescent="0.2">
      <c r="A4859">
        <v>29996</v>
      </c>
      <c r="B4859">
        <v>296821</v>
      </c>
      <c r="C4859" t="s">
        <v>8307</v>
      </c>
      <c r="D4859">
        <v>10</v>
      </c>
      <c r="E4859">
        <v>14</v>
      </c>
      <c r="F4859">
        <v>0</v>
      </c>
      <c r="G4859">
        <v>0</v>
      </c>
      <c r="H4859">
        <v>126</v>
      </c>
      <c r="I4859">
        <v>0</v>
      </c>
      <c r="J4859">
        <v>1</v>
      </c>
      <c r="K4859">
        <v>0</v>
      </c>
    </row>
    <row r="4860" spans="1:11" x14ac:dyDescent="0.2">
      <c r="A4860">
        <v>29937</v>
      </c>
      <c r="B4860">
        <v>296830</v>
      </c>
      <c r="C4860" t="s">
        <v>8308</v>
      </c>
      <c r="D4860">
        <v>10</v>
      </c>
      <c r="E4860">
        <v>30</v>
      </c>
      <c r="F4860">
        <v>0</v>
      </c>
      <c r="G4860">
        <v>0</v>
      </c>
      <c r="H4860">
        <v>120</v>
      </c>
      <c r="I4860">
        <v>0</v>
      </c>
      <c r="J4860">
        <v>1</v>
      </c>
      <c r="K4860">
        <v>0</v>
      </c>
    </row>
    <row r="4861" spans="1:11" x14ac:dyDescent="0.2">
      <c r="A4861">
        <v>47809</v>
      </c>
      <c r="B4861">
        <v>296835</v>
      </c>
      <c r="C4861" t="s">
        <v>8309</v>
      </c>
      <c r="D4861">
        <v>10</v>
      </c>
      <c r="E4861">
        <v>6</v>
      </c>
      <c r="F4861">
        <v>0</v>
      </c>
      <c r="G4861">
        <v>0</v>
      </c>
      <c r="H4861">
        <v>44</v>
      </c>
      <c r="I4861">
        <v>0</v>
      </c>
      <c r="J4861">
        <v>15.99</v>
      </c>
      <c r="K4861">
        <v>0</v>
      </c>
    </row>
    <row r="4862" spans="1:11" x14ac:dyDescent="0.2">
      <c r="A4862">
        <v>28837</v>
      </c>
      <c r="B4862">
        <v>296837</v>
      </c>
      <c r="C4862" t="s">
        <v>8310</v>
      </c>
      <c r="D4862">
        <v>10</v>
      </c>
      <c r="E4862">
        <v>6</v>
      </c>
      <c r="F4862">
        <v>0</v>
      </c>
      <c r="G4862">
        <v>0</v>
      </c>
      <c r="H4862">
        <v>56</v>
      </c>
      <c r="I4862">
        <v>0</v>
      </c>
      <c r="J4862">
        <v>14.99</v>
      </c>
      <c r="K4862">
        <v>0</v>
      </c>
    </row>
    <row r="4863" spans="1:11" x14ac:dyDescent="0.2">
      <c r="A4863">
        <v>46030</v>
      </c>
      <c r="B4863">
        <v>296838</v>
      </c>
      <c r="C4863" t="s">
        <v>8311</v>
      </c>
      <c r="D4863">
        <v>10</v>
      </c>
      <c r="E4863">
        <v>18</v>
      </c>
      <c r="F4863">
        <v>2</v>
      </c>
      <c r="G4863">
        <v>36</v>
      </c>
      <c r="H4863">
        <v>48</v>
      </c>
      <c r="I4863">
        <v>0</v>
      </c>
      <c r="J4863">
        <v>1</v>
      </c>
      <c r="K4863">
        <v>36</v>
      </c>
    </row>
    <row r="4864" spans="1:11" x14ac:dyDescent="0.2">
      <c r="A4864">
        <v>46031</v>
      </c>
      <c r="B4864">
        <v>296843</v>
      </c>
      <c r="C4864" t="s">
        <v>8312</v>
      </c>
      <c r="D4864">
        <v>10</v>
      </c>
      <c r="E4864">
        <v>12</v>
      </c>
      <c r="F4864">
        <v>0</v>
      </c>
      <c r="G4864">
        <v>0</v>
      </c>
      <c r="H4864">
        <v>105</v>
      </c>
      <c r="I4864">
        <v>0</v>
      </c>
      <c r="J4864">
        <v>1</v>
      </c>
      <c r="K4864">
        <v>0</v>
      </c>
    </row>
    <row r="4865" spans="1:11" x14ac:dyDescent="0.2">
      <c r="A4865">
        <v>29856</v>
      </c>
      <c r="B4865">
        <v>296846</v>
      </c>
      <c r="C4865" t="s">
        <v>8313</v>
      </c>
      <c r="D4865">
        <v>10</v>
      </c>
      <c r="E4865">
        <v>2</v>
      </c>
      <c r="F4865">
        <v>0</v>
      </c>
      <c r="G4865">
        <v>0</v>
      </c>
      <c r="H4865">
        <v>9</v>
      </c>
      <c r="I4865">
        <v>0</v>
      </c>
      <c r="J4865">
        <v>34.99</v>
      </c>
      <c r="K4865">
        <v>0</v>
      </c>
    </row>
    <row r="4866" spans="1:11" x14ac:dyDescent="0.2">
      <c r="A4866">
        <v>29857</v>
      </c>
      <c r="B4866">
        <v>296848</v>
      </c>
      <c r="C4866" t="s">
        <v>8314</v>
      </c>
      <c r="D4866">
        <v>10</v>
      </c>
      <c r="E4866">
        <v>1</v>
      </c>
      <c r="F4866">
        <v>0</v>
      </c>
      <c r="G4866">
        <v>0</v>
      </c>
      <c r="H4866">
        <v>10</v>
      </c>
      <c r="I4866">
        <v>0</v>
      </c>
      <c r="J4866">
        <v>94.99</v>
      </c>
      <c r="K4866">
        <v>0</v>
      </c>
    </row>
    <row r="4867" spans="1:11" x14ac:dyDescent="0.2">
      <c r="A4867">
        <v>35932</v>
      </c>
      <c r="B4867">
        <v>296877</v>
      </c>
      <c r="C4867" t="s">
        <v>8315</v>
      </c>
      <c r="D4867">
        <v>10</v>
      </c>
      <c r="E4867">
        <v>6</v>
      </c>
      <c r="F4867">
        <v>0</v>
      </c>
      <c r="G4867">
        <v>0</v>
      </c>
      <c r="H4867">
        <v>18</v>
      </c>
      <c r="I4867">
        <v>0</v>
      </c>
      <c r="J4867">
        <v>11.99</v>
      </c>
      <c r="K4867">
        <v>0</v>
      </c>
    </row>
    <row r="4868" spans="1:11" x14ac:dyDescent="0.2">
      <c r="A4868">
        <v>30827</v>
      </c>
      <c r="B4868">
        <v>296880</v>
      </c>
      <c r="C4868" t="s">
        <v>8316</v>
      </c>
      <c r="D4868">
        <v>10</v>
      </c>
      <c r="E4868">
        <v>1</v>
      </c>
      <c r="F4868">
        <v>0</v>
      </c>
      <c r="G4868">
        <v>0</v>
      </c>
      <c r="H4868">
        <v>30</v>
      </c>
      <c r="I4868">
        <v>0</v>
      </c>
      <c r="J4868">
        <v>34.99</v>
      </c>
      <c r="K4868">
        <v>0</v>
      </c>
    </row>
    <row r="4869" spans="1:11" x14ac:dyDescent="0.2">
      <c r="A4869">
        <v>44401</v>
      </c>
      <c r="B4869">
        <v>296914</v>
      </c>
      <c r="C4869" t="s">
        <v>8317</v>
      </c>
      <c r="D4869">
        <v>10</v>
      </c>
      <c r="E4869">
        <v>18</v>
      </c>
      <c r="F4869">
        <v>2</v>
      </c>
      <c r="G4869">
        <v>36</v>
      </c>
      <c r="H4869">
        <v>24</v>
      </c>
      <c r="I4869">
        <v>0.1</v>
      </c>
      <c r="J4869">
        <v>3.99</v>
      </c>
      <c r="K4869">
        <v>143.63999999999999</v>
      </c>
    </row>
    <row r="4870" spans="1:11" x14ac:dyDescent="0.2">
      <c r="A4870">
        <v>25993</v>
      </c>
      <c r="B4870">
        <v>296920</v>
      </c>
      <c r="C4870" t="s">
        <v>8126</v>
      </c>
      <c r="D4870">
        <v>10</v>
      </c>
      <c r="E4870">
        <v>12</v>
      </c>
      <c r="F4870">
        <v>0</v>
      </c>
      <c r="G4870">
        <v>0</v>
      </c>
      <c r="H4870">
        <v>15</v>
      </c>
      <c r="I4870">
        <v>0</v>
      </c>
      <c r="J4870">
        <v>1</v>
      </c>
      <c r="K4870">
        <v>0</v>
      </c>
    </row>
    <row r="4871" spans="1:11" x14ac:dyDescent="0.2">
      <c r="A4871">
        <v>27818</v>
      </c>
      <c r="B4871">
        <v>296922</v>
      </c>
      <c r="C4871" t="s">
        <v>8318</v>
      </c>
      <c r="D4871">
        <v>11</v>
      </c>
      <c r="E4871">
        <v>4</v>
      </c>
      <c r="F4871">
        <v>0</v>
      </c>
      <c r="G4871">
        <v>0</v>
      </c>
      <c r="H4871">
        <v>30</v>
      </c>
      <c r="I4871">
        <v>0</v>
      </c>
      <c r="J4871">
        <v>6.99</v>
      </c>
      <c r="K4871">
        <v>0</v>
      </c>
    </row>
    <row r="4872" spans="1:11" x14ac:dyDescent="0.2">
      <c r="A4872">
        <v>27819</v>
      </c>
      <c r="B4872">
        <v>296925</v>
      </c>
      <c r="C4872" t="s">
        <v>8319</v>
      </c>
      <c r="D4872">
        <v>11</v>
      </c>
      <c r="E4872">
        <v>6</v>
      </c>
      <c r="F4872">
        <v>0</v>
      </c>
      <c r="G4872">
        <v>0</v>
      </c>
      <c r="H4872">
        <v>56</v>
      </c>
      <c r="I4872">
        <v>0</v>
      </c>
      <c r="J4872">
        <v>12.99</v>
      </c>
      <c r="K4872">
        <v>0</v>
      </c>
    </row>
    <row r="4873" spans="1:11" x14ac:dyDescent="0.2">
      <c r="A4873">
        <v>44402</v>
      </c>
      <c r="B4873">
        <v>296928</v>
      </c>
      <c r="C4873" t="s">
        <v>8320</v>
      </c>
      <c r="D4873">
        <v>10</v>
      </c>
      <c r="E4873">
        <v>16</v>
      </c>
      <c r="F4873">
        <v>0</v>
      </c>
      <c r="G4873">
        <v>0</v>
      </c>
      <c r="H4873">
        <v>60</v>
      </c>
      <c r="I4873">
        <v>0</v>
      </c>
      <c r="J4873">
        <v>1.99</v>
      </c>
      <c r="K4873">
        <v>0</v>
      </c>
    </row>
    <row r="4874" spans="1:11" x14ac:dyDescent="0.2">
      <c r="A4874">
        <v>44410</v>
      </c>
      <c r="B4874">
        <v>296932</v>
      </c>
      <c r="C4874" t="s">
        <v>8321</v>
      </c>
      <c r="D4874">
        <v>10</v>
      </c>
      <c r="E4874">
        <v>16</v>
      </c>
      <c r="F4874">
        <v>0</v>
      </c>
      <c r="G4874">
        <v>0</v>
      </c>
      <c r="H4874">
        <v>54</v>
      </c>
      <c r="I4874">
        <v>0</v>
      </c>
      <c r="J4874">
        <v>2.99</v>
      </c>
      <c r="K4874">
        <v>0</v>
      </c>
    </row>
    <row r="4875" spans="1:11" x14ac:dyDescent="0.2">
      <c r="A4875">
        <v>48812</v>
      </c>
      <c r="B4875">
        <v>296933</v>
      </c>
      <c r="C4875" t="s">
        <v>8322</v>
      </c>
      <c r="D4875">
        <v>10</v>
      </c>
      <c r="E4875">
        <v>16</v>
      </c>
      <c r="F4875">
        <v>0</v>
      </c>
      <c r="G4875">
        <v>0</v>
      </c>
      <c r="H4875">
        <v>72</v>
      </c>
      <c r="I4875">
        <v>0</v>
      </c>
      <c r="J4875">
        <v>4.99</v>
      </c>
      <c r="K4875">
        <v>0</v>
      </c>
    </row>
    <row r="4876" spans="1:11" x14ac:dyDescent="0.2">
      <c r="A4876">
        <v>35933</v>
      </c>
      <c r="B4876">
        <v>296936</v>
      </c>
      <c r="C4876" t="s">
        <v>8323</v>
      </c>
      <c r="D4876">
        <v>10</v>
      </c>
      <c r="E4876">
        <v>2</v>
      </c>
      <c r="F4876">
        <v>0</v>
      </c>
      <c r="G4876">
        <v>0</v>
      </c>
      <c r="H4876">
        <v>40</v>
      </c>
      <c r="I4876">
        <v>0</v>
      </c>
      <c r="J4876">
        <v>44.99</v>
      </c>
      <c r="K4876">
        <v>0</v>
      </c>
    </row>
    <row r="4877" spans="1:11" x14ac:dyDescent="0.2">
      <c r="A4877">
        <v>48813</v>
      </c>
      <c r="B4877">
        <v>296940</v>
      </c>
      <c r="C4877" t="s">
        <v>8324</v>
      </c>
      <c r="D4877">
        <v>10</v>
      </c>
      <c r="E4877">
        <v>10</v>
      </c>
      <c r="F4877">
        <v>0</v>
      </c>
      <c r="G4877">
        <v>0</v>
      </c>
      <c r="H4877">
        <v>100</v>
      </c>
      <c r="I4877">
        <v>0</v>
      </c>
      <c r="J4877">
        <v>5.99</v>
      </c>
      <c r="K4877">
        <v>0</v>
      </c>
    </row>
    <row r="4878" spans="1:11" x14ac:dyDescent="0.2">
      <c r="A4878">
        <v>43403</v>
      </c>
      <c r="B4878">
        <v>296942</v>
      </c>
      <c r="C4878" t="s">
        <v>8325</v>
      </c>
      <c r="D4878">
        <v>10</v>
      </c>
      <c r="E4878">
        <v>20</v>
      </c>
      <c r="F4878">
        <v>1</v>
      </c>
      <c r="G4878">
        <v>16</v>
      </c>
      <c r="H4878">
        <v>60</v>
      </c>
      <c r="I4878">
        <v>0</v>
      </c>
      <c r="J4878">
        <v>1</v>
      </c>
      <c r="K4878">
        <v>16</v>
      </c>
    </row>
    <row r="4879" spans="1:11" x14ac:dyDescent="0.2">
      <c r="B4879">
        <v>296944</v>
      </c>
      <c r="C4879" t="s">
        <v>8119</v>
      </c>
      <c r="D4879">
        <v>12</v>
      </c>
      <c r="E4879">
        <v>10</v>
      </c>
      <c r="F4879">
        <v>0</v>
      </c>
      <c r="G4879">
        <v>0</v>
      </c>
      <c r="H4879">
        <v>15</v>
      </c>
      <c r="I4879">
        <v>0</v>
      </c>
      <c r="J4879">
        <v>15.99</v>
      </c>
      <c r="K4879">
        <v>0</v>
      </c>
    </row>
    <row r="4880" spans="1:11" x14ac:dyDescent="0.2">
      <c r="A4880">
        <v>30828</v>
      </c>
      <c r="B4880">
        <v>296945</v>
      </c>
      <c r="C4880" t="s">
        <v>8326</v>
      </c>
      <c r="D4880">
        <v>10</v>
      </c>
      <c r="E4880">
        <v>1</v>
      </c>
      <c r="F4880">
        <v>0</v>
      </c>
      <c r="G4880">
        <v>0</v>
      </c>
      <c r="H4880">
        <v>36</v>
      </c>
      <c r="I4880">
        <v>0</v>
      </c>
      <c r="J4880">
        <v>43.99</v>
      </c>
      <c r="K4880">
        <v>0</v>
      </c>
    </row>
    <row r="4881" spans="1:11" x14ac:dyDescent="0.2">
      <c r="A4881">
        <v>31808</v>
      </c>
      <c r="B4881">
        <v>296946</v>
      </c>
      <c r="C4881" t="s">
        <v>8327</v>
      </c>
      <c r="D4881">
        <v>10</v>
      </c>
      <c r="E4881">
        <v>12</v>
      </c>
      <c r="F4881">
        <v>0</v>
      </c>
      <c r="G4881">
        <v>0</v>
      </c>
      <c r="H4881">
        <v>15</v>
      </c>
      <c r="I4881">
        <v>0</v>
      </c>
      <c r="J4881">
        <v>8.99</v>
      </c>
      <c r="K4881">
        <v>0</v>
      </c>
    </row>
    <row r="4882" spans="1:11" x14ac:dyDescent="0.2">
      <c r="A4882">
        <v>31809</v>
      </c>
      <c r="B4882">
        <v>296955</v>
      </c>
      <c r="C4882" t="s">
        <v>8328</v>
      </c>
      <c r="D4882">
        <v>6</v>
      </c>
      <c r="E4882">
        <v>10</v>
      </c>
      <c r="F4882">
        <v>0</v>
      </c>
      <c r="G4882">
        <v>0</v>
      </c>
      <c r="H4882">
        <v>100</v>
      </c>
      <c r="I4882">
        <v>0</v>
      </c>
      <c r="J4882">
        <v>1.99</v>
      </c>
      <c r="K4882">
        <v>0</v>
      </c>
    </row>
    <row r="4883" spans="1:11" x14ac:dyDescent="0.2">
      <c r="A4883">
        <v>46811</v>
      </c>
      <c r="B4883">
        <v>296956</v>
      </c>
      <c r="C4883" t="s">
        <v>8329</v>
      </c>
      <c r="D4883">
        <v>10</v>
      </c>
      <c r="E4883">
        <v>20</v>
      </c>
      <c r="F4883">
        <v>1</v>
      </c>
      <c r="G4883">
        <v>20</v>
      </c>
      <c r="H4883">
        <v>45</v>
      </c>
      <c r="I4883">
        <v>0</v>
      </c>
      <c r="J4883">
        <v>2.99</v>
      </c>
      <c r="K4883">
        <v>59.8</v>
      </c>
    </row>
    <row r="4884" spans="1:11" x14ac:dyDescent="0.2">
      <c r="A4884">
        <v>30829</v>
      </c>
      <c r="B4884">
        <v>296981</v>
      </c>
      <c r="C4884" t="s">
        <v>8330</v>
      </c>
      <c r="D4884">
        <v>10</v>
      </c>
      <c r="E4884">
        <v>4</v>
      </c>
      <c r="F4884">
        <v>0</v>
      </c>
      <c r="G4884">
        <v>0</v>
      </c>
      <c r="H4884">
        <v>35</v>
      </c>
      <c r="I4884">
        <v>0</v>
      </c>
      <c r="J4884">
        <v>12.99</v>
      </c>
      <c r="K4884">
        <v>0</v>
      </c>
    </row>
    <row r="4885" spans="1:11" x14ac:dyDescent="0.2">
      <c r="A4885">
        <v>29858</v>
      </c>
      <c r="B4885">
        <v>296991</v>
      </c>
      <c r="C4885" t="s">
        <v>8331</v>
      </c>
      <c r="D4885">
        <v>10</v>
      </c>
      <c r="E4885">
        <v>12</v>
      </c>
      <c r="F4885">
        <v>0</v>
      </c>
      <c r="G4885">
        <v>0</v>
      </c>
      <c r="H4885">
        <v>96</v>
      </c>
      <c r="I4885">
        <v>0</v>
      </c>
      <c r="J4885">
        <v>6.99</v>
      </c>
      <c r="K4885">
        <v>0</v>
      </c>
    </row>
    <row r="4886" spans="1:11" x14ac:dyDescent="0.2">
      <c r="A4886">
        <v>30830</v>
      </c>
      <c r="B4886">
        <v>296994</v>
      </c>
      <c r="C4886" t="s">
        <v>8332</v>
      </c>
      <c r="D4886">
        <v>6</v>
      </c>
      <c r="E4886">
        <v>4</v>
      </c>
      <c r="F4886">
        <v>0</v>
      </c>
      <c r="G4886">
        <v>0</v>
      </c>
      <c r="H4886">
        <v>100</v>
      </c>
      <c r="I4886">
        <v>0</v>
      </c>
      <c r="J4886">
        <v>9.99</v>
      </c>
      <c r="K4886">
        <v>0</v>
      </c>
    </row>
    <row r="4887" spans="1:11" x14ac:dyDescent="0.2">
      <c r="A4887">
        <v>40881</v>
      </c>
      <c r="B4887">
        <v>296995</v>
      </c>
      <c r="C4887" t="s">
        <v>8333</v>
      </c>
      <c r="D4887">
        <v>6</v>
      </c>
      <c r="E4887">
        <v>36</v>
      </c>
      <c r="F4887">
        <v>0</v>
      </c>
      <c r="G4887">
        <v>0</v>
      </c>
      <c r="H4887">
        <v>100</v>
      </c>
      <c r="I4887">
        <v>0</v>
      </c>
      <c r="J4887">
        <v>0.5</v>
      </c>
      <c r="K4887">
        <v>0</v>
      </c>
    </row>
    <row r="4888" spans="1:11" x14ac:dyDescent="0.2">
      <c r="A4888">
        <v>40882</v>
      </c>
      <c r="B4888">
        <v>297011</v>
      </c>
      <c r="C4888" t="s">
        <v>8334</v>
      </c>
      <c r="D4888">
        <v>10</v>
      </c>
      <c r="E4888">
        <v>12</v>
      </c>
      <c r="F4888">
        <v>0</v>
      </c>
      <c r="G4888">
        <v>0</v>
      </c>
      <c r="H4888">
        <v>133</v>
      </c>
      <c r="I4888">
        <v>0</v>
      </c>
      <c r="J4888">
        <v>1</v>
      </c>
      <c r="K4888">
        <v>0</v>
      </c>
    </row>
    <row r="4889" spans="1:11" x14ac:dyDescent="0.2">
      <c r="A4889">
        <v>30831</v>
      </c>
      <c r="B4889">
        <v>297016</v>
      </c>
      <c r="C4889" t="s">
        <v>8335</v>
      </c>
      <c r="D4889">
        <v>10</v>
      </c>
      <c r="E4889">
        <v>3</v>
      </c>
      <c r="F4889">
        <v>0</v>
      </c>
      <c r="G4889">
        <v>0</v>
      </c>
      <c r="H4889">
        <v>16</v>
      </c>
      <c r="I4889">
        <v>0</v>
      </c>
      <c r="J4889">
        <v>27.99</v>
      </c>
      <c r="K4889">
        <v>0</v>
      </c>
    </row>
    <row r="4890" spans="1:11" x14ac:dyDescent="0.2">
      <c r="A4890">
        <v>30832</v>
      </c>
      <c r="B4890">
        <v>297018</v>
      </c>
      <c r="C4890" t="s">
        <v>8336</v>
      </c>
      <c r="D4890">
        <v>10</v>
      </c>
      <c r="E4890">
        <v>10</v>
      </c>
      <c r="F4890">
        <v>0</v>
      </c>
      <c r="G4890">
        <v>0</v>
      </c>
      <c r="H4890">
        <v>225</v>
      </c>
      <c r="I4890">
        <v>0</v>
      </c>
      <c r="J4890">
        <v>3.99</v>
      </c>
      <c r="K4890">
        <v>0</v>
      </c>
    </row>
    <row r="4891" spans="1:11" x14ac:dyDescent="0.2">
      <c r="A4891">
        <v>32985</v>
      </c>
      <c r="B4891">
        <v>297057</v>
      </c>
      <c r="C4891" t="s">
        <v>8258</v>
      </c>
      <c r="D4891">
        <v>10</v>
      </c>
      <c r="E4891">
        <v>16</v>
      </c>
      <c r="F4891">
        <v>0</v>
      </c>
      <c r="G4891">
        <v>0</v>
      </c>
      <c r="H4891">
        <v>91</v>
      </c>
      <c r="I4891">
        <v>0</v>
      </c>
      <c r="J4891">
        <v>1</v>
      </c>
      <c r="K4891">
        <v>0</v>
      </c>
    </row>
    <row r="4892" spans="1:11" x14ac:dyDescent="0.2">
      <c r="A4892">
        <v>32986</v>
      </c>
      <c r="B4892">
        <v>297058</v>
      </c>
      <c r="C4892" t="s">
        <v>8337</v>
      </c>
      <c r="D4892">
        <v>10</v>
      </c>
      <c r="E4892">
        <v>16</v>
      </c>
      <c r="F4892">
        <v>0</v>
      </c>
      <c r="G4892">
        <v>0</v>
      </c>
      <c r="H4892">
        <v>78</v>
      </c>
      <c r="I4892">
        <v>0</v>
      </c>
      <c r="J4892">
        <v>1</v>
      </c>
      <c r="K4892">
        <v>0</v>
      </c>
    </row>
    <row r="4893" spans="1:11" x14ac:dyDescent="0.2">
      <c r="A4893">
        <v>40937</v>
      </c>
      <c r="B4893">
        <v>297059</v>
      </c>
      <c r="C4893" t="s">
        <v>7864</v>
      </c>
      <c r="D4893">
        <v>10</v>
      </c>
      <c r="E4893">
        <v>14</v>
      </c>
      <c r="F4893">
        <v>0</v>
      </c>
      <c r="G4893">
        <v>0</v>
      </c>
      <c r="H4893">
        <v>168</v>
      </c>
      <c r="I4893">
        <v>0</v>
      </c>
      <c r="J4893">
        <v>1</v>
      </c>
      <c r="K4893">
        <v>0</v>
      </c>
    </row>
    <row r="4894" spans="1:11" x14ac:dyDescent="0.2">
      <c r="A4894">
        <v>32987</v>
      </c>
      <c r="B4894">
        <v>297066</v>
      </c>
      <c r="C4894" t="s">
        <v>8338</v>
      </c>
      <c r="D4894">
        <v>10</v>
      </c>
      <c r="E4894">
        <v>14</v>
      </c>
      <c r="F4894">
        <v>0</v>
      </c>
      <c r="G4894">
        <v>0</v>
      </c>
      <c r="H4894">
        <v>91</v>
      </c>
      <c r="I4894">
        <v>0</v>
      </c>
      <c r="J4894">
        <v>1</v>
      </c>
      <c r="K4894">
        <v>0</v>
      </c>
    </row>
    <row r="4895" spans="1:11" x14ac:dyDescent="0.2">
      <c r="A4895">
        <v>40938</v>
      </c>
      <c r="B4895">
        <v>297068</v>
      </c>
      <c r="C4895" t="s">
        <v>8339</v>
      </c>
      <c r="D4895">
        <v>10</v>
      </c>
      <c r="E4895">
        <v>16</v>
      </c>
      <c r="F4895">
        <v>0</v>
      </c>
      <c r="G4895">
        <v>0</v>
      </c>
      <c r="H4895">
        <v>60</v>
      </c>
      <c r="I4895">
        <v>0</v>
      </c>
      <c r="J4895">
        <v>1</v>
      </c>
      <c r="K4895">
        <v>0</v>
      </c>
    </row>
    <row r="4896" spans="1:11" x14ac:dyDescent="0.2">
      <c r="A4896">
        <v>44403</v>
      </c>
      <c r="B4896">
        <v>297143</v>
      </c>
      <c r="C4896" t="s">
        <v>8340</v>
      </c>
      <c r="D4896">
        <v>10</v>
      </c>
      <c r="E4896">
        <v>16</v>
      </c>
      <c r="F4896">
        <v>5</v>
      </c>
      <c r="G4896">
        <v>80</v>
      </c>
      <c r="H4896">
        <v>24</v>
      </c>
      <c r="I4896">
        <v>0.2</v>
      </c>
      <c r="J4896">
        <v>2.99</v>
      </c>
      <c r="K4896">
        <v>239.2</v>
      </c>
    </row>
    <row r="4897" spans="1:11" x14ac:dyDescent="0.2">
      <c r="A4897">
        <v>25994</v>
      </c>
      <c r="B4897">
        <v>297161</v>
      </c>
      <c r="C4897" t="s">
        <v>8341</v>
      </c>
      <c r="D4897">
        <v>10</v>
      </c>
      <c r="E4897">
        <v>20</v>
      </c>
      <c r="F4897">
        <v>0</v>
      </c>
      <c r="G4897">
        <v>0</v>
      </c>
      <c r="H4897">
        <v>208</v>
      </c>
      <c r="I4897">
        <v>0</v>
      </c>
      <c r="J4897">
        <v>1</v>
      </c>
      <c r="K4897">
        <v>0</v>
      </c>
    </row>
    <row r="4898" spans="1:11" x14ac:dyDescent="0.2">
      <c r="A4898">
        <v>40939</v>
      </c>
      <c r="B4898">
        <v>297163</v>
      </c>
      <c r="C4898" t="s">
        <v>8317</v>
      </c>
      <c r="D4898">
        <v>10</v>
      </c>
      <c r="E4898">
        <v>18</v>
      </c>
      <c r="F4898">
        <v>0</v>
      </c>
      <c r="G4898">
        <v>0</v>
      </c>
      <c r="H4898">
        <v>24</v>
      </c>
      <c r="I4898">
        <v>0</v>
      </c>
      <c r="J4898">
        <v>1</v>
      </c>
      <c r="K4898">
        <v>0</v>
      </c>
    </row>
    <row r="4899" spans="1:11" x14ac:dyDescent="0.2">
      <c r="A4899">
        <v>40940</v>
      </c>
      <c r="B4899">
        <v>297167</v>
      </c>
      <c r="C4899" t="s">
        <v>8320</v>
      </c>
      <c r="D4899">
        <v>10</v>
      </c>
      <c r="E4899">
        <v>20</v>
      </c>
      <c r="F4899">
        <v>0</v>
      </c>
      <c r="G4899">
        <v>0</v>
      </c>
      <c r="H4899">
        <v>40</v>
      </c>
      <c r="I4899">
        <v>0</v>
      </c>
      <c r="J4899">
        <v>1</v>
      </c>
      <c r="K4899">
        <v>0</v>
      </c>
    </row>
    <row r="4900" spans="1:11" x14ac:dyDescent="0.2">
      <c r="A4900">
        <v>29997</v>
      </c>
      <c r="B4900">
        <v>297169</v>
      </c>
      <c r="C4900" t="s">
        <v>8342</v>
      </c>
      <c r="D4900">
        <v>10</v>
      </c>
      <c r="E4900">
        <v>20</v>
      </c>
      <c r="F4900">
        <v>0</v>
      </c>
      <c r="G4900">
        <v>0</v>
      </c>
      <c r="H4900">
        <v>84</v>
      </c>
      <c r="I4900">
        <v>0</v>
      </c>
      <c r="J4900">
        <v>1</v>
      </c>
      <c r="K4900">
        <v>0</v>
      </c>
    </row>
    <row r="4901" spans="1:11" x14ac:dyDescent="0.2">
      <c r="A4901">
        <v>29998</v>
      </c>
      <c r="B4901">
        <v>297171</v>
      </c>
      <c r="C4901" t="s">
        <v>8343</v>
      </c>
      <c r="D4901">
        <v>10</v>
      </c>
      <c r="E4901">
        <v>20</v>
      </c>
      <c r="F4901">
        <v>0</v>
      </c>
      <c r="G4901">
        <v>0</v>
      </c>
      <c r="H4901">
        <v>91</v>
      </c>
      <c r="I4901">
        <v>0</v>
      </c>
      <c r="J4901">
        <v>1</v>
      </c>
      <c r="K4901">
        <v>0</v>
      </c>
    </row>
    <row r="4902" spans="1:11" x14ac:dyDescent="0.2">
      <c r="A4902">
        <v>40941</v>
      </c>
      <c r="B4902">
        <v>297176</v>
      </c>
      <c r="C4902" t="s">
        <v>8344</v>
      </c>
      <c r="D4902">
        <v>10</v>
      </c>
      <c r="E4902">
        <v>16</v>
      </c>
      <c r="F4902">
        <v>0</v>
      </c>
      <c r="G4902">
        <v>0</v>
      </c>
      <c r="H4902">
        <v>66</v>
      </c>
      <c r="I4902">
        <v>0</v>
      </c>
      <c r="J4902">
        <v>1</v>
      </c>
      <c r="K4902">
        <v>0</v>
      </c>
    </row>
    <row r="4903" spans="1:11" x14ac:dyDescent="0.2">
      <c r="A4903">
        <v>40942</v>
      </c>
      <c r="B4903">
        <v>297182</v>
      </c>
      <c r="C4903" t="s">
        <v>8345</v>
      </c>
      <c r="D4903">
        <v>10</v>
      </c>
      <c r="E4903">
        <v>24</v>
      </c>
      <c r="F4903">
        <v>0</v>
      </c>
      <c r="G4903">
        <v>0</v>
      </c>
      <c r="H4903">
        <v>18</v>
      </c>
      <c r="I4903">
        <v>0</v>
      </c>
      <c r="J4903">
        <v>1</v>
      </c>
      <c r="K4903">
        <v>0</v>
      </c>
    </row>
    <row r="4904" spans="1:11" x14ac:dyDescent="0.2">
      <c r="A4904">
        <v>40943</v>
      </c>
      <c r="B4904">
        <v>297185</v>
      </c>
      <c r="C4904" t="s">
        <v>8346</v>
      </c>
      <c r="D4904">
        <v>10</v>
      </c>
      <c r="E4904">
        <v>14</v>
      </c>
      <c r="F4904">
        <v>0</v>
      </c>
      <c r="G4904">
        <v>0</v>
      </c>
      <c r="H4904">
        <v>108</v>
      </c>
      <c r="I4904">
        <v>0</v>
      </c>
      <c r="J4904">
        <v>1</v>
      </c>
      <c r="K4904">
        <v>0</v>
      </c>
    </row>
    <row r="4905" spans="1:11" x14ac:dyDescent="0.2">
      <c r="A4905">
        <v>31810</v>
      </c>
      <c r="B4905">
        <v>297186</v>
      </c>
      <c r="C4905" t="s">
        <v>8347</v>
      </c>
      <c r="D4905">
        <v>10</v>
      </c>
      <c r="E4905">
        <v>10</v>
      </c>
      <c r="F4905">
        <v>0</v>
      </c>
      <c r="G4905">
        <v>0</v>
      </c>
      <c r="H4905">
        <v>100</v>
      </c>
      <c r="I4905">
        <v>0</v>
      </c>
      <c r="J4905">
        <v>6.99</v>
      </c>
      <c r="K4905">
        <v>0</v>
      </c>
    </row>
    <row r="4906" spans="1:11" x14ac:dyDescent="0.2">
      <c r="A4906">
        <v>40944</v>
      </c>
      <c r="B4906">
        <v>297188</v>
      </c>
      <c r="C4906" t="s">
        <v>8348</v>
      </c>
      <c r="D4906">
        <v>10</v>
      </c>
      <c r="E4906">
        <v>14</v>
      </c>
      <c r="F4906">
        <v>0</v>
      </c>
      <c r="G4906">
        <v>0</v>
      </c>
      <c r="H4906">
        <v>154</v>
      </c>
      <c r="I4906">
        <v>0</v>
      </c>
      <c r="J4906">
        <v>1</v>
      </c>
      <c r="K4906">
        <v>0</v>
      </c>
    </row>
    <row r="4907" spans="1:11" x14ac:dyDescent="0.2">
      <c r="A4907">
        <v>25995</v>
      </c>
      <c r="B4907">
        <v>297191</v>
      </c>
      <c r="C4907" t="s">
        <v>8349</v>
      </c>
      <c r="D4907">
        <v>10</v>
      </c>
      <c r="E4907">
        <v>20</v>
      </c>
      <c r="F4907">
        <v>0</v>
      </c>
      <c r="G4907">
        <v>0</v>
      </c>
      <c r="H4907">
        <v>119</v>
      </c>
      <c r="I4907">
        <v>0</v>
      </c>
      <c r="J4907">
        <v>1</v>
      </c>
      <c r="K4907">
        <v>0</v>
      </c>
    </row>
    <row r="4908" spans="1:11" x14ac:dyDescent="0.2">
      <c r="A4908">
        <v>32988</v>
      </c>
      <c r="B4908">
        <v>297193</v>
      </c>
      <c r="C4908" t="s">
        <v>8350</v>
      </c>
      <c r="D4908">
        <v>10</v>
      </c>
      <c r="E4908">
        <v>20</v>
      </c>
      <c r="F4908">
        <v>0</v>
      </c>
      <c r="G4908">
        <v>0</v>
      </c>
      <c r="H4908">
        <v>48</v>
      </c>
      <c r="I4908">
        <v>0</v>
      </c>
      <c r="J4908">
        <v>1</v>
      </c>
      <c r="K4908">
        <v>0</v>
      </c>
    </row>
    <row r="4909" spans="1:11" x14ac:dyDescent="0.2">
      <c r="A4909">
        <v>32989</v>
      </c>
      <c r="B4909">
        <v>297198</v>
      </c>
      <c r="C4909" t="s">
        <v>8351</v>
      </c>
      <c r="D4909">
        <v>10</v>
      </c>
      <c r="E4909">
        <v>60</v>
      </c>
      <c r="F4909">
        <v>0</v>
      </c>
      <c r="G4909">
        <v>0</v>
      </c>
      <c r="H4909">
        <v>44</v>
      </c>
      <c r="I4909">
        <v>0</v>
      </c>
      <c r="J4909">
        <v>1</v>
      </c>
      <c r="K4909">
        <v>0</v>
      </c>
    </row>
    <row r="4910" spans="1:11" x14ac:dyDescent="0.2">
      <c r="A4910">
        <v>32990</v>
      </c>
      <c r="B4910">
        <v>297202</v>
      </c>
      <c r="C4910" t="s">
        <v>8352</v>
      </c>
      <c r="D4910">
        <v>10</v>
      </c>
      <c r="E4910">
        <v>20</v>
      </c>
      <c r="F4910">
        <v>0</v>
      </c>
      <c r="G4910">
        <v>0</v>
      </c>
      <c r="H4910">
        <v>72</v>
      </c>
      <c r="I4910">
        <v>0</v>
      </c>
      <c r="J4910">
        <v>1</v>
      </c>
      <c r="K4910">
        <v>0</v>
      </c>
    </row>
    <row r="4911" spans="1:11" x14ac:dyDescent="0.2">
      <c r="A4911">
        <v>25996</v>
      </c>
      <c r="B4911">
        <v>297213</v>
      </c>
      <c r="C4911" t="s">
        <v>8353</v>
      </c>
      <c r="D4911">
        <v>10</v>
      </c>
      <c r="E4911">
        <v>20</v>
      </c>
      <c r="F4911">
        <v>0</v>
      </c>
      <c r="G4911">
        <v>0</v>
      </c>
      <c r="H4911">
        <v>168</v>
      </c>
      <c r="I4911">
        <v>0</v>
      </c>
      <c r="J4911">
        <v>1</v>
      </c>
      <c r="K4911">
        <v>0</v>
      </c>
    </row>
    <row r="4912" spans="1:11" x14ac:dyDescent="0.2">
      <c r="A4912">
        <v>44812</v>
      </c>
      <c r="B4912">
        <v>297222</v>
      </c>
      <c r="C4912" t="s">
        <v>8354</v>
      </c>
      <c r="D4912">
        <v>10</v>
      </c>
      <c r="E4912">
        <v>10</v>
      </c>
      <c r="F4912">
        <v>5</v>
      </c>
      <c r="G4912">
        <v>50</v>
      </c>
      <c r="H4912">
        <v>40</v>
      </c>
      <c r="I4912">
        <v>0.1</v>
      </c>
      <c r="J4912">
        <v>2.99</v>
      </c>
      <c r="K4912">
        <v>149.5</v>
      </c>
    </row>
    <row r="4913" spans="1:11" x14ac:dyDescent="0.2">
      <c r="A4913">
        <v>29999</v>
      </c>
      <c r="B4913">
        <v>297230</v>
      </c>
      <c r="C4913" t="s">
        <v>8355</v>
      </c>
      <c r="D4913">
        <v>10</v>
      </c>
      <c r="E4913">
        <v>16</v>
      </c>
      <c r="F4913">
        <v>0</v>
      </c>
      <c r="G4913">
        <v>0</v>
      </c>
      <c r="H4913">
        <v>82</v>
      </c>
      <c r="I4913">
        <v>0</v>
      </c>
      <c r="J4913">
        <v>1</v>
      </c>
      <c r="K4913">
        <v>0</v>
      </c>
    </row>
    <row r="4914" spans="1:11" x14ac:dyDescent="0.2">
      <c r="A4914">
        <v>44813</v>
      </c>
      <c r="B4914">
        <v>297233</v>
      </c>
      <c r="C4914" t="s">
        <v>8356</v>
      </c>
      <c r="D4914">
        <v>10</v>
      </c>
      <c r="E4914">
        <v>4</v>
      </c>
      <c r="F4914">
        <v>0</v>
      </c>
      <c r="G4914">
        <v>0</v>
      </c>
      <c r="H4914">
        <v>64</v>
      </c>
      <c r="I4914">
        <v>0</v>
      </c>
      <c r="J4914">
        <v>14.99</v>
      </c>
      <c r="K4914">
        <v>0</v>
      </c>
    </row>
    <row r="4915" spans="1:11" x14ac:dyDescent="0.2">
      <c r="A4915">
        <v>44404</v>
      </c>
      <c r="B4915">
        <v>297238</v>
      </c>
      <c r="C4915" t="s">
        <v>8357</v>
      </c>
      <c r="D4915">
        <v>10</v>
      </c>
      <c r="E4915">
        <v>16</v>
      </c>
      <c r="F4915">
        <v>0</v>
      </c>
      <c r="G4915">
        <v>0</v>
      </c>
      <c r="H4915">
        <v>36</v>
      </c>
      <c r="I4915">
        <v>0</v>
      </c>
      <c r="J4915">
        <v>3.99</v>
      </c>
      <c r="K4915">
        <v>0</v>
      </c>
    </row>
    <row r="4916" spans="1:11" x14ac:dyDescent="0.2">
      <c r="A4916">
        <v>25838</v>
      </c>
      <c r="B4916">
        <v>297268</v>
      </c>
      <c r="C4916" t="s">
        <v>8358</v>
      </c>
      <c r="D4916">
        <v>10</v>
      </c>
      <c r="E4916">
        <v>10</v>
      </c>
      <c r="F4916">
        <v>0</v>
      </c>
      <c r="G4916">
        <v>0</v>
      </c>
      <c r="H4916">
        <v>24</v>
      </c>
      <c r="I4916">
        <v>0</v>
      </c>
      <c r="J4916">
        <v>14.99</v>
      </c>
      <c r="K4916">
        <v>0</v>
      </c>
    </row>
    <row r="4917" spans="1:11" x14ac:dyDescent="0.2">
      <c r="A4917">
        <v>35934</v>
      </c>
      <c r="B4917">
        <v>297270</v>
      </c>
      <c r="C4917" t="s">
        <v>8359</v>
      </c>
      <c r="D4917">
        <v>6</v>
      </c>
      <c r="E4917">
        <v>12</v>
      </c>
      <c r="F4917">
        <v>0</v>
      </c>
      <c r="G4917">
        <v>0</v>
      </c>
      <c r="H4917">
        <v>100</v>
      </c>
      <c r="I4917">
        <v>0</v>
      </c>
      <c r="J4917">
        <v>8.99</v>
      </c>
      <c r="K4917">
        <v>0</v>
      </c>
    </row>
    <row r="4918" spans="1:11" x14ac:dyDescent="0.2">
      <c r="A4918">
        <v>42806</v>
      </c>
      <c r="B4918">
        <v>297283</v>
      </c>
      <c r="C4918" t="s">
        <v>8360</v>
      </c>
      <c r="D4918">
        <v>10</v>
      </c>
      <c r="E4918">
        <v>6</v>
      </c>
      <c r="F4918">
        <v>0</v>
      </c>
      <c r="G4918">
        <v>0</v>
      </c>
      <c r="H4918">
        <v>198</v>
      </c>
      <c r="I4918">
        <v>0</v>
      </c>
      <c r="J4918">
        <v>17.989999999999998</v>
      </c>
      <c r="K4918">
        <v>0</v>
      </c>
    </row>
    <row r="4919" spans="1:11" x14ac:dyDescent="0.2">
      <c r="A4919">
        <v>35935</v>
      </c>
      <c r="B4919">
        <v>297311</v>
      </c>
      <c r="C4919" t="s">
        <v>8361</v>
      </c>
      <c r="D4919">
        <v>10</v>
      </c>
      <c r="E4919">
        <v>12</v>
      </c>
      <c r="F4919">
        <v>0</v>
      </c>
      <c r="G4919">
        <v>0</v>
      </c>
      <c r="H4919">
        <v>14</v>
      </c>
      <c r="I4919">
        <v>0</v>
      </c>
      <c r="J4919">
        <v>6.99</v>
      </c>
      <c r="K4919">
        <v>0</v>
      </c>
    </row>
    <row r="4920" spans="1:11" x14ac:dyDescent="0.2">
      <c r="A4920">
        <v>35936</v>
      </c>
      <c r="B4920">
        <v>297322</v>
      </c>
      <c r="C4920" t="s">
        <v>8362</v>
      </c>
      <c r="D4920">
        <v>10</v>
      </c>
      <c r="E4920">
        <v>8</v>
      </c>
      <c r="F4920">
        <v>0</v>
      </c>
      <c r="G4920">
        <v>0</v>
      </c>
      <c r="H4920">
        <v>90</v>
      </c>
      <c r="I4920">
        <v>0</v>
      </c>
      <c r="J4920">
        <v>8.99</v>
      </c>
      <c r="K4920">
        <v>0</v>
      </c>
    </row>
    <row r="4921" spans="1:11" x14ac:dyDescent="0.2">
      <c r="A4921">
        <v>46812</v>
      </c>
      <c r="B4921">
        <v>297326</v>
      </c>
      <c r="C4921" t="s">
        <v>8363</v>
      </c>
      <c r="D4921">
        <v>10</v>
      </c>
      <c r="E4921">
        <v>20</v>
      </c>
      <c r="F4921">
        <v>2</v>
      </c>
      <c r="G4921">
        <v>40</v>
      </c>
      <c r="H4921">
        <v>64</v>
      </c>
      <c r="I4921">
        <v>0</v>
      </c>
      <c r="J4921">
        <v>2.99</v>
      </c>
      <c r="K4921">
        <v>119.6</v>
      </c>
    </row>
    <row r="4922" spans="1:11" x14ac:dyDescent="0.2">
      <c r="A4922">
        <v>32991</v>
      </c>
      <c r="B4922">
        <v>297327</v>
      </c>
      <c r="C4922" t="s">
        <v>8364</v>
      </c>
      <c r="D4922">
        <v>10</v>
      </c>
      <c r="E4922">
        <v>20</v>
      </c>
      <c r="F4922">
        <v>0</v>
      </c>
      <c r="G4922">
        <v>0</v>
      </c>
      <c r="H4922">
        <v>225</v>
      </c>
      <c r="I4922">
        <v>0</v>
      </c>
      <c r="J4922">
        <v>1</v>
      </c>
      <c r="K4922">
        <v>0</v>
      </c>
    </row>
    <row r="4923" spans="1:11" x14ac:dyDescent="0.2">
      <c r="A4923">
        <v>44405</v>
      </c>
      <c r="B4923">
        <v>297335</v>
      </c>
      <c r="C4923" t="s">
        <v>8346</v>
      </c>
      <c r="D4923">
        <v>10</v>
      </c>
      <c r="E4923">
        <v>14</v>
      </c>
      <c r="F4923">
        <v>4</v>
      </c>
      <c r="G4923">
        <v>56</v>
      </c>
      <c r="H4923">
        <v>102</v>
      </c>
      <c r="I4923">
        <v>0</v>
      </c>
      <c r="J4923">
        <v>2.99</v>
      </c>
      <c r="K4923">
        <v>167.44</v>
      </c>
    </row>
    <row r="4924" spans="1:11" x14ac:dyDescent="0.2">
      <c r="A4924">
        <v>31811</v>
      </c>
      <c r="B4924">
        <v>297338</v>
      </c>
      <c r="C4924" t="s">
        <v>8365</v>
      </c>
      <c r="D4924">
        <v>10</v>
      </c>
      <c r="E4924">
        <v>6</v>
      </c>
      <c r="F4924">
        <v>0</v>
      </c>
      <c r="G4924">
        <v>0</v>
      </c>
      <c r="H4924">
        <v>176</v>
      </c>
      <c r="I4924">
        <v>0</v>
      </c>
      <c r="J4924">
        <v>16.989999999999998</v>
      </c>
      <c r="K4924">
        <v>0</v>
      </c>
    </row>
    <row r="4925" spans="1:11" x14ac:dyDescent="0.2">
      <c r="A4925">
        <v>50804</v>
      </c>
      <c r="B4925">
        <v>297345</v>
      </c>
      <c r="C4925" t="s">
        <v>8366</v>
      </c>
      <c r="D4925">
        <v>10</v>
      </c>
      <c r="E4925">
        <v>1</v>
      </c>
      <c r="F4925">
        <v>0</v>
      </c>
      <c r="G4925">
        <v>0</v>
      </c>
      <c r="H4925">
        <v>34</v>
      </c>
      <c r="I4925">
        <v>0</v>
      </c>
      <c r="J4925">
        <v>99.99</v>
      </c>
      <c r="K4925">
        <v>0</v>
      </c>
    </row>
    <row r="4926" spans="1:11" x14ac:dyDescent="0.2">
      <c r="A4926">
        <v>51116</v>
      </c>
      <c r="B4926">
        <v>297349</v>
      </c>
      <c r="C4926" t="s">
        <v>8367</v>
      </c>
      <c r="D4926">
        <v>10</v>
      </c>
      <c r="E4926">
        <v>8</v>
      </c>
      <c r="F4926">
        <v>14</v>
      </c>
      <c r="G4926">
        <v>114</v>
      </c>
      <c r="H4926">
        <v>30</v>
      </c>
      <c r="I4926">
        <v>0.5</v>
      </c>
      <c r="J4926">
        <v>11.99</v>
      </c>
      <c r="K4926">
        <v>1366.86</v>
      </c>
    </row>
    <row r="4927" spans="1:11" x14ac:dyDescent="0.2">
      <c r="A4927">
        <v>32992</v>
      </c>
      <c r="B4927">
        <v>297355</v>
      </c>
      <c r="C4927" t="s">
        <v>8368</v>
      </c>
      <c r="D4927">
        <v>10</v>
      </c>
      <c r="E4927">
        <v>20</v>
      </c>
      <c r="F4927">
        <v>0</v>
      </c>
      <c r="G4927">
        <v>0</v>
      </c>
      <c r="H4927">
        <v>88</v>
      </c>
      <c r="I4927">
        <v>0</v>
      </c>
      <c r="J4927">
        <v>1</v>
      </c>
      <c r="K4927">
        <v>0</v>
      </c>
    </row>
    <row r="4928" spans="1:11" x14ac:dyDescent="0.2">
      <c r="A4928">
        <v>32993</v>
      </c>
      <c r="B4928">
        <v>297359</v>
      </c>
      <c r="C4928" t="s">
        <v>8369</v>
      </c>
      <c r="D4928">
        <v>10</v>
      </c>
      <c r="E4928">
        <v>20</v>
      </c>
      <c r="F4928">
        <v>0</v>
      </c>
      <c r="G4928">
        <v>0</v>
      </c>
      <c r="H4928">
        <v>88</v>
      </c>
      <c r="I4928">
        <v>0</v>
      </c>
      <c r="J4928">
        <v>1</v>
      </c>
      <c r="K4928">
        <v>0</v>
      </c>
    </row>
    <row r="4929" spans="1:11" x14ac:dyDescent="0.2">
      <c r="A4929">
        <v>51115</v>
      </c>
      <c r="B4929">
        <v>297365</v>
      </c>
      <c r="C4929" t="s">
        <v>8370</v>
      </c>
      <c r="D4929">
        <v>10</v>
      </c>
      <c r="E4929">
        <v>8</v>
      </c>
      <c r="F4929">
        <v>16</v>
      </c>
      <c r="G4929">
        <v>128</v>
      </c>
      <c r="H4929">
        <v>42</v>
      </c>
      <c r="I4929">
        <v>0.4</v>
      </c>
      <c r="J4929">
        <v>5.99</v>
      </c>
      <c r="K4929">
        <v>766.72</v>
      </c>
    </row>
    <row r="4930" spans="1:11" x14ac:dyDescent="0.2">
      <c r="A4930">
        <v>32994</v>
      </c>
      <c r="B4930">
        <v>297377</v>
      </c>
      <c r="C4930" t="s">
        <v>8371</v>
      </c>
      <c r="D4930">
        <v>10</v>
      </c>
      <c r="E4930">
        <v>20</v>
      </c>
      <c r="F4930">
        <v>0</v>
      </c>
      <c r="G4930">
        <v>0</v>
      </c>
      <c r="H4930">
        <v>131</v>
      </c>
      <c r="I4930">
        <v>0</v>
      </c>
      <c r="J4930">
        <v>1</v>
      </c>
      <c r="K4930">
        <v>0</v>
      </c>
    </row>
    <row r="4931" spans="1:11" x14ac:dyDescent="0.2">
      <c r="A4931">
        <v>32995</v>
      </c>
      <c r="B4931">
        <v>297380</v>
      </c>
      <c r="C4931" t="s">
        <v>8372</v>
      </c>
      <c r="D4931">
        <v>10</v>
      </c>
      <c r="E4931">
        <v>20</v>
      </c>
      <c r="F4931">
        <v>0</v>
      </c>
      <c r="G4931">
        <v>0</v>
      </c>
      <c r="H4931">
        <v>162</v>
      </c>
      <c r="I4931">
        <v>0</v>
      </c>
      <c r="J4931">
        <v>1</v>
      </c>
      <c r="K4931">
        <v>0</v>
      </c>
    </row>
    <row r="4932" spans="1:11" x14ac:dyDescent="0.2">
      <c r="A4932">
        <v>40945</v>
      </c>
      <c r="B4932">
        <v>297392</v>
      </c>
      <c r="C4932" t="s">
        <v>8373</v>
      </c>
      <c r="D4932">
        <v>10</v>
      </c>
      <c r="E4932">
        <v>20</v>
      </c>
      <c r="F4932">
        <v>0</v>
      </c>
      <c r="G4932">
        <v>0</v>
      </c>
      <c r="H4932">
        <v>99</v>
      </c>
      <c r="I4932">
        <v>0</v>
      </c>
      <c r="J4932">
        <v>1</v>
      </c>
      <c r="K4932">
        <v>0</v>
      </c>
    </row>
    <row r="4933" spans="1:11" x14ac:dyDescent="0.2">
      <c r="A4933">
        <v>40946</v>
      </c>
      <c r="B4933">
        <v>297395</v>
      </c>
      <c r="C4933" t="s">
        <v>8374</v>
      </c>
      <c r="D4933">
        <v>10</v>
      </c>
      <c r="E4933">
        <v>20</v>
      </c>
      <c r="F4933">
        <v>0</v>
      </c>
      <c r="G4933">
        <v>0</v>
      </c>
      <c r="H4933">
        <v>88</v>
      </c>
      <c r="I4933">
        <v>0</v>
      </c>
      <c r="J4933">
        <v>1</v>
      </c>
      <c r="K4933">
        <v>0</v>
      </c>
    </row>
    <row r="4934" spans="1:11" x14ac:dyDescent="0.2">
      <c r="A4934">
        <v>32996</v>
      </c>
      <c r="B4934">
        <v>297404</v>
      </c>
      <c r="C4934" t="s">
        <v>8375</v>
      </c>
      <c r="D4934">
        <v>10</v>
      </c>
      <c r="E4934">
        <v>16</v>
      </c>
      <c r="F4934">
        <v>0</v>
      </c>
      <c r="G4934">
        <v>0</v>
      </c>
      <c r="H4934">
        <v>140</v>
      </c>
      <c r="I4934">
        <v>0</v>
      </c>
      <c r="J4934">
        <v>1</v>
      </c>
      <c r="K4934">
        <v>0</v>
      </c>
    </row>
    <row r="4935" spans="1:11" x14ac:dyDescent="0.2">
      <c r="A4935">
        <v>51003</v>
      </c>
      <c r="B4935">
        <v>297419</v>
      </c>
      <c r="C4935" t="s">
        <v>8376</v>
      </c>
      <c r="D4935">
        <v>10</v>
      </c>
      <c r="E4935">
        <v>12</v>
      </c>
      <c r="F4935">
        <v>0</v>
      </c>
      <c r="G4935">
        <v>0</v>
      </c>
      <c r="H4935">
        <v>96</v>
      </c>
      <c r="I4935">
        <v>0</v>
      </c>
      <c r="J4935">
        <v>6.99</v>
      </c>
      <c r="K4935">
        <v>0</v>
      </c>
    </row>
    <row r="4936" spans="1:11" x14ac:dyDescent="0.2">
      <c r="A4936">
        <v>51065</v>
      </c>
      <c r="B4936">
        <v>297423</v>
      </c>
      <c r="C4936" t="s">
        <v>8377</v>
      </c>
      <c r="D4936">
        <v>10</v>
      </c>
      <c r="E4936">
        <v>6</v>
      </c>
      <c r="F4936">
        <v>0</v>
      </c>
      <c r="G4936">
        <v>0</v>
      </c>
      <c r="H4936">
        <v>30</v>
      </c>
      <c r="I4936">
        <v>0</v>
      </c>
      <c r="J4936">
        <v>14.99</v>
      </c>
      <c r="K4936">
        <v>0</v>
      </c>
    </row>
    <row r="4937" spans="1:11" x14ac:dyDescent="0.2">
      <c r="A4937">
        <v>29938</v>
      </c>
      <c r="B4937">
        <v>297428</v>
      </c>
      <c r="C4937" t="s">
        <v>8378</v>
      </c>
      <c r="D4937">
        <v>10</v>
      </c>
      <c r="E4937">
        <v>12</v>
      </c>
      <c r="F4937">
        <v>0</v>
      </c>
      <c r="G4937">
        <v>0</v>
      </c>
      <c r="H4937">
        <v>30</v>
      </c>
      <c r="I4937">
        <v>0</v>
      </c>
      <c r="J4937">
        <v>3.99</v>
      </c>
      <c r="K4937">
        <v>0</v>
      </c>
    </row>
    <row r="4938" spans="1:11" x14ac:dyDescent="0.2">
      <c r="A4938">
        <v>40947</v>
      </c>
      <c r="B4938">
        <v>297435</v>
      </c>
      <c r="C4938" t="s">
        <v>8379</v>
      </c>
      <c r="D4938">
        <v>10</v>
      </c>
      <c r="E4938">
        <v>20</v>
      </c>
      <c r="F4938">
        <v>0</v>
      </c>
      <c r="G4938">
        <v>0</v>
      </c>
      <c r="H4938">
        <v>60</v>
      </c>
      <c r="I4938">
        <v>0</v>
      </c>
      <c r="J4938">
        <v>1</v>
      </c>
      <c r="K4938">
        <v>0</v>
      </c>
    </row>
    <row r="4939" spans="1:11" x14ac:dyDescent="0.2">
      <c r="A4939">
        <v>40948</v>
      </c>
      <c r="B4939">
        <v>297436</v>
      </c>
      <c r="C4939" t="s">
        <v>8380</v>
      </c>
      <c r="D4939">
        <v>10</v>
      </c>
      <c r="E4939">
        <v>20</v>
      </c>
      <c r="F4939">
        <v>0</v>
      </c>
      <c r="G4939">
        <v>0</v>
      </c>
      <c r="H4939">
        <v>72</v>
      </c>
      <c r="I4939">
        <v>0</v>
      </c>
      <c r="J4939">
        <v>1</v>
      </c>
      <c r="K4939">
        <v>0</v>
      </c>
    </row>
    <row r="4940" spans="1:11" x14ac:dyDescent="0.2">
      <c r="A4940">
        <v>51090</v>
      </c>
      <c r="B4940">
        <v>297443</v>
      </c>
      <c r="C4940" t="s">
        <v>8381</v>
      </c>
      <c r="D4940">
        <v>10</v>
      </c>
      <c r="E4940">
        <v>6</v>
      </c>
      <c r="F4940">
        <v>0</v>
      </c>
      <c r="G4940">
        <v>0</v>
      </c>
      <c r="H4940">
        <v>100</v>
      </c>
      <c r="I4940">
        <v>0</v>
      </c>
      <c r="J4940">
        <v>11.99</v>
      </c>
      <c r="K4940">
        <v>0</v>
      </c>
    </row>
    <row r="4941" spans="1:11" x14ac:dyDescent="0.2">
      <c r="A4941">
        <v>51002</v>
      </c>
      <c r="B4941">
        <v>297447</v>
      </c>
      <c r="C4941" t="s">
        <v>8382</v>
      </c>
      <c r="D4941">
        <v>10</v>
      </c>
      <c r="E4941">
        <v>9</v>
      </c>
      <c r="F4941">
        <v>1</v>
      </c>
      <c r="G4941">
        <v>9</v>
      </c>
      <c r="H4941">
        <v>48</v>
      </c>
      <c r="I4941">
        <v>0</v>
      </c>
      <c r="J4941">
        <v>14.99</v>
      </c>
      <c r="K4941">
        <v>134.91</v>
      </c>
    </row>
    <row r="4942" spans="1:11" x14ac:dyDescent="0.2">
      <c r="A4942">
        <v>44406</v>
      </c>
      <c r="B4942">
        <v>297477</v>
      </c>
      <c r="C4942" t="s">
        <v>8383</v>
      </c>
      <c r="D4942">
        <v>10</v>
      </c>
      <c r="E4942">
        <v>14</v>
      </c>
      <c r="F4942">
        <v>-1</v>
      </c>
      <c r="G4942">
        <v>-14</v>
      </c>
      <c r="H4942">
        <v>108</v>
      </c>
      <c r="I4942">
        <v>0</v>
      </c>
      <c r="J4942">
        <v>2.99</v>
      </c>
      <c r="K4942">
        <v>-41.86</v>
      </c>
    </row>
    <row r="4943" spans="1:11" x14ac:dyDescent="0.2">
      <c r="A4943">
        <v>32997</v>
      </c>
      <c r="B4943">
        <v>297496</v>
      </c>
      <c r="C4943" t="s">
        <v>8127</v>
      </c>
      <c r="D4943">
        <v>10</v>
      </c>
      <c r="E4943">
        <v>12</v>
      </c>
      <c r="F4943">
        <v>0</v>
      </c>
      <c r="G4943">
        <v>0</v>
      </c>
      <c r="H4943">
        <v>15</v>
      </c>
      <c r="I4943">
        <v>0</v>
      </c>
      <c r="J4943">
        <v>1</v>
      </c>
      <c r="K4943">
        <v>0</v>
      </c>
    </row>
    <row r="4944" spans="1:11" x14ac:dyDescent="0.2">
      <c r="A4944">
        <v>27820</v>
      </c>
      <c r="B4944">
        <v>297501</v>
      </c>
      <c r="C4944" t="s">
        <v>8384</v>
      </c>
      <c r="D4944">
        <v>11</v>
      </c>
      <c r="E4944">
        <v>12</v>
      </c>
      <c r="F4944">
        <v>0</v>
      </c>
      <c r="G4944">
        <v>0</v>
      </c>
      <c r="H4944">
        <v>24</v>
      </c>
      <c r="I4944">
        <v>0</v>
      </c>
      <c r="J4944">
        <v>6.99</v>
      </c>
      <c r="K4944">
        <v>0</v>
      </c>
    </row>
    <row r="4945" spans="1:11" x14ac:dyDescent="0.2">
      <c r="A4945">
        <v>32998</v>
      </c>
      <c r="B4945">
        <v>297507</v>
      </c>
      <c r="C4945" t="s">
        <v>8385</v>
      </c>
      <c r="D4945">
        <v>10</v>
      </c>
      <c r="E4945">
        <v>15</v>
      </c>
      <c r="F4945">
        <v>0</v>
      </c>
      <c r="G4945">
        <v>0</v>
      </c>
      <c r="H4945">
        <v>42</v>
      </c>
      <c r="I4945">
        <v>0</v>
      </c>
      <c r="J4945">
        <v>6.99</v>
      </c>
      <c r="K4945">
        <v>0</v>
      </c>
    </row>
    <row r="4946" spans="1:11" x14ac:dyDescent="0.2">
      <c r="A4946">
        <v>40949</v>
      </c>
      <c r="B4946">
        <v>297508</v>
      </c>
      <c r="C4946" t="s">
        <v>8386</v>
      </c>
      <c r="D4946">
        <v>10</v>
      </c>
      <c r="E4946">
        <v>15</v>
      </c>
      <c r="F4946">
        <v>0</v>
      </c>
      <c r="G4946">
        <v>0</v>
      </c>
      <c r="H4946">
        <v>72</v>
      </c>
      <c r="I4946">
        <v>0</v>
      </c>
      <c r="J4946">
        <v>1</v>
      </c>
      <c r="K4946">
        <v>0</v>
      </c>
    </row>
    <row r="4947" spans="1:11" x14ac:dyDescent="0.2">
      <c r="A4947">
        <v>50376</v>
      </c>
      <c r="B4947">
        <v>297514</v>
      </c>
      <c r="C4947" t="s">
        <v>8387</v>
      </c>
      <c r="D4947">
        <v>10</v>
      </c>
      <c r="E4947">
        <v>4</v>
      </c>
      <c r="F4947">
        <v>0</v>
      </c>
      <c r="G4947">
        <v>0</v>
      </c>
      <c r="H4947">
        <v>180</v>
      </c>
      <c r="I4947">
        <v>0</v>
      </c>
      <c r="J4947">
        <v>19.989999999999998</v>
      </c>
      <c r="K4947">
        <v>0</v>
      </c>
    </row>
    <row r="4948" spans="1:11" x14ac:dyDescent="0.2">
      <c r="A4948">
        <v>47921</v>
      </c>
      <c r="B4948">
        <v>297515</v>
      </c>
      <c r="C4948" t="s">
        <v>7944</v>
      </c>
      <c r="D4948">
        <v>10</v>
      </c>
      <c r="E4948">
        <v>30</v>
      </c>
      <c r="F4948">
        <v>0</v>
      </c>
      <c r="G4948">
        <v>0</v>
      </c>
      <c r="H4948">
        <v>30</v>
      </c>
      <c r="I4948">
        <v>0</v>
      </c>
      <c r="J4948">
        <v>1</v>
      </c>
      <c r="K4948">
        <v>0</v>
      </c>
    </row>
    <row r="4949" spans="1:11" x14ac:dyDescent="0.2">
      <c r="A4949">
        <v>40950</v>
      </c>
      <c r="B4949">
        <v>297532</v>
      </c>
      <c r="C4949" t="s">
        <v>8388</v>
      </c>
      <c r="D4949">
        <v>10</v>
      </c>
      <c r="E4949">
        <v>12</v>
      </c>
      <c r="F4949">
        <v>0</v>
      </c>
      <c r="G4949">
        <v>0</v>
      </c>
      <c r="H4949">
        <v>49</v>
      </c>
      <c r="I4949">
        <v>0</v>
      </c>
      <c r="J4949">
        <v>1</v>
      </c>
      <c r="K4949">
        <v>0</v>
      </c>
    </row>
    <row r="4950" spans="1:11" x14ac:dyDescent="0.2">
      <c r="A4950">
        <v>40951</v>
      </c>
      <c r="B4950">
        <v>297555</v>
      </c>
      <c r="C4950" t="s">
        <v>8389</v>
      </c>
      <c r="D4950">
        <v>10</v>
      </c>
      <c r="E4950">
        <v>12</v>
      </c>
      <c r="F4950">
        <v>0</v>
      </c>
      <c r="G4950">
        <v>0</v>
      </c>
      <c r="H4950">
        <v>54</v>
      </c>
      <c r="I4950">
        <v>0</v>
      </c>
      <c r="J4950">
        <v>1</v>
      </c>
      <c r="K4950">
        <v>0</v>
      </c>
    </row>
    <row r="4951" spans="1:11" x14ac:dyDescent="0.2">
      <c r="A4951">
        <v>30833</v>
      </c>
      <c r="B4951">
        <v>297557</v>
      </c>
      <c r="C4951" t="s">
        <v>8390</v>
      </c>
      <c r="D4951">
        <v>10</v>
      </c>
      <c r="E4951">
        <v>1</v>
      </c>
      <c r="F4951">
        <v>0</v>
      </c>
      <c r="G4951">
        <v>0</v>
      </c>
      <c r="H4951">
        <v>24</v>
      </c>
      <c r="I4951">
        <v>0</v>
      </c>
      <c r="J4951">
        <v>49.99</v>
      </c>
      <c r="K4951">
        <v>0</v>
      </c>
    </row>
    <row r="4952" spans="1:11" x14ac:dyDescent="0.2">
      <c r="A4952">
        <v>35938</v>
      </c>
      <c r="B4952">
        <v>297561</v>
      </c>
      <c r="C4952" t="s">
        <v>8391</v>
      </c>
      <c r="D4952">
        <v>10</v>
      </c>
      <c r="E4952">
        <v>8</v>
      </c>
      <c r="F4952">
        <v>0</v>
      </c>
      <c r="G4952">
        <v>0</v>
      </c>
      <c r="H4952">
        <v>20</v>
      </c>
      <c r="I4952">
        <v>0</v>
      </c>
      <c r="J4952">
        <v>8.99</v>
      </c>
      <c r="K4952">
        <v>0</v>
      </c>
    </row>
    <row r="4953" spans="1:11" x14ac:dyDescent="0.2">
      <c r="A4953">
        <v>34809</v>
      </c>
      <c r="B4953">
        <v>297587</v>
      </c>
      <c r="C4953" t="s">
        <v>8392</v>
      </c>
      <c r="D4953">
        <v>10</v>
      </c>
      <c r="E4953">
        <v>1</v>
      </c>
      <c r="F4953">
        <v>0</v>
      </c>
      <c r="G4953">
        <v>0</v>
      </c>
      <c r="H4953">
        <v>36</v>
      </c>
      <c r="I4953">
        <v>0</v>
      </c>
      <c r="J4953">
        <v>74.989999999999995</v>
      </c>
      <c r="K4953">
        <v>0</v>
      </c>
    </row>
    <row r="4954" spans="1:11" x14ac:dyDescent="0.2">
      <c r="A4954">
        <v>41428</v>
      </c>
      <c r="B4954">
        <v>297630</v>
      </c>
      <c r="C4954" t="s">
        <v>8210</v>
      </c>
      <c r="D4954">
        <v>10</v>
      </c>
      <c r="E4954">
        <v>20</v>
      </c>
      <c r="F4954">
        <v>0</v>
      </c>
      <c r="G4954">
        <v>0</v>
      </c>
      <c r="H4954">
        <v>268</v>
      </c>
      <c r="I4954">
        <v>0</v>
      </c>
      <c r="J4954">
        <v>1</v>
      </c>
      <c r="K4954">
        <v>0</v>
      </c>
    </row>
    <row r="4955" spans="1:11" x14ac:dyDescent="0.2">
      <c r="A4955">
        <v>45807</v>
      </c>
      <c r="B4955">
        <v>297637</v>
      </c>
      <c r="C4955" t="s">
        <v>8393</v>
      </c>
      <c r="D4955">
        <v>10</v>
      </c>
      <c r="E4955">
        <v>8</v>
      </c>
      <c r="F4955">
        <v>0</v>
      </c>
      <c r="G4955">
        <v>0</v>
      </c>
      <c r="H4955">
        <v>224</v>
      </c>
      <c r="I4955">
        <v>0</v>
      </c>
      <c r="J4955">
        <v>5.99</v>
      </c>
      <c r="K4955">
        <v>0</v>
      </c>
    </row>
    <row r="4956" spans="1:11" x14ac:dyDescent="0.2">
      <c r="A4956">
        <v>35939</v>
      </c>
      <c r="B4956">
        <v>297642</v>
      </c>
      <c r="C4956" t="s">
        <v>8394</v>
      </c>
      <c r="D4956">
        <v>10</v>
      </c>
      <c r="E4956">
        <v>12</v>
      </c>
      <c r="F4956">
        <v>0</v>
      </c>
      <c r="G4956">
        <v>0</v>
      </c>
      <c r="H4956">
        <v>14</v>
      </c>
      <c r="I4956">
        <v>0</v>
      </c>
      <c r="J4956">
        <v>1.99</v>
      </c>
      <c r="K4956">
        <v>0</v>
      </c>
    </row>
    <row r="4957" spans="1:11" x14ac:dyDescent="0.2">
      <c r="A4957">
        <v>47400</v>
      </c>
      <c r="B4957">
        <v>297646</v>
      </c>
      <c r="C4957" t="s">
        <v>8395</v>
      </c>
      <c r="D4957">
        <v>10</v>
      </c>
      <c r="E4957">
        <v>24</v>
      </c>
      <c r="F4957">
        <v>0</v>
      </c>
      <c r="G4957">
        <v>0</v>
      </c>
      <c r="H4957">
        <v>21</v>
      </c>
      <c r="I4957">
        <v>0</v>
      </c>
      <c r="J4957">
        <v>2.99</v>
      </c>
      <c r="K4957">
        <v>0</v>
      </c>
    </row>
    <row r="4958" spans="1:11" x14ac:dyDescent="0.2">
      <c r="A4958">
        <v>45808</v>
      </c>
      <c r="B4958">
        <v>297651</v>
      </c>
      <c r="C4958" t="s">
        <v>8396</v>
      </c>
      <c r="D4958">
        <v>10</v>
      </c>
      <c r="E4958">
        <v>4</v>
      </c>
      <c r="F4958">
        <v>0</v>
      </c>
      <c r="G4958">
        <v>0</v>
      </c>
      <c r="H4958">
        <v>12</v>
      </c>
      <c r="I4958">
        <v>0</v>
      </c>
      <c r="J4958">
        <v>34.99</v>
      </c>
      <c r="K4958">
        <v>0</v>
      </c>
    </row>
    <row r="4959" spans="1:11" x14ac:dyDescent="0.2">
      <c r="A4959">
        <v>31812</v>
      </c>
      <c r="B4959">
        <v>297659</v>
      </c>
      <c r="C4959" t="s">
        <v>8397</v>
      </c>
      <c r="D4959">
        <v>10</v>
      </c>
      <c r="E4959">
        <v>10</v>
      </c>
      <c r="F4959">
        <v>0</v>
      </c>
      <c r="G4959">
        <v>0</v>
      </c>
      <c r="H4959">
        <v>30</v>
      </c>
      <c r="I4959">
        <v>0</v>
      </c>
      <c r="J4959">
        <v>16.989999999999998</v>
      </c>
      <c r="K4959">
        <v>0</v>
      </c>
    </row>
    <row r="4960" spans="1:11" x14ac:dyDescent="0.2">
      <c r="A4960">
        <v>29859</v>
      </c>
      <c r="B4960">
        <v>297660</v>
      </c>
      <c r="C4960" t="s">
        <v>8398</v>
      </c>
      <c r="D4960">
        <v>10</v>
      </c>
      <c r="E4960">
        <v>6</v>
      </c>
      <c r="F4960">
        <v>0</v>
      </c>
      <c r="G4960">
        <v>0</v>
      </c>
      <c r="H4960">
        <v>30</v>
      </c>
      <c r="I4960">
        <v>0</v>
      </c>
      <c r="J4960">
        <v>14.99</v>
      </c>
      <c r="K4960">
        <v>0</v>
      </c>
    </row>
    <row r="4961" spans="1:11" x14ac:dyDescent="0.2">
      <c r="A4961">
        <v>35940</v>
      </c>
      <c r="B4961">
        <v>297679</v>
      </c>
      <c r="C4961" t="s">
        <v>8399</v>
      </c>
      <c r="D4961">
        <v>10</v>
      </c>
      <c r="E4961">
        <v>12</v>
      </c>
      <c r="F4961">
        <v>0</v>
      </c>
      <c r="G4961">
        <v>0</v>
      </c>
      <c r="H4961">
        <v>15</v>
      </c>
      <c r="I4961">
        <v>0</v>
      </c>
      <c r="J4961">
        <v>4.99</v>
      </c>
      <c r="K4961">
        <v>0</v>
      </c>
    </row>
    <row r="4962" spans="1:11" x14ac:dyDescent="0.2">
      <c r="A4962">
        <v>35960</v>
      </c>
      <c r="B4962">
        <v>297688</v>
      </c>
      <c r="C4962" t="s">
        <v>8400</v>
      </c>
      <c r="D4962">
        <v>10</v>
      </c>
      <c r="E4962">
        <v>2</v>
      </c>
      <c r="F4962">
        <v>0</v>
      </c>
      <c r="G4962">
        <v>0</v>
      </c>
      <c r="H4962">
        <v>24</v>
      </c>
      <c r="I4962">
        <v>0</v>
      </c>
      <c r="J4962">
        <v>19.989999999999998</v>
      </c>
      <c r="K4962">
        <v>0</v>
      </c>
    </row>
    <row r="4963" spans="1:11" x14ac:dyDescent="0.2">
      <c r="A4963">
        <v>26822</v>
      </c>
      <c r="B4963">
        <v>297692</v>
      </c>
      <c r="C4963" t="s">
        <v>8401</v>
      </c>
      <c r="D4963">
        <v>10</v>
      </c>
      <c r="E4963">
        <v>8</v>
      </c>
      <c r="F4963">
        <v>0</v>
      </c>
      <c r="G4963">
        <v>0</v>
      </c>
      <c r="H4963">
        <v>416</v>
      </c>
      <c r="I4963">
        <v>0</v>
      </c>
      <c r="J4963">
        <v>3.99</v>
      </c>
      <c r="K4963">
        <v>0</v>
      </c>
    </row>
    <row r="4964" spans="1:11" x14ac:dyDescent="0.2">
      <c r="A4964">
        <v>49112</v>
      </c>
      <c r="B4964">
        <v>297693</v>
      </c>
      <c r="C4964" t="s">
        <v>8402</v>
      </c>
      <c r="D4964">
        <v>10</v>
      </c>
      <c r="E4964">
        <v>10</v>
      </c>
      <c r="F4964">
        <v>0</v>
      </c>
      <c r="G4964">
        <v>0</v>
      </c>
      <c r="H4964">
        <v>35</v>
      </c>
      <c r="I4964">
        <v>0</v>
      </c>
      <c r="J4964">
        <v>7.99</v>
      </c>
      <c r="K4964">
        <v>0</v>
      </c>
    </row>
    <row r="4965" spans="1:11" x14ac:dyDescent="0.2">
      <c r="A4965">
        <v>26824</v>
      </c>
      <c r="B4965">
        <v>297694</v>
      </c>
      <c r="C4965" t="s">
        <v>8403</v>
      </c>
      <c r="D4965">
        <v>10</v>
      </c>
      <c r="E4965">
        <v>20</v>
      </c>
      <c r="F4965">
        <v>0</v>
      </c>
      <c r="G4965">
        <v>0</v>
      </c>
      <c r="H4965">
        <v>72</v>
      </c>
      <c r="I4965">
        <v>0</v>
      </c>
      <c r="J4965">
        <v>2.99</v>
      </c>
      <c r="K4965">
        <v>0</v>
      </c>
    </row>
    <row r="4966" spans="1:11" x14ac:dyDescent="0.2">
      <c r="A4966">
        <v>35961</v>
      </c>
      <c r="B4966">
        <v>297696</v>
      </c>
      <c r="C4966" t="s">
        <v>8404</v>
      </c>
      <c r="D4966">
        <v>10</v>
      </c>
      <c r="E4966">
        <v>2</v>
      </c>
      <c r="F4966">
        <v>0</v>
      </c>
      <c r="G4966">
        <v>0</v>
      </c>
      <c r="H4966">
        <v>108</v>
      </c>
      <c r="I4966">
        <v>0</v>
      </c>
      <c r="J4966">
        <v>39.99</v>
      </c>
      <c r="K4966">
        <v>0</v>
      </c>
    </row>
    <row r="4967" spans="1:11" x14ac:dyDescent="0.2">
      <c r="A4967">
        <v>32933</v>
      </c>
      <c r="B4967">
        <v>297698</v>
      </c>
      <c r="C4967" t="s">
        <v>8405</v>
      </c>
      <c r="D4967">
        <v>10</v>
      </c>
      <c r="E4967">
        <v>6</v>
      </c>
      <c r="F4967">
        <v>0</v>
      </c>
      <c r="G4967">
        <v>0</v>
      </c>
      <c r="H4967">
        <v>540</v>
      </c>
      <c r="I4967">
        <v>0</v>
      </c>
      <c r="J4967">
        <v>1</v>
      </c>
      <c r="K4967">
        <v>0</v>
      </c>
    </row>
    <row r="4968" spans="1:11" x14ac:dyDescent="0.2">
      <c r="A4968">
        <v>40895</v>
      </c>
      <c r="B4968">
        <v>297701</v>
      </c>
      <c r="C4968" t="s">
        <v>8406</v>
      </c>
      <c r="D4968">
        <v>10</v>
      </c>
      <c r="E4968">
        <v>24</v>
      </c>
      <c r="F4968">
        <v>0</v>
      </c>
      <c r="G4968">
        <v>0</v>
      </c>
      <c r="H4968">
        <v>54</v>
      </c>
      <c r="I4968">
        <v>0</v>
      </c>
      <c r="J4968">
        <v>1</v>
      </c>
      <c r="K4968">
        <v>0</v>
      </c>
    </row>
    <row r="4969" spans="1:11" x14ac:dyDescent="0.2">
      <c r="A4969">
        <v>49113</v>
      </c>
      <c r="B4969">
        <v>297710</v>
      </c>
      <c r="C4969" t="s">
        <v>8407</v>
      </c>
      <c r="D4969">
        <v>10</v>
      </c>
      <c r="E4969">
        <v>10</v>
      </c>
      <c r="F4969">
        <v>1</v>
      </c>
      <c r="G4969">
        <v>11</v>
      </c>
      <c r="H4969">
        <v>80</v>
      </c>
      <c r="I4969">
        <v>0</v>
      </c>
      <c r="J4969">
        <v>11.99</v>
      </c>
      <c r="K4969">
        <v>131.88999999999999</v>
      </c>
    </row>
    <row r="4970" spans="1:11" x14ac:dyDescent="0.2">
      <c r="A4970">
        <v>30835</v>
      </c>
      <c r="B4970">
        <v>297713</v>
      </c>
      <c r="C4970" t="s">
        <v>8408</v>
      </c>
      <c r="D4970">
        <v>10</v>
      </c>
      <c r="E4970">
        <v>38</v>
      </c>
      <c r="F4970">
        <v>0</v>
      </c>
      <c r="G4970">
        <v>0</v>
      </c>
      <c r="H4970">
        <v>44</v>
      </c>
      <c r="I4970">
        <v>0</v>
      </c>
      <c r="J4970">
        <v>4.49</v>
      </c>
      <c r="K4970">
        <v>0</v>
      </c>
    </row>
    <row r="4971" spans="1:11" x14ac:dyDescent="0.2">
      <c r="A4971">
        <v>40896</v>
      </c>
      <c r="B4971">
        <v>297714</v>
      </c>
      <c r="C4971" t="s">
        <v>8409</v>
      </c>
      <c r="D4971">
        <v>10</v>
      </c>
      <c r="E4971">
        <v>10</v>
      </c>
      <c r="F4971">
        <v>0</v>
      </c>
      <c r="G4971">
        <v>0</v>
      </c>
      <c r="H4971">
        <v>480</v>
      </c>
      <c r="I4971">
        <v>0</v>
      </c>
      <c r="J4971">
        <v>1</v>
      </c>
      <c r="K4971">
        <v>0</v>
      </c>
    </row>
    <row r="4972" spans="1:11" x14ac:dyDescent="0.2">
      <c r="A4972">
        <v>46813</v>
      </c>
      <c r="B4972">
        <v>297717</v>
      </c>
      <c r="C4972" t="s">
        <v>8410</v>
      </c>
      <c r="D4972">
        <v>10</v>
      </c>
      <c r="E4972">
        <v>6</v>
      </c>
      <c r="F4972">
        <v>1</v>
      </c>
      <c r="G4972">
        <v>6</v>
      </c>
      <c r="H4972">
        <v>80</v>
      </c>
      <c r="I4972">
        <v>0</v>
      </c>
      <c r="J4972">
        <v>13.99</v>
      </c>
      <c r="K4972">
        <v>83.94</v>
      </c>
    </row>
    <row r="4973" spans="1:11" x14ac:dyDescent="0.2">
      <c r="A4973">
        <v>50805</v>
      </c>
      <c r="B4973">
        <v>297744</v>
      </c>
      <c r="C4973" t="s">
        <v>8411</v>
      </c>
      <c r="D4973">
        <v>10</v>
      </c>
      <c r="E4973">
        <v>24</v>
      </c>
      <c r="F4973">
        <v>0</v>
      </c>
      <c r="G4973">
        <v>0</v>
      </c>
      <c r="H4973">
        <v>100</v>
      </c>
      <c r="I4973">
        <v>0</v>
      </c>
      <c r="J4973">
        <v>3.99</v>
      </c>
      <c r="K4973">
        <v>0</v>
      </c>
    </row>
    <row r="4974" spans="1:11" x14ac:dyDescent="0.2">
      <c r="A4974">
        <v>40809</v>
      </c>
      <c r="B4974">
        <v>297746</v>
      </c>
      <c r="C4974" t="s">
        <v>8143</v>
      </c>
      <c r="D4974">
        <v>10</v>
      </c>
      <c r="E4974">
        <v>20</v>
      </c>
      <c r="F4974">
        <v>0</v>
      </c>
      <c r="G4974">
        <v>0</v>
      </c>
      <c r="H4974">
        <v>16</v>
      </c>
      <c r="I4974">
        <v>0</v>
      </c>
      <c r="J4974">
        <v>6.99</v>
      </c>
      <c r="K4974">
        <v>0</v>
      </c>
    </row>
    <row r="4975" spans="1:11" x14ac:dyDescent="0.2">
      <c r="A4975">
        <v>42807</v>
      </c>
      <c r="B4975">
        <v>297753</v>
      </c>
      <c r="C4975" t="s">
        <v>8144</v>
      </c>
      <c r="D4975">
        <v>10</v>
      </c>
      <c r="E4975">
        <v>17</v>
      </c>
      <c r="F4975">
        <v>0</v>
      </c>
      <c r="G4975">
        <v>0</v>
      </c>
      <c r="H4975">
        <v>48</v>
      </c>
      <c r="I4975">
        <v>0</v>
      </c>
      <c r="J4975">
        <v>4.99</v>
      </c>
      <c r="K4975">
        <v>0</v>
      </c>
    </row>
    <row r="4976" spans="1:11" x14ac:dyDescent="0.2">
      <c r="A4976">
        <v>44814</v>
      </c>
      <c r="B4976">
        <v>297763</v>
      </c>
      <c r="C4976" t="s">
        <v>8412</v>
      </c>
      <c r="D4976">
        <v>10</v>
      </c>
      <c r="E4976">
        <v>8</v>
      </c>
      <c r="F4976">
        <v>0</v>
      </c>
      <c r="G4976">
        <v>0</v>
      </c>
      <c r="H4976">
        <v>33</v>
      </c>
      <c r="I4976">
        <v>0</v>
      </c>
      <c r="J4976">
        <v>9.99</v>
      </c>
      <c r="K4976">
        <v>0</v>
      </c>
    </row>
    <row r="4977" spans="1:11" x14ac:dyDescent="0.2">
      <c r="A4977">
        <v>48814</v>
      </c>
      <c r="B4977">
        <v>297847</v>
      </c>
      <c r="C4977" t="s">
        <v>8413</v>
      </c>
      <c r="D4977">
        <v>10</v>
      </c>
      <c r="E4977">
        <v>8</v>
      </c>
      <c r="F4977">
        <v>0</v>
      </c>
      <c r="G4977">
        <v>0</v>
      </c>
      <c r="H4977">
        <v>24</v>
      </c>
      <c r="I4977">
        <v>0</v>
      </c>
      <c r="J4977">
        <v>5.99</v>
      </c>
      <c r="K4977">
        <v>0</v>
      </c>
    </row>
    <row r="4978" spans="1:11" x14ac:dyDescent="0.2">
      <c r="A4978">
        <v>29939</v>
      </c>
      <c r="B4978">
        <v>297865</v>
      </c>
      <c r="C4978" t="s">
        <v>8414</v>
      </c>
      <c r="D4978">
        <v>10</v>
      </c>
      <c r="E4978">
        <v>24</v>
      </c>
      <c r="F4978">
        <v>0</v>
      </c>
      <c r="G4978">
        <v>0</v>
      </c>
      <c r="H4978">
        <v>270</v>
      </c>
      <c r="I4978">
        <v>0</v>
      </c>
      <c r="J4978">
        <v>1</v>
      </c>
      <c r="K4978">
        <v>0</v>
      </c>
    </row>
    <row r="4979" spans="1:11" x14ac:dyDescent="0.2">
      <c r="A4979">
        <v>51050</v>
      </c>
      <c r="B4979">
        <v>297885</v>
      </c>
      <c r="C4979" t="s">
        <v>8415</v>
      </c>
      <c r="D4979">
        <v>10</v>
      </c>
      <c r="E4979">
        <v>16</v>
      </c>
      <c r="F4979">
        <v>0</v>
      </c>
      <c r="G4979">
        <v>0</v>
      </c>
      <c r="H4979">
        <v>70</v>
      </c>
      <c r="I4979">
        <v>0</v>
      </c>
      <c r="J4979">
        <v>3.99</v>
      </c>
      <c r="K4979">
        <v>0</v>
      </c>
    </row>
    <row r="4980" spans="1:11" x14ac:dyDescent="0.2">
      <c r="A4980">
        <v>50112</v>
      </c>
      <c r="B4980">
        <v>297896</v>
      </c>
      <c r="C4980" t="s">
        <v>7957</v>
      </c>
      <c r="D4980">
        <v>10</v>
      </c>
      <c r="E4980">
        <v>5</v>
      </c>
      <c r="F4980">
        <v>3</v>
      </c>
      <c r="G4980">
        <v>15</v>
      </c>
      <c r="H4980">
        <v>189</v>
      </c>
      <c r="I4980">
        <v>0</v>
      </c>
      <c r="J4980">
        <v>19.989999999999998</v>
      </c>
      <c r="K4980">
        <v>299.85000000000002</v>
      </c>
    </row>
    <row r="4981" spans="1:11" x14ac:dyDescent="0.2">
      <c r="A4981">
        <v>50113</v>
      </c>
      <c r="B4981">
        <v>297903</v>
      </c>
      <c r="C4981" t="s">
        <v>8416</v>
      </c>
      <c r="D4981">
        <v>10</v>
      </c>
      <c r="E4981">
        <v>4</v>
      </c>
      <c r="F4981">
        <v>0</v>
      </c>
      <c r="G4981">
        <v>0</v>
      </c>
      <c r="H4981">
        <v>120</v>
      </c>
      <c r="I4981">
        <v>0</v>
      </c>
      <c r="J4981">
        <v>26.99</v>
      </c>
      <c r="K4981">
        <v>0</v>
      </c>
    </row>
    <row r="4982" spans="1:11" x14ac:dyDescent="0.2">
      <c r="A4982">
        <v>26826</v>
      </c>
      <c r="B4982">
        <v>297921</v>
      </c>
      <c r="C4982" t="s">
        <v>8417</v>
      </c>
      <c r="D4982">
        <v>10</v>
      </c>
      <c r="E4982">
        <v>14</v>
      </c>
      <c r="F4982">
        <v>0</v>
      </c>
      <c r="G4982">
        <v>0</v>
      </c>
      <c r="H4982">
        <v>80</v>
      </c>
      <c r="I4982">
        <v>0</v>
      </c>
      <c r="J4982">
        <v>4.99</v>
      </c>
      <c r="K4982">
        <v>0</v>
      </c>
    </row>
    <row r="4983" spans="1:11" x14ac:dyDescent="0.2">
      <c r="A4983">
        <v>40897</v>
      </c>
      <c r="B4983">
        <v>297922</v>
      </c>
      <c r="C4983" t="s">
        <v>8418</v>
      </c>
      <c r="D4983">
        <v>10</v>
      </c>
      <c r="E4983">
        <v>30</v>
      </c>
      <c r="F4983">
        <v>0</v>
      </c>
      <c r="G4983">
        <v>0</v>
      </c>
      <c r="H4983">
        <v>116</v>
      </c>
      <c r="I4983">
        <v>0</v>
      </c>
      <c r="J4983">
        <v>1</v>
      </c>
      <c r="K4983">
        <v>0</v>
      </c>
    </row>
    <row r="4984" spans="1:11" x14ac:dyDescent="0.2">
      <c r="A4984">
        <v>26827</v>
      </c>
      <c r="B4984">
        <v>297923</v>
      </c>
      <c r="C4984" t="s">
        <v>8419</v>
      </c>
      <c r="D4984">
        <v>10</v>
      </c>
      <c r="E4984">
        <v>10</v>
      </c>
      <c r="F4984">
        <v>0</v>
      </c>
      <c r="G4984">
        <v>0</v>
      </c>
      <c r="H4984">
        <v>63</v>
      </c>
      <c r="I4984">
        <v>0</v>
      </c>
      <c r="J4984">
        <v>3.99</v>
      </c>
      <c r="K4984">
        <v>0</v>
      </c>
    </row>
    <row r="4985" spans="1:11" x14ac:dyDescent="0.2">
      <c r="A4985">
        <v>27821</v>
      </c>
      <c r="B4985">
        <v>297924</v>
      </c>
      <c r="C4985" t="s">
        <v>8420</v>
      </c>
      <c r="D4985">
        <v>11</v>
      </c>
      <c r="E4985">
        <v>10</v>
      </c>
      <c r="F4985">
        <v>0</v>
      </c>
      <c r="G4985">
        <v>0</v>
      </c>
      <c r="H4985">
        <v>54</v>
      </c>
      <c r="I4985">
        <v>0</v>
      </c>
      <c r="J4985">
        <v>5.99</v>
      </c>
      <c r="K4985">
        <v>0</v>
      </c>
    </row>
    <row r="4986" spans="1:11" x14ac:dyDescent="0.2">
      <c r="A4986">
        <v>50114</v>
      </c>
      <c r="B4986">
        <v>297926</v>
      </c>
      <c r="C4986" t="s">
        <v>7956</v>
      </c>
      <c r="D4986">
        <v>10</v>
      </c>
      <c r="E4986">
        <v>4</v>
      </c>
      <c r="F4986">
        <v>0</v>
      </c>
      <c r="G4986">
        <v>0</v>
      </c>
      <c r="H4986">
        <v>55</v>
      </c>
      <c r="I4986">
        <v>0</v>
      </c>
      <c r="J4986">
        <v>21.99</v>
      </c>
      <c r="K4986">
        <v>0</v>
      </c>
    </row>
    <row r="4987" spans="1:11" x14ac:dyDescent="0.2">
      <c r="A4987">
        <v>50115</v>
      </c>
      <c r="B4987">
        <v>297928</v>
      </c>
      <c r="C4987" t="s">
        <v>8421</v>
      </c>
      <c r="D4987">
        <v>10</v>
      </c>
      <c r="E4987">
        <v>4</v>
      </c>
      <c r="F4987">
        <v>0</v>
      </c>
      <c r="G4987">
        <v>0</v>
      </c>
      <c r="H4987">
        <v>264</v>
      </c>
      <c r="I4987">
        <v>0</v>
      </c>
      <c r="J4987">
        <v>24.99</v>
      </c>
      <c r="K4987">
        <v>0</v>
      </c>
    </row>
    <row r="4988" spans="1:11" x14ac:dyDescent="0.2">
      <c r="A4988">
        <v>50116</v>
      </c>
      <c r="B4988">
        <v>297929</v>
      </c>
      <c r="C4988" t="s">
        <v>8422</v>
      </c>
      <c r="D4988">
        <v>10</v>
      </c>
      <c r="E4988">
        <v>4</v>
      </c>
      <c r="F4988">
        <v>0</v>
      </c>
      <c r="G4988">
        <v>0</v>
      </c>
      <c r="H4988">
        <v>295</v>
      </c>
      <c r="I4988">
        <v>0</v>
      </c>
      <c r="J4988">
        <v>26.99</v>
      </c>
      <c r="K4988">
        <v>0</v>
      </c>
    </row>
    <row r="4989" spans="1:11" x14ac:dyDescent="0.2">
      <c r="A4989">
        <v>45415</v>
      </c>
      <c r="B4989">
        <v>297932</v>
      </c>
      <c r="C4989" t="s">
        <v>8423</v>
      </c>
      <c r="D4989">
        <v>10</v>
      </c>
      <c r="E4989">
        <v>12</v>
      </c>
      <c r="F4989">
        <v>1</v>
      </c>
      <c r="G4989">
        <v>12</v>
      </c>
      <c r="H4989">
        <v>44</v>
      </c>
      <c r="I4989">
        <v>0</v>
      </c>
      <c r="J4989">
        <v>7.99</v>
      </c>
      <c r="K4989">
        <v>95.88</v>
      </c>
    </row>
    <row r="4990" spans="1:11" x14ac:dyDescent="0.2">
      <c r="A4990">
        <v>32934</v>
      </c>
      <c r="B4990">
        <v>297942</v>
      </c>
      <c r="C4990" t="s">
        <v>8424</v>
      </c>
      <c r="D4990">
        <v>10</v>
      </c>
      <c r="E4990">
        <v>70</v>
      </c>
      <c r="F4990">
        <v>0</v>
      </c>
      <c r="G4990">
        <v>0</v>
      </c>
      <c r="H4990">
        <v>30</v>
      </c>
      <c r="I4990">
        <v>0</v>
      </c>
      <c r="J4990">
        <v>1</v>
      </c>
      <c r="K4990">
        <v>0</v>
      </c>
    </row>
    <row r="4991" spans="1:11" x14ac:dyDescent="0.2">
      <c r="A4991">
        <v>28838</v>
      </c>
      <c r="B4991">
        <v>297967</v>
      </c>
      <c r="C4991" t="s">
        <v>8425</v>
      </c>
      <c r="D4991">
        <v>10</v>
      </c>
      <c r="E4991">
        <v>12</v>
      </c>
      <c r="F4991">
        <v>0</v>
      </c>
      <c r="G4991">
        <v>0</v>
      </c>
      <c r="H4991">
        <v>20</v>
      </c>
      <c r="I4991">
        <v>0</v>
      </c>
      <c r="J4991">
        <v>6.99</v>
      </c>
      <c r="K4991">
        <v>0</v>
      </c>
    </row>
    <row r="4992" spans="1:11" x14ac:dyDescent="0.2">
      <c r="A4992">
        <v>50016</v>
      </c>
      <c r="B4992">
        <v>297968</v>
      </c>
      <c r="C4992" t="s">
        <v>8426</v>
      </c>
      <c r="D4992">
        <v>10</v>
      </c>
      <c r="E4992">
        <v>4</v>
      </c>
      <c r="F4992">
        <v>0</v>
      </c>
      <c r="G4992">
        <v>0</v>
      </c>
      <c r="H4992">
        <v>10</v>
      </c>
      <c r="I4992">
        <v>0</v>
      </c>
      <c r="J4992">
        <v>12.99</v>
      </c>
      <c r="K4992">
        <v>0</v>
      </c>
    </row>
    <row r="4993" spans="1:11" x14ac:dyDescent="0.2">
      <c r="A4993">
        <v>27822</v>
      </c>
      <c r="B4993">
        <v>297993</v>
      </c>
      <c r="C4993" t="s">
        <v>8427</v>
      </c>
      <c r="D4993">
        <v>11</v>
      </c>
      <c r="E4993">
        <v>14</v>
      </c>
      <c r="F4993">
        <v>0</v>
      </c>
      <c r="G4993">
        <v>0</v>
      </c>
      <c r="H4993">
        <v>64</v>
      </c>
      <c r="I4993">
        <v>0</v>
      </c>
      <c r="J4993">
        <v>5.99</v>
      </c>
      <c r="K4993">
        <v>0</v>
      </c>
    </row>
    <row r="4994" spans="1:11" x14ac:dyDescent="0.2">
      <c r="A4994">
        <v>30837</v>
      </c>
      <c r="B4994">
        <v>297994</v>
      </c>
      <c r="C4994" t="s">
        <v>8428</v>
      </c>
      <c r="D4994">
        <v>10</v>
      </c>
      <c r="E4994">
        <v>10</v>
      </c>
      <c r="F4994">
        <v>0</v>
      </c>
      <c r="G4994">
        <v>0</v>
      </c>
      <c r="H4994">
        <v>40</v>
      </c>
      <c r="I4994">
        <v>0</v>
      </c>
      <c r="J4994">
        <v>5.99</v>
      </c>
      <c r="K4994">
        <v>0</v>
      </c>
    </row>
    <row r="4995" spans="1:11" x14ac:dyDescent="0.2">
      <c r="A4995">
        <v>30838</v>
      </c>
      <c r="B4995">
        <v>297995</v>
      </c>
      <c r="C4995" t="s">
        <v>8429</v>
      </c>
      <c r="D4995">
        <v>10</v>
      </c>
      <c r="E4995">
        <v>10</v>
      </c>
      <c r="F4995">
        <v>0</v>
      </c>
      <c r="G4995">
        <v>0</v>
      </c>
      <c r="H4995">
        <v>40</v>
      </c>
      <c r="I4995">
        <v>0</v>
      </c>
      <c r="J4995">
        <v>4.99</v>
      </c>
      <c r="K4995">
        <v>0</v>
      </c>
    </row>
    <row r="4996" spans="1:11" x14ac:dyDescent="0.2">
      <c r="A4996">
        <v>30839</v>
      </c>
      <c r="B4996">
        <v>297996</v>
      </c>
      <c r="C4996" t="s">
        <v>8430</v>
      </c>
      <c r="D4996">
        <v>10</v>
      </c>
      <c r="E4996">
        <v>10</v>
      </c>
      <c r="F4996">
        <v>0</v>
      </c>
      <c r="G4996">
        <v>0</v>
      </c>
      <c r="H4996">
        <v>96</v>
      </c>
      <c r="I4996">
        <v>0</v>
      </c>
      <c r="J4996">
        <v>3.49</v>
      </c>
      <c r="K4996">
        <v>0</v>
      </c>
    </row>
    <row r="4997" spans="1:11" x14ac:dyDescent="0.2">
      <c r="A4997">
        <v>30840</v>
      </c>
      <c r="B4997">
        <v>297997</v>
      </c>
      <c r="C4997" t="s">
        <v>8431</v>
      </c>
      <c r="D4997">
        <v>10</v>
      </c>
      <c r="E4997">
        <v>10</v>
      </c>
      <c r="F4997">
        <v>0</v>
      </c>
      <c r="G4997">
        <v>0</v>
      </c>
      <c r="H4997">
        <v>25</v>
      </c>
      <c r="I4997">
        <v>0</v>
      </c>
      <c r="J4997">
        <v>7.99</v>
      </c>
      <c r="K4997">
        <v>0</v>
      </c>
    </row>
    <row r="4998" spans="1:11" x14ac:dyDescent="0.2">
      <c r="A4998">
        <v>30841</v>
      </c>
      <c r="B4998">
        <v>297999</v>
      </c>
      <c r="C4998" t="s">
        <v>8432</v>
      </c>
      <c r="D4998">
        <v>10</v>
      </c>
      <c r="E4998">
        <v>10</v>
      </c>
      <c r="F4998">
        <v>0</v>
      </c>
      <c r="G4998">
        <v>0</v>
      </c>
      <c r="H4998">
        <v>40</v>
      </c>
      <c r="I4998">
        <v>0</v>
      </c>
      <c r="J4998">
        <v>6.99</v>
      </c>
      <c r="K4998">
        <v>0</v>
      </c>
    </row>
    <row r="4999" spans="1:11" x14ac:dyDescent="0.2">
      <c r="A4999">
        <v>30842</v>
      </c>
      <c r="B4999">
        <v>298001</v>
      </c>
      <c r="C4999" t="s">
        <v>8144</v>
      </c>
      <c r="D4999">
        <v>10</v>
      </c>
      <c r="E4999">
        <v>10</v>
      </c>
      <c r="F4999">
        <v>0</v>
      </c>
      <c r="G4999">
        <v>0</v>
      </c>
      <c r="H4999">
        <v>105</v>
      </c>
      <c r="I4999">
        <v>0</v>
      </c>
      <c r="J4999">
        <v>5.99</v>
      </c>
      <c r="K4999">
        <v>0</v>
      </c>
    </row>
    <row r="5000" spans="1:11" x14ac:dyDescent="0.2">
      <c r="A5000">
        <v>51809</v>
      </c>
      <c r="B5000">
        <v>298002</v>
      </c>
      <c r="C5000" t="s">
        <v>8433</v>
      </c>
      <c r="D5000">
        <v>10</v>
      </c>
      <c r="E5000">
        <v>12</v>
      </c>
      <c r="F5000">
        <v>2</v>
      </c>
      <c r="G5000">
        <v>26</v>
      </c>
      <c r="H5000">
        <v>15</v>
      </c>
      <c r="I5000">
        <v>0.1</v>
      </c>
      <c r="J5000">
        <v>11.99</v>
      </c>
      <c r="K5000">
        <v>311.74</v>
      </c>
    </row>
    <row r="5001" spans="1:11" x14ac:dyDescent="0.2">
      <c r="A5001">
        <v>30844</v>
      </c>
      <c r="B5001">
        <v>298006</v>
      </c>
      <c r="C5001" t="s">
        <v>8434</v>
      </c>
      <c r="D5001">
        <v>10</v>
      </c>
      <c r="E5001">
        <v>10</v>
      </c>
      <c r="F5001">
        <v>0</v>
      </c>
      <c r="G5001">
        <v>0</v>
      </c>
      <c r="H5001">
        <v>48</v>
      </c>
      <c r="I5001">
        <v>0</v>
      </c>
      <c r="J5001">
        <v>9.99</v>
      </c>
      <c r="K5001">
        <v>0</v>
      </c>
    </row>
    <row r="5002" spans="1:11" x14ac:dyDescent="0.2">
      <c r="A5002">
        <v>30845</v>
      </c>
      <c r="B5002">
        <v>298007</v>
      </c>
      <c r="C5002" t="s">
        <v>8435</v>
      </c>
      <c r="D5002">
        <v>10</v>
      </c>
      <c r="E5002">
        <v>10</v>
      </c>
      <c r="F5002">
        <v>0</v>
      </c>
      <c r="G5002">
        <v>0</v>
      </c>
      <c r="H5002">
        <v>24</v>
      </c>
      <c r="I5002">
        <v>0</v>
      </c>
      <c r="J5002">
        <v>16.989999999999998</v>
      </c>
      <c r="K5002">
        <v>0</v>
      </c>
    </row>
    <row r="5003" spans="1:11" x14ac:dyDescent="0.2">
      <c r="A5003">
        <v>30846</v>
      </c>
      <c r="B5003">
        <v>298008</v>
      </c>
      <c r="C5003" t="s">
        <v>8436</v>
      </c>
      <c r="D5003">
        <v>10</v>
      </c>
      <c r="E5003">
        <v>6</v>
      </c>
      <c r="F5003">
        <v>0</v>
      </c>
      <c r="G5003">
        <v>0</v>
      </c>
      <c r="H5003">
        <v>40</v>
      </c>
      <c r="I5003">
        <v>0</v>
      </c>
      <c r="J5003">
        <v>19.989999999999998</v>
      </c>
      <c r="K5003">
        <v>0</v>
      </c>
    </row>
    <row r="5004" spans="1:11" x14ac:dyDescent="0.2">
      <c r="A5004">
        <v>30847</v>
      </c>
      <c r="B5004">
        <v>298012</v>
      </c>
      <c r="C5004" t="s">
        <v>8160</v>
      </c>
      <c r="D5004">
        <v>10</v>
      </c>
      <c r="E5004">
        <v>9</v>
      </c>
      <c r="F5004">
        <v>0</v>
      </c>
      <c r="G5004">
        <v>0</v>
      </c>
      <c r="H5004">
        <v>50</v>
      </c>
      <c r="I5004">
        <v>0</v>
      </c>
      <c r="J5004">
        <v>4.99</v>
      </c>
      <c r="K5004">
        <v>0</v>
      </c>
    </row>
    <row r="5005" spans="1:11" x14ac:dyDescent="0.2">
      <c r="A5005">
        <v>52019</v>
      </c>
      <c r="B5005">
        <v>298013</v>
      </c>
      <c r="C5005" t="s">
        <v>7794</v>
      </c>
      <c r="D5005">
        <v>10</v>
      </c>
      <c r="E5005">
        <v>9</v>
      </c>
      <c r="F5005">
        <v>0</v>
      </c>
      <c r="G5005">
        <v>0</v>
      </c>
      <c r="H5005">
        <v>45</v>
      </c>
      <c r="I5005">
        <v>0</v>
      </c>
      <c r="J5005">
        <v>5.99</v>
      </c>
      <c r="K5005">
        <v>0</v>
      </c>
    </row>
    <row r="5006" spans="1:11" x14ac:dyDescent="0.2">
      <c r="A5006">
        <v>30849</v>
      </c>
      <c r="B5006">
        <v>298015</v>
      </c>
      <c r="C5006" t="s">
        <v>7599</v>
      </c>
      <c r="D5006">
        <v>10</v>
      </c>
      <c r="E5006">
        <v>9</v>
      </c>
      <c r="F5006">
        <v>0</v>
      </c>
      <c r="G5006">
        <v>0</v>
      </c>
      <c r="H5006">
        <v>40</v>
      </c>
      <c r="I5006">
        <v>0</v>
      </c>
      <c r="J5006">
        <v>8.99</v>
      </c>
      <c r="K5006">
        <v>0</v>
      </c>
    </row>
    <row r="5007" spans="1:11" x14ac:dyDescent="0.2">
      <c r="A5007">
        <v>30850</v>
      </c>
      <c r="B5007">
        <v>298016</v>
      </c>
      <c r="C5007" t="s">
        <v>8437</v>
      </c>
      <c r="D5007">
        <v>10</v>
      </c>
      <c r="E5007">
        <v>8</v>
      </c>
      <c r="F5007">
        <v>0</v>
      </c>
      <c r="G5007">
        <v>0</v>
      </c>
      <c r="H5007">
        <v>8</v>
      </c>
      <c r="I5007">
        <v>0</v>
      </c>
      <c r="J5007">
        <v>8.99</v>
      </c>
      <c r="K5007">
        <v>0</v>
      </c>
    </row>
    <row r="5008" spans="1:11" x14ac:dyDescent="0.2">
      <c r="B5008">
        <v>298042</v>
      </c>
      <c r="C5008" t="s">
        <v>8438</v>
      </c>
      <c r="D5008">
        <v>12</v>
      </c>
      <c r="E5008">
        <v>12</v>
      </c>
      <c r="F5008">
        <v>0</v>
      </c>
      <c r="G5008">
        <v>0</v>
      </c>
      <c r="H5008">
        <v>48</v>
      </c>
      <c r="I5008">
        <v>0</v>
      </c>
      <c r="J5008">
        <v>5.99</v>
      </c>
      <c r="K5008">
        <v>0</v>
      </c>
    </row>
    <row r="5009" spans="1:11" x14ac:dyDescent="0.2">
      <c r="A5009">
        <v>40898</v>
      </c>
      <c r="B5009">
        <v>298064</v>
      </c>
      <c r="C5009" t="s">
        <v>8439</v>
      </c>
      <c r="D5009">
        <v>10</v>
      </c>
      <c r="E5009">
        <v>10</v>
      </c>
      <c r="F5009">
        <v>0</v>
      </c>
      <c r="G5009">
        <v>0</v>
      </c>
      <c r="H5009">
        <v>24</v>
      </c>
      <c r="I5009">
        <v>0</v>
      </c>
      <c r="J5009">
        <v>1</v>
      </c>
      <c r="K5009">
        <v>0</v>
      </c>
    </row>
    <row r="5010" spans="1:11" x14ac:dyDescent="0.2">
      <c r="A5010">
        <v>25997</v>
      </c>
      <c r="B5010">
        <v>298086</v>
      </c>
      <c r="C5010" t="s">
        <v>8440</v>
      </c>
      <c r="D5010">
        <v>10</v>
      </c>
      <c r="E5010">
        <v>18</v>
      </c>
      <c r="F5010">
        <v>0</v>
      </c>
      <c r="G5010">
        <v>0</v>
      </c>
      <c r="H5010">
        <v>36</v>
      </c>
      <c r="I5010">
        <v>0</v>
      </c>
      <c r="J5010">
        <v>1</v>
      </c>
      <c r="K5010">
        <v>0</v>
      </c>
    </row>
    <row r="5011" spans="1:11" x14ac:dyDescent="0.2">
      <c r="A5011">
        <v>25998</v>
      </c>
      <c r="B5011">
        <v>298087</v>
      </c>
      <c r="C5011" t="s">
        <v>8441</v>
      </c>
      <c r="D5011">
        <v>10</v>
      </c>
      <c r="E5011">
        <v>18</v>
      </c>
      <c r="F5011">
        <v>0</v>
      </c>
      <c r="G5011">
        <v>0</v>
      </c>
      <c r="H5011">
        <v>30</v>
      </c>
      <c r="I5011">
        <v>0</v>
      </c>
      <c r="J5011">
        <v>1</v>
      </c>
      <c r="K5011">
        <v>0</v>
      </c>
    </row>
    <row r="5012" spans="1:11" x14ac:dyDescent="0.2">
      <c r="A5012">
        <v>32999</v>
      </c>
      <c r="B5012">
        <v>298135</v>
      </c>
      <c r="C5012" t="s">
        <v>8442</v>
      </c>
      <c r="D5012">
        <v>10</v>
      </c>
      <c r="E5012">
        <v>12</v>
      </c>
      <c r="F5012">
        <v>0</v>
      </c>
      <c r="G5012">
        <v>0</v>
      </c>
      <c r="H5012">
        <v>132</v>
      </c>
      <c r="I5012">
        <v>0</v>
      </c>
      <c r="J5012">
        <v>1</v>
      </c>
      <c r="K5012">
        <v>0</v>
      </c>
    </row>
    <row r="5013" spans="1:11" x14ac:dyDescent="0.2">
      <c r="A5013">
        <v>51051</v>
      </c>
      <c r="B5013">
        <v>298175</v>
      </c>
      <c r="C5013" t="s">
        <v>8443</v>
      </c>
      <c r="D5013">
        <v>10</v>
      </c>
      <c r="E5013">
        <v>14</v>
      </c>
      <c r="F5013">
        <v>0</v>
      </c>
      <c r="G5013">
        <v>0</v>
      </c>
      <c r="H5013">
        <v>90</v>
      </c>
      <c r="I5013">
        <v>0</v>
      </c>
      <c r="J5013">
        <v>4.99</v>
      </c>
      <c r="K5013">
        <v>0</v>
      </c>
    </row>
    <row r="5014" spans="1:11" x14ac:dyDescent="0.2">
      <c r="A5014">
        <v>3203</v>
      </c>
      <c r="B5014">
        <v>298432</v>
      </c>
      <c r="C5014" t="s">
        <v>8444</v>
      </c>
      <c r="D5014">
        <v>6</v>
      </c>
      <c r="E5014">
        <v>8</v>
      </c>
      <c r="F5014">
        <v>0</v>
      </c>
      <c r="G5014">
        <v>1</v>
      </c>
      <c r="H5014">
        <v>100</v>
      </c>
      <c r="I5014">
        <v>0</v>
      </c>
      <c r="J5014">
        <v>29.99</v>
      </c>
      <c r="K5014">
        <v>29.99</v>
      </c>
    </row>
    <row r="5015" spans="1:11" x14ac:dyDescent="0.2">
      <c r="A5015">
        <v>41819</v>
      </c>
      <c r="B5015">
        <v>298455</v>
      </c>
      <c r="C5015" t="s">
        <v>8445</v>
      </c>
      <c r="D5015">
        <v>10</v>
      </c>
      <c r="E5015">
        <v>1</v>
      </c>
      <c r="F5015">
        <v>0</v>
      </c>
      <c r="G5015">
        <v>0</v>
      </c>
      <c r="H5015">
        <v>20</v>
      </c>
      <c r="I5015">
        <v>0</v>
      </c>
      <c r="J5015">
        <v>34.99</v>
      </c>
      <c r="K5015">
        <v>0</v>
      </c>
    </row>
    <row r="5016" spans="1:11" x14ac:dyDescent="0.2">
      <c r="A5016">
        <v>47922</v>
      </c>
      <c r="B5016">
        <v>298457</v>
      </c>
      <c r="C5016" t="s">
        <v>8446</v>
      </c>
      <c r="D5016">
        <v>10</v>
      </c>
      <c r="E5016">
        <v>30</v>
      </c>
      <c r="F5016">
        <v>0</v>
      </c>
      <c r="G5016">
        <v>0</v>
      </c>
      <c r="H5016">
        <v>108</v>
      </c>
      <c r="I5016">
        <v>0</v>
      </c>
      <c r="J5016">
        <v>1</v>
      </c>
      <c r="K5016">
        <v>0</v>
      </c>
    </row>
    <row r="5017" spans="1:11" x14ac:dyDescent="0.2">
      <c r="A5017">
        <v>32812</v>
      </c>
      <c r="B5017">
        <v>298458</v>
      </c>
      <c r="C5017" t="s">
        <v>8447</v>
      </c>
      <c r="D5017">
        <v>10</v>
      </c>
      <c r="E5017">
        <v>6</v>
      </c>
      <c r="F5017">
        <v>0</v>
      </c>
      <c r="G5017">
        <v>0</v>
      </c>
      <c r="H5017">
        <v>60</v>
      </c>
      <c r="I5017">
        <v>0</v>
      </c>
      <c r="J5017">
        <v>8.99</v>
      </c>
      <c r="K5017">
        <v>0</v>
      </c>
    </row>
    <row r="5018" spans="1:11" x14ac:dyDescent="0.2">
      <c r="A5018">
        <v>38842</v>
      </c>
      <c r="B5018">
        <v>298462</v>
      </c>
      <c r="C5018" t="s">
        <v>8448</v>
      </c>
      <c r="D5018">
        <v>10</v>
      </c>
      <c r="E5018">
        <v>20</v>
      </c>
      <c r="F5018">
        <v>0</v>
      </c>
      <c r="G5018">
        <v>0</v>
      </c>
      <c r="H5018">
        <v>120</v>
      </c>
      <c r="I5018">
        <v>0</v>
      </c>
      <c r="J5018">
        <v>3.99</v>
      </c>
      <c r="K5018">
        <v>0</v>
      </c>
    </row>
    <row r="5019" spans="1:11" x14ac:dyDescent="0.2">
      <c r="A5019">
        <v>40883</v>
      </c>
      <c r="B5019">
        <v>298463</v>
      </c>
      <c r="C5019" t="s">
        <v>8449</v>
      </c>
      <c r="D5019">
        <v>10</v>
      </c>
      <c r="E5019">
        <v>12</v>
      </c>
      <c r="F5019">
        <v>0</v>
      </c>
      <c r="G5019">
        <v>0</v>
      </c>
      <c r="H5019">
        <v>112</v>
      </c>
      <c r="I5019">
        <v>0</v>
      </c>
      <c r="J5019">
        <v>1</v>
      </c>
      <c r="K5019">
        <v>0</v>
      </c>
    </row>
    <row r="5020" spans="1:11" x14ac:dyDescent="0.2">
      <c r="A5020">
        <v>43917</v>
      </c>
      <c r="B5020">
        <v>298465</v>
      </c>
      <c r="C5020" t="s">
        <v>8450</v>
      </c>
      <c r="D5020">
        <v>10</v>
      </c>
      <c r="E5020">
        <v>12</v>
      </c>
      <c r="F5020">
        <v>0</v>
      </c>
      <c r="G5020">
        <v>0</v>
      </c>
      <c r="H5020">
        <v>336</v>
      </c>
      <c r="I5020">
        <v>0</v>
      </c>
      <c r="J5020">
        <v>1</v>
      </c>
      <c r="K5020">
        <v>0</v>
      </c>
    </row>
    <row r="5021" spans="1:11" x14ac:dyDescent="0.2">
      <c r="A5021">
        <v>49114</v>
      </c>
      <c r="B5021">
        <v>298469</v>
      </c>
      <c r="C5021" t="s">
        <v>8451</v>
      </c>
      <c r="D5021">
        <v>10</v>
      </c>
      <c r="E5021">
        <v>6</v>
      </c>
      <c r="F5021">
        <v>2</v>
      </c>
      <c r="G5021">
        <v>12</v>
      </c>
      <c r="H5021">
        <v>99</v>
      </c>
      <c r="I5021">
        <v>0</v>
      </c>
      <c r="J5021">
        <v>6.99</v>
      </c>
      <c r="K5021">
        <v>83.88</v>
      </c>
    </row>
    <row r="5022" spans="1:11" x14ac:dyDescent="0.2">
      <c r="A5022">
        <v>36802</v>
      </c>
      <c r="B5022">
        <v>298472</v>
      </c>
      <c r="C5022" t="s">
        <v>7469</v>
      </c>
      <c r="D5022">
        <v>10</v>
      </c>
      <c r="E5022">
        <v>4</v>
      </c>
      <c r="F5022">
        <v>0</v>
      </c>
      <c r="G5022">
        <v>0</v>
      </c>
      <c r="H5022">
        <v>85</v>
      </c>
      <c r="I5022">
        <v>0</v>
      </c>
      <c r="J5022">
        <v>7.99</v>
      </c>
      <c r="K5022">
        <v>0</v>
      </c>
    </row>
    <row r="5023" spans="1:11" x14ac:dyDescent="0.2">
      <c r="A5023">
        <v>51100</v>
      </c>
      <c r="B5023">
        <v>298473</v>
      </c>
      <c r="C5023" t="s">
        <v>8452</v>
      </c>
      <c r="D5023">
        <v>10</v>
      </c>
      <c r="E5023">
        <v>2</v>
      </c>
      <c r="F5023">
        <v>40</v>
      </c>
      <c r="G5023">
        <v>80</v>
      </c>
      <c r="H5023">
        <v>32</v>
      </c>
      <c r="I5023">
        <v>1.3</v>
      </c>
      <c r="J5023">
        <v>29.99</v>
      </c>
      <c r="K5023">
        <v>2399.1999999999998</v>
      </c>
    </row>
    <row r="5024" spans="1:11" x14ac:dyDescent="0.2">
      <c r="A5024">
        <v>43918</v>
      </c>
      <c r="B5024">
        <v>298474</v>
      </c>
      <c r="C5024" t="s">
        <v>8453</v>
      </c>
      <c r="D5024">
        <v>10</v>
      </c>
      <c r="E5024">
        <v>30</v>
      </c>
      <c r="F5024">
        <v>0</v>
      </c>
      <c r="G5024">
        <v>0</v>
      </c>
      <c r="H5024">
        <v>192</v>
      </c>
      <c r="I5024">
        <v>0</v>
      </c>
      <c r="J5024">
        <v>1</v>
      </c>
      <c r="K5024">
        <v>0</v>
      </c>
    </row>
    <row r="5025" spans="1:11" x14ac:dyDescent="0.2">
      <c r="A5025">
        <v>47918</v>
      </c>
      <c r="B5025">
        <v>298478</v>
      </c>
      <c r="C5025" t="s">
        <v>7848</v>
      </c>
      <c r="D5025">
        <v>10</v>
      </c>
      <c r="E5025">
        <v>30</v>
      </c>
      <c r="F5025">
        <v>0</v>
      </c>
      <c r="G5025">
        <v>0</v>
      </c>
      <c r="H5025">
        <v>100</v>
      </c>
      <c r="I5025">
        <v>0</v>
      </c>
      <c r="J5025">
        <v>1</v>
      </c>
      <c r="K5025">
        <v>0</v>
      </c>
    </row>
    <row r="5026" spans="1:11" x14ac:dyDescent="0.2">
      <c r="A5026">
        <v>38843</v>
      </c>
      <c r="B5026">
        <v>298481</v>
      </c>
      <c r="C5026" t="s">
        <v>7633</v>
      </c>
      <c r="D5026">
        <v>10</v>
      </c>
      <c r="E5026">
        <v>2</v>
      </c>
      <c r="F5026">
        <v>0</v>
      </c>
      <c r="G5026">
        <v>0</v>
      </c>
      <c r="H5026">
        <v>28</v>
      </c>
      <c r="I5026">
        <v>0</v>
      </c>
      <c r="J5026">
        <v>79.989999999999995</v>
      </c>
      <c r="K5026">
        <v>0</v>
      </c>
    </row>
    <row r="5027" spans="1:11" x14ac:dyDescent="0.2">
      <c r="A5027">
        <v>40810</v>
      </c>
      <c r="B5027">
        <v>298484</v>
      </c>
      <c r="C5027" t="s">
        <v>8454</v>
      </c>
      <c r="D5027">
        <v>10</v>
      </c>
      <c r="E5027">
        <v>1</v>
      </c>
      <c r="F5027">
        <v>0</v>
      </c>
      <c r="G5027">
        <v>0</v>
      </c>
      <c r="H5027">
        <v>30</v>
      </c>
      <c r="I5027">
        <v>0</v>
      </c>
      <c r="J5027">
        <v>42.99</v>
      </c>
      <c r="K5027">
        <v>0</v>
      </c>
    </row>
    <row r="5028" spans="1:11" x14ac:dyDescent="0.2">
      <c r="A5028">
        <v>32813</v>
      </c>
      <c r="B5028">
        <v>298486</v>
      </c>
      <c r="C5028" t="s">
        <v>8455</v>
      </c>
      <c r="D5028">
        <v>10</v>
      </c>
      <c r="E5028">
        <v>14</v>
      </c>
      <c r="F5028">
        <v>0</v>
      </c>
      <c r="G5028">
        <v>0</v>
      </c>
      <c r="H5028">
        <v>96</v>
      </c>
      <c r="I5028">
        <v>0</v>
      </c>
      <c r="J5028">
        <v>4.99</v>
      </c>
      <c r="K5028">
        <v>0</v>
      </c>
    </row>
    <row r="5029" spans="1:11" x14ac:dyDescent="0.2">
      <c r="A5029">
        <v>44815</v>
      </c>
      <c r="B5029">
        <v>298488</v>
      </c>
      <c r="C5029" t="s">
        <v>7961</v>
      </c>
      <c r="D5029">
        <v>10</v>
      </c>
      <c r="E5029">
        <v>6</v>
      </c>
      <c r="F5029">
        <v>0</v>
      </c>
      <c r="G5029">
        <v>0</v>
      </c>
      <c r="H5029">
        <v>14</v>
      </c>
      <c r="I5029">
        <v>0</v>
      </c>
      <c r="J5029">
        <v>16.989999999999998</v>
      </c>
      <c r="K5029">
        <v>0</v>
      </c>
    </row>
    <row r="5030" spans="1:11" x14ac:dyDescent="0.2">
      <c r="A5030">
        <v>47897</v>
      </c>
      <c r="B5030">
        <v>298491</v>
      </c>
      <c r="C5030" t="s">
        <v>8456</v>
      </c>
      <c r="D5030">
        <v>10</v>
      </c>
      <c r="E5030">
        <v>128</v>
      </c>
      <c r="F5030">
        <v>0</v>
      </c>
      <c r="G5030">
        <v>0</v>
      </c>
      <c r="H5030">
        <v>50</v>
      </c>
      <c r="I5030">
        <v>0</v>
      </c>
      <c r="J5030">
        <v>0.28999999999999998</v>
      </c>
      <c r="K5030">
        <v>0</v>
      </c>
    </row>
    <row r="5031" spans="1:11" x14ac:dyDescent="0.2">
      <c r="A5031">
        <v>3204</v>
      </c>
      <c r="B5031">
        <v>298493</v>
      </c>
      <c r="C5031" t="s">
        <v>8457</v>
      </c>
      <c r="D5031">
        <v>6</v>
      </c>
      <c r="E5031">
        <v>2</v>
      </c>
      <c r="F5031">
        <v>0</v>
      </c>
      <c r="G5031">
        <v>0</v>
      </c>
      <c r="H5031">
        <v>100</v>
      </c>
      <c r="I5031">
        <v>0</v>
      </c>
      <c r="J5031">
        <v>19.989999999999998</v>
      </c>
      <c r="K5031">
        <v>0</v>
      </c>
    </row>
    <row r="5032" spans="1:11" x14ac:dyDescent="0.2">
      <c r="A5032">
        <v>38420</v>
      </c>
      <c r="B5032">
        <v>298496</v>
      </c>
      <c r="C5032" t="s">
        <v>8458</v>
      </c>
      <c r="D5032">
        <v>10</v>
      </c>
      <c r="E5032">
        <v>20</v>
      </c>
      <c r="F5032">
        <v>0</v>
      </c>
      <c r="G5032">
        <v>0</v>
      </c>
      <c r="H5032">
        <v>120</v>
      </c>
      <c r="I5032">
        <v>0</v>
      </c>
      <c r="J5032">
        <v>1</v>
      </c>
      <c r="K5032">
        <v>0</v>
      </c>
    </row>
    <row r="5033" spans="1:11" x14ac:dyDescent="0.2">
      <c r="A5033">
        <v>3265</v>
      </c>
      <c r="B5033">
        <v>298499</v>
      </c>
      <c r="C5033" t="s">
        <v>7607</v>
      </c>
      <c r="D5033">
        <v>6</v>
      </c>
      <c r="E5033">
        <v>4</v>
      </c>
      <c r="F5033">
        <v>0</v>
      </c>
      <c r="G5033">
        <v>0</v>
      </c>
      <c r="H5033">
        <v>100</v>
      </c>
      <c r="I5033">
        <v>0</v>
      </c>
      <c r="J5033">
        <v>11.99</v>
      </c>
      <c r="K5033">
        <v>0</v>
      </c>
    </row>
    <row r="5034" spans="1:11" x14ac:dyDescent="0.2">
      <c r="A5034">
        <v>32814</v>
      </c>
      <c r="B5034">
        <v>298500</v>
      </c>
      <c r="C5034" t="s">
        <v>8459</v>
      </c>
      <c r="D5034">
        <v>10</v>
      </c>
      <c r="E5034">
        <v>12</v>
      </c>
      <c r="F5034">
        <v>0</v>
      </c>
      <c r="G5034">
        <v>0</v>
      </c>
      <c r="H5034">
        <v>126</v>
      </c>
      <c r="I5034">
        <v>0</v>
      </c>
      <c r="J5034">
        <v>4.99</v>
      </c>
      <c r="K5034">
        <v>0</v>
      </c>
    </row>
    <row r="5035" spans="1:11" x14ac:dyDescent="0.2">
      <c r="A5035">
        <v>32815</v>
      </c>
      <c r="B5035">
        <v>298501</v>
      </c>
      <c r="C5035" t="s">
        <v>8460</v>
      </c>
      <c r="D5035">
        <v>10</v>
      </c>
      <c r="E5035">
        <v>4</v>
      </c>
      <c r="F5035">
        <v>0</v>
      </c>
      <c r="G5035">
        <v>0</v>
      </c>
      <c r="H5035">
        <v>162</v>
      </c>
      <c r="I5035">
        <v>0</v>
      </c>
      <c r="J5035">
        <v>11.99</v>
      </c>
      <c r="K5035">
        <v>0</v>
      </c>
    </row>
    <row r="5036" spans="1:11" x14ac:dyDescent="0.2">
      <c r="A5036">
        <v>41821</v>
      </c>
      <c r="B5036">
        <v>298505</v>
      </c>
      <c r="C5036" t="s">
        <v>8062</v>
      </c>
      <c r="D5036">
        <v>10</v>
      </c>
      <c r="E5036">
        <v>2</v>
      </c>
      <c r="F5036">
        <v>0</v>
      </c>
      <c r="G5036">
        <v>0</v>
      </c>
      <c r="H5036">
        <v>72</v>
      </c>
      <c r="I5036">
        <v>0</v>
      </c>
      <c r="J5036">
        <v>14.99</v>
      </c>
      <c r="K5036">
        <v>0</v>
      </c>
    </row>
    <row r="5037" spans="1:11" x14ac:dyDescent="0.2">
      <c r="A5037">
        <v>50377</v>
      </c>
      <c r="B5037">
        <v>298515</v>
      </c>
      <c r="C5037" t="s">
        <v>8461</v>
      </c>
      <c r="D5037">
        <v>10</v>
      </c>
      <c r="E5037">
        <v>4</v>
      </c>
      <c r="F5037">
        <v>0</v>
      </c>
      <c r="G5037">
        <v>0</v>
      </c>
      <c r="H5037">
        <v>30</v>
      </c>
      <c r="I5037">
        <v>0</v>
      </c>
      <c r="J5037">
        <v>14.99</v>
      </c>
      <c r="K5037">
        <v>0</v>
      </c>
    </row>
    <row r="5038" spans="1:11" x14ac:dyDescent="0.2">
      <c r="A5038">
        <v>36803</v>
      </c>
      <c r="B5038">
        <v>298516</v>
      </c>
      <c r="C5038" t="s">
        <v>8462</v>
      </c>
      <c r="D5038">
        <v>10</v>
      </c>
      <c r="E5038">
        <v>6</v>
      </c>
      <c r="F5038">
        <v>0</v>
      </c>
      <c r="G5038">
        <v>0</v>
      </c>
      <c r="H5038">
        <v>60</v>
      </c>
      <c r="I5038">
        <v>0</v>
      </c>
      <c r="J5038">
        <v>14.99</v>
      </c>
      <c r="K5038">
        <v>0</v>
      </c>
    </row>
    <row r="5039" spans="1:11" x14ac:dyDescent="0.2">
      <c r="A5039">
        <v>44816</v>
      </c>
      <c r="B5039">
        <v>298517</v>
      </c>
      <c r="C5039" t="s">
        <v>8463</v>
      </c>
      <c r="D5039">
        <v>10</v>
      </c>
      <c r="E5039">
        <v>6</v>
      </c>
      <c r="F5039">
        <v>1</v>
      </c>
      <c r="G5039">
        <v>6</v>
      </c>
      <c r="H5039">
        <v>48</v>
      </c>
      <c r="I5039">
        <v>0</v>
      </c>
      <c r="J5039">
        <v>8.99</v>
      </c>
      <c r="K5039">
        <v>53.94</v>
      </c>
    </row>
    <row r="5040" spans="1:11" x14ac:dyDescent="0.2">
      <c r="A5040">
        <v>43816</v>
      </c>
      <c r="B5040">
        <v>298519</v>
      </c>
      <c r="C5040" t="s">
        <v>8464</v>
      </c>
      <c r="D5040">
        <v>10</v>
      </c>
      <c r="E5040">
        <v>8</v>
      </c>
      <c r="F5040">
        <v>0</v>
      </c>
      <c r="G5040">
        <v>0</v>
      </c>
      <c r="H5040">
        <v>77</v>
      </c>
      <c r="I5040">
        <v>0</v>
      </c>
      <c r="J5040">
        <v>9.99</v>
      </c>
      <c r="K5040">
        <v>0</v>
      </c>
    </row>
    <row r="5041" spans="1:11" x14ac:dyDescent="0.2">
      <c r="A5041">
        <v>31813</v>
      </c>
      <c r="B5041">
        <v>298521</v>
      </c>
      <c r="C5041" t="s">
        <v>7848</v>
      </c>
      <c r="D5041">
        <v>10</v>
      </c>
      <c r="E5041">
        <v>10</v>
      </c>
      <c r="F5041">
        <v>0</v>
      </c>
      <c r="G5041">
        <v>0</v>
      </c>
      <c r="H5041">
        <v>100</v>
      </c>
      <c r="I5041">
        <v>0</v>
      </c>
      <c r="J5041">
        <v>4.99</v>
      </c>
      <c r="K5041">
        <v>0</v>
      </c>
    </row>
    <row r="5042" spans="1:11" x14ac:dyDescent="0.2">
      <c r="A5042">
        <v>2254</v>
      </c>
      <c r="B5042">
        <v>298522</v>
      </c>
      <c r="C5042" t="s">
        <v>8465</v>
      </c>
      <c r="D5042">
        <v>10</v>
      </c>
      <c r="E5042">
        <v>5</v>
      </c>
      <c r="F5042">
        <v>448</v>
      </c>
      <c r="G5042">
        <v>2240</v>
      </c>
      <c r="H5042">
        <v>120</v>
      </c>
      <c r="I5042">
        <v>3.7</v>
      </c>
      <c r="J5042">
        <v>6.99</v>
      </c>
      <c r="K5042">
        <v>15657.6</v>
      </c>
    </row>
    <row r="5043" spans="1:11" x14ac:dyDescent="0.2">
      <c r="A5043">
        <v>40811</v>
      </c>
      <c r="B5043">
        <v>298523</v>
      </c>
      <c r="C5043" t="s">
        <v>8466</v>
      </c>
      <c r="D5043">
        <v>10</v>
      </c>
      <c r="E5043">
        <v>10</v>
      </c>
      <c r="F5043">
        <v>0</v>
      </c>
      <c r="G5043">
        <v>0</v>
      </c>
      <c r="H5043">
        <v>30</v>
      </c>
      <c r="I5043">
        <v>0</v>
      </c>
      <c r="J5043">
        <v>7.99</v>
      </c>
      <c r="K5043">
        <v>0</v>
      </c>
    </row>
    <row r="5044" spans="1:11" x14ac:dyDescent="0.2">
      <c r="A5044">
        <v>39808</v>
      </c>
      <c r="B5044">
        <v>298525</v>
      </c>
      <c r="C5044" t="s">
        <v>8467</v>
      </c>
      <c r="D5044">
        <v>10</v>
      </c>
      <c r="E5044">
        <v>10</v>
      </c>
      <c r="F5044">
        <v>0</v>
      </c>
      <c r="G5044">
        <v>0</v>
      </c>
      <c r="H5044">
        <v>108</v>
      </c>
      <c r="I5044">
        <v>0</v>
      </c>
      <c r="J5044">
        <v>8.99</v>
      </c>
      <c r="K5044">
        <v>0</v>
      </c>
    </row>
    <row r="5045" spans="1:11" x14ac:dyDescent="0.2">
      <c r="A5045">
        <v>43903</v>
      </c>
      <c r="B5045">
        <v>298529</v>
      </c>
      <c r="C5045" t="s">
        <v>8468</v>
      </c>
      <c r="D5045">
        <v>10</v>
      </c>
      <c r="E5045">
        <v>20</v>
      </c>
      <c r="F5045">
        <v>0</v>
      </c>
      <c r="G5045">
        <v>0</v>
      </c>
      <c r="H5045">
        <v>72</v>
      </c>
      <c r="I5045">
        <v>0</v>
      </c>
      <c r="J5045">
        <v>1</v>
      </c>
      <c r="K5045">
        <v>0</v>
      </c>
    </row>
    <row r="5046" spans="1:11" x14ac:dyDescent="0.2">
      <c r="A5046">
        <v>38844</v>
      </c>
      <c r="B5046">
        <v>298530</v>
      </c>
      <c r="C5046" t="s">
        <v>8469</v>
      </c>
      <c r="D5046">
        <v>10</v>
      </c>
      <c r="E5046">
        <v>8</v>
      </c>
      <c r="F5046">
        <v>0</v>
      </c>
      <c r="G5046">
        <v>0</v>
      </c>
      <c r="H5046">
        <v>60</v>
      </c>
      <c r="I5046">
        <v>0</v>
      </c>
      <c r="J5046">
        <v>14.99</v>
      </c>
      <c r="K5046">
        <v>0</v>
      </c>
    </row>
    <row r="5047" spans="1:11" x14ac:dyDescent="0.2">
      <c r="A5047">
        <v>43919</v>
      </c>
      <c r="B5047">
        <v>298532</v>
      </c>
      <c r="C5047" t="s">
        <v>8470</v>
      </c>
      <c r="D5047">
        <v>10</v>
      </c>
      <c r="E5047">
        <v>30</v>
      </c>
      <c r="F5047">
        <v>0</v>
      </c>
      <c r="G5047">
        <v>0</v>
      </c>
      <c r="H5047">
        <v>100</v>
      </c>
      <c r="I5047">
        <v>0</v>
      </c>
      <c r="J5047">
        <v>1</v>
      </c>
      <c r="K5047">
        <v>0</v>
      </c>
    </row>
    <row r="5048" spans="1:11" x14ac:dyDescent="0.2">
      <c r="A5048">
        <v>41822</v>
      </c>
      <c r="B5048">
        <v>298536</v>
      </c>
      <c r="C5048" t="s">
        <v>8471</v>
      </c>
      <c r="D5048">
        <v>10</v>
      </c>
      <c r="E5048">
        <v>12</v>
      </c>
      <c r="F5048">
        <v>0</v>
      </c>
      <c r="G5048">
        <v>0</v>
      </c>
      <c r="H5048">
        <v>20</v>
      </c>
      <c r="I5048">
        <v>0</v>
      </c>
      <c r="J5048">
        <v>3.99</v>
      </c>
      <c r="K5048">
        <v>0</v>
      </c>
    </row>
    <row r="5049" spans="1:11" x14ac:dyDescent="0.2">
      <c r="A5049">
        <v>47898</v>
      </c>
      <c r="B5049">
        <v>298540</v>
      </c>
      <c r="C5049" t="s">
        <v>8472</v>
      </c>
      <c r="D5049">
        <v>10</v>
      </c>
      <c r="E5049">
        <v>24</v>
      </c>
      <c r="F5049">
        <v>0</v>
      </c>
      <c r="G5049">
        <v>0</v>
      </c>
      <c r="H5049">
        <v>45</v>
      </c>
      <c r="I5049">
        <v>0</v>
      </c>
      <c r="J5049">
        <v>1</v>
      </c>
      <c r="K5049">
        <v>0</v>
      </c>
    </row>
    <row r="5050" spans="1:11" x14ac:dyDescent="0.2">
      <c r="A5050">
        <v>36804</v>
      </c>
      <c r="B5050">
        <v>298542</v>
      </c>
      <c r="C5050" t="s">
        <v>8473</v>
      </c>
      <c r="D5050">
        <v>10</v>
      </c>
      <c r="E5050">
        <v>16</v>
      </c>
      <c r="F5050">
        <v>0</v>
      </c>
      <c r="G5050">
        <v>0</v>
      </c>
      <c r="H5050">
        <v>84</v>
      </c>
      <c r="I5050">
        <v>0</v>
      </c>
      <c r="J5050">
        <v>3.99</v>
      </c>
      <c r="K5050">
        <v>0</v>
      </c>
    </row>
    <row r="5051" spans="1:11" x14ac:dyDescent="0.2">
      <c r="A5051">
        <v>31814</v>
      </c>
      <c r="B5051">
        <v>298543</v>
      </c>
      <c r="C5051" t="s">
        <v>8474</v>
      </c>
      <c r="D5051">
        <v>10</v>
      </c>
      <c r="E5051">
        <v>12</v>
      </c>
      <c r="F5051">
        <v>0</v>
      </c>
      <c r="G5051">
        <v>0</v>
      </c>
      <c r="H5051">
        <v>48</v>
      </c>
      <c r="I5051">
        <v>0</v>
      </c>
      <c r="J5051">
        <v>5.99</v>
      </c>
      <c r="K5051">
        <v>0</v>
      </c>
    </row>
    <row r="5052" spans="1:11" x14ac:dyDescent="0.2">
      <c r="A5052">
        <v>1365</v>
      </c>
      <c r="B5052">
        <v>298545</v>
      </c>
      <c r="C5052" t="s">
        <v>8475</v>
      </c>
      <c r="D5052">
        <v>10</v>
      </c>
      <c r="E5052">
        <v>14</v>
      </c>
      <c r="F5052">
        <v>166</v>
      </c>
      <c r="G5052">
        <v>2324</v>
      </c>
      <c r="H5052">
        <v>56</v>
      </c>
      <c r="I5052">
        <v>3</v>
      </c>
      <c r="J5052">
        <v>11.99</v>
      </c>
      <c r="K5052">
        <v>27864.76</v>
      </c>
    </row>
    <row r="5053" spans="1:11" x14ac:dyDescent="0.2">
      <c r="A5053">
        <v>40812</v>
      </c>
      <c r="B5053">
        <v>298546</v>
      </c>
      <c r="C5053" t="s">
        <v>7579</v>
      </c>
      <c r="D5053">
        <v>10</v>
      </c>
      <c r="E5053">
        <v>6</v>
      </c>
      <c r="F5053">
        <v>0</v>
      </c>
      <c r="G5053">
        <v>0</v>
      </c>
      <c r="H5053">
        <v>40</v>
      </c>
      <c r="I5053">
        <v>0</v>
      </c>
      <c r="J5053">
        <v>9.99</v>
      </c>
      <c r="K5053">
        <v>0</v>
      </c>
    </row>
    <row r="5054" spans="1:11" x14ac:dyDescent="0.2">
      <c r="A5054">
        <v>40884</v>
      </c>
      <c r="B5054">
        <v>298547</v>
      </c>
      <c r="C5054" t="s">
        <v>8476</v>
      </c>
      <c r="D5054">
        <v>10</v>
      </c>
      <c r="E5054">
        <v>24</v>
      </c>
      <c r="F5054">
        <v>0</v>
      </c>
      <c r="G5054">
        <v>0</v>
      </c>
      <c r="H5054">
        <v>84</v>
      </c>
      <c r="I5054">
        <v>0</v>
      </c>
      <c r="J5054">
        <v>1</v>
      </c>
      <c r="K5054">
        <v>0</v>
      </c>
    </row>
    <row r="5055" spans="1:11" x14ac:dyDescent="0.2">
      <c r="A5055">
        <v>42808</v>
      </c>
      <c r="B5055">
        <v>298549</v>
      </c>
      <c r="C5055" t="s">
        <v>8477</v>
      </c>
      <c r="D5055">
        <v>10</v>
      </c>
      <c r="E5055">
        <v>6</v>
      </c>
      <c r="F5055">
        <v>0</v>
      </c>
      <c r="G5055">
        <v>0</v>
      </c>
      <c r="H5055">
        <v>203</v>
      </c>
      <c r="I5055">
        <v>0</v>
      </c>
      <c r="J5055">
        <v>4.99</v>
      </c>
      <c r="K5055">
        <v>0</v>
      </c>
    </row>
    <row r="5056" spans="1:11" x14ac:dyDescent="0.2">
      <c r="A5056">
        <v>31815</v>
      </c>
      <c r="B5056">
        <v>298553</v>
      </c>
      <c r="C5056" t="s">
        <v>8478</v>
      </c>
      <c r="D5056">
        <v>10</v>
      </c>
      <c r="E5056">
        <v>24</v>
      </c>
      <c r="F5056">
        <v>0</v>
      </c>
      <c r="G5056">
        <v>0</v>
      </c>
      <c r="H5056">
        <v>16</v>
      </c>
      <c r="I5056">
        <v>0</v>
      </c>
      <c r="J5056">
        <v>2.4900000000000002</v>
      </c>
      <c r="K5056">
        <v>0</v>
      </c>
    </row>
    <row r="5057" spans="1:11" x14ac:dyDescent="0.2">
      <c r="A5057">
        <v>43920</v>
      </c>
      <c r="B5057">
        <v>298554</v>
      </c>
      <c r="C5057" t="s">
        <v>8479</v>
      </c>
      <c r="D5057">
        <v>10</v>
      </c>
      <c r="E5057">
        <v>20</v>
      </c>
      <c r="F5057">
        <v>0</v>
      </c>
      <c r="G5057">
        <v>0</v>
      </c>
      <c r="H5057">
        <v>144</v>
      </c>
      <c r="I5057">
        <v>0</v>
      </c>
      <c r="J5057">
        <v>1</v>
      </c>
      <c r="K5057">
        <v>0</v>
      </c>
    </row>
    <row r="5058" spans="1:11" x14ac:dyDescent="0.2">
      <c r="A5058">
        <v>34812</v>
      </c>
      <c r="B5058">
        <v>298555</v>
      </c>
      <c r="C5058" t="s">
        <v>8480</v>
      </c>
      <c r="D5058">
        <v>10</v>
      </c>
      <c r="E5058">
        <v>2</v>
      </c>
      <c r="F5058">
        <v>0</v>
      </c>
      <c r="G5058">
        <v>0</v>
      </c>
      <c r="H5058">
        <v>154</v>
      </c>
      <c r="I5058">
        <v>0</v>
      </c>
      <c r="J5058">
        <v>23.99</v>
      </c>
      <c r="K5058">
        <v>0</v>
      </c>
    </row>
    <row r="5059" spans="1:11" x14ac:dyDescent="0.2">
      <c r="A5059">
        <v>40899</v>
      </c>
      <c r="B5059">
        <v>298556</v>
      </c>
      <c r="C5059" t="s">
        <v>8481</v>
      </c>
      <c r="D5059">
        <v>10</v>
      </c>
      <c r="E5059">
        <v>29</v>
      </c>
      <c r="F5059">
        <v>0</v>
      </c>
      <c r="G5059">
        <v>0</v>
      </c>
      <c r="H5059">
        <v>40</v>
      </c>
      <c r="I5059">
        <v>0</v>
      </c>
      <c r="J5059">
        <v>1</v>
      </c>
      <c r="K5059">
        <v>0</v>
      </c>
    </row>
    <row r="5060" spans="1:11" x14ac:dyDescent="0.2">
      <c r="A5060">
        <v>33819</v>
      </c>
      <c r="B5060">
        <v>298559</v>
      </c>
      <c r="C5060" t="s">
        <v>8482</v>
      </c>
      <c r="D5060">
        <v>10</v>
      </c>
      <c r="E5060">
        <v>4</v>
      </c>
      <c r="F5060">
        <v>0</v>
      </c>
      <c r="G5060">
        <v>0</v>
      </c>
      <c r="H5060">
        <v>403</v>
      </c>
      <c r="I5060">
        <v>0</v>
      </c>
      <c r="J5060">
        <v>9.99</v>
      </c>
      <c r="K5060">
        <v>0</v>
      </c>
    </row>
    <row r="5061" spans="1:11" x14ac:dyDescent="0.2">
      <c r="A5061">
        <v>31816</v>
      </c>
      <c r="B5061">
        <v>298561</v>
      </c>
      <c r="C5061" t="s">
        <v>8483</v>
      </c>
      <c r="D5061">
        <v>10</v>
      </c>
      <c r="E5061">
        <v>12</v>
      </c>
      <c r="F5061">
        <v>0</v>
      </c>
      <c r="G5061">
        <v>0</v>
      </c>
      <c r="H5061">
        <v>63</v>
      </c>
      <c r="I5061">
        <v>0</v>
      </c>
      <c r="J5061">
        <v>4.99</v>
      </c>
      <c r="K5061">
        <v>0</v>
      </c>
    </row>
    <row r="5062" spans="1:11" x14ac:dyDescent="0.2">
      <c r="A5062">
        <v>38845</v>
      </c>
      <c r="B5062">
        <v>298563</v>
      </c>
      <c r="C5062" t="s">
        <v>8484</v>
      </c>
      <c r="D5062">
        <v>6</v>
      </c>
      <c r="E5062">
        <v>6</v>
      </c>
      <c r="F5062">
        <v>0</v>
      </c>
      <c r="G5062">
        <v>0</v>
      </c>
      <c r="H5062">
        <v>100</v>
      </c>
      <c r="I5062">
        <v>0</v>
      </c>
      <c r="J5062">
        <v>11.99</v>
      </c>
      <c r="K5062">
        <v>0</v>
      </c>
    </row>
    <row r="5063" spans="1:11" x14ac:dyDescent="0.2">
      <c r="A5063">
        <v>42809</v>
      </c>
      <c r="B5063">
        <v>298566</v>
      </c>
      <c r="C5063" t="s">
        <v>8485</v>
      </c>
      <c r="D5063">
        <v>10</v>
      </c>
      <c r="E5063">
        <v>4</v>
      </c>
      <c r="F5063">
        <v>0</v>
      </c>
      <c r="G5063">
        <v>0</v>
      </c>
      <c r="H5063">
        <v>50</v>
      </c>
      <c r="I5063">
        <v>0</v>
      </c>
      <c r="J5063">
        <v>24.99</v>
      </c>
      <c r="K5063">
        <v>0</v>
      </c>
    </row>
    <row r="5064" spans="1:11" x14ac:dyDescent="0.2">
      <c r="A5064">
        <v>38846</v>
      </c>
      <c r="B5064">
        <v>298568</v>
      </c>
      <c r="C5064" t="s">
        <v>8486</v>
      </c>
      <c r="D5064">
        <v>10</v>
      </c>
      <c r="E5064">
        <v>10</v>
      </c>
      <c r="F5064">
        <v>0</v>
      </c>
      <c r="G5064">
        <v>0</v>
      </c>
      <c r="H5064">
        <v>108</v>
      </c>
      <c r="I5064">
        <v>0</v>
      </c>
      <c r="J5064">
        <v>3.99</v>
      </c>
      <c r="K5064">
        <v>0</v>
      </c>
    </row>
    <row r="5065" spans="1:11" x14ac:dyDescent="0.2">
      <c r="A5065">
        <v>41823</v>
      </c>
      <c r="B5065">
        <v>298569</v>
      </c>
      <c r="C5065" t="s">
        <v>8487</v>
      </c>
      <c r="D5065">
        <v>10</v>
      </c>
      <c r="E5065">
        <v>6</v>
      </c>
      <c r="F5065">
        <v>0</v>
      </c>
      <c r="G5065">
        <v>0</v>
      </c>
      <c r="H5065">
        <v>96</v>
      </c>
      <c r="I5065">
        <v>0</v>
      </c>
      <c r="J5065">
        <v>11.99</v>
      </c>
      <c r="K5065">
        <v>0</v>
      </c>
    </row>
    <row r="5066" spans="1:11" x14ac:dyDescent="0.2">
      <c r="A5066">
        <v>31817</v>
      </c>
      <c r="B5066">
        <v>298573</v>
      </c>
      <c r="C5066" t="s">
        <v>8488</v>
      </c>
      <c r="D5066">
        <v>10</v>
      </c>
      <c r="E5066">
        <v>6</v>
      </c>
      <c r="F5066">
        <v>0</v>
      </c>
      <c r="G5066">
        <v>0</v>
      </c>
      <c r="H5066">
        <v>81</v>
      </c>
      <c r="I5066">
        <v>0</v>
      </c>
      <c r="J5066">
        <v>5.99</v>
      </c>
      <c r="K5066">
        <v>0</v>
      </c>
    </row>
    <row r="5067" spans="1:11" x14ac:dyDescent="0.2">
      <c r="A5067">
        <v>43921</v>
      </c>
      <c r="B5067">
        <v>298578</v>
      </c>
      <c r="C5067" t="s">
        <v>8489</v>
      </c>
      <c r="D5067">
        <v>10</v>
      </c>
      <c r="E5067">
        <v>25</v>
      </c>
      <c r="F5067">
        <v>0</v>
      </c>
      <c r="G5067">
        <v>0</v>
      </c>
      <c r="H5067">
        <v>350</v>
      </c>
      <c r="I5067">
        <v>0</v>
      </c>
      <c r="J5067">
        <v>1</v>
      </c>
      <c r="K5067">
        <v>0</v>
      </c>
    </row>
    <row r="5068" spans="1:11" x14ac:dyDescent="0.2">
      <c r="A5068">
        <v>48815</v>
      </c>
      <c r="B5068">
        <v>298579</v>
      </c>
      <c r="C5068" t="s">
        <v>8490</v>
      </c>
      <c r="D5068">
        <v>10</v>
      </c>
      <c r="E5068">
        <v>8</v>
      </c>
      <c r="F5068">
        <v>0</v>
      </c>
      <c r="G5068">
        <v>0</v>
      </c>
      <c r="H5068">
        <v>55</v>
      </c>
      <c r="I5068">
        <v>0</v>
      </c>
      <c r="J5068">
        <v>4.99</v>
      </c>
      <c r="K5068">
        <v>0</v>
      </c>
    </row>
    <row r="5069" spans="1:11" x14ac:dyDescent="0.2">
      <c r="A5069">
        <v>41429</v>
      </c>
      <c r="B5069">
        <v>298581</v>
      </c>
      <c r="C5069" t="s">
        <v>8491</v>
      </c>
      <c r="D5069">
        <v>10</v>
      </c>
      <c r="E5069">
        <v>14</v>
      </c>
      <c r="F5069">
        <v>0</v>
      </c>
      <c r="G5069">
        <v>0</v>
      </c>
      <c r="H5069">
        <v>16</v>
      </c>
      <c r="I5069">
        <v>0</v>
      </c>
      <c r="J5069">
        <v>3.99</v>
      </c>
      <c r="K5069">
        <v>0</v>
      </c>
    </row>
    <row r="5070" spans="1:11" x14ac:dyDescent="0.2">
      <c r="A5070">
        <v>35962</v>
      </c>
      <c r="B5070">
        <v>298584</v>
      </c>
      <c r="C5070" t="s">
        <v>8492</v>
      </c>
      <c r="D5070">
        <v>10</v>
      </c>
      <c r="E5070">
        <v>6</v>
      </c>
      <c r="F5070">
        <v>0</v>
      </c>
      <c r="G5070">
        <v>0</v>
      </c>
      <c r="H5070">
        <v>20</v>
      </c>
      <c r="I5070">
        <v>0</v>
      </c>
      <c r="J5070">
        <v>17.989999999999998</v>
      </c>
      <c r="K5070">
        <v>0</v>
      </c>
    </row>
    <row r="5071" spans="1:11" x14ac:dyDescent="0.2">
      <c r="A5071">
        <v>50806</v>
      </c>
      <c r="B5071">
        <v>298586</v>
      </c>
      <c r="C5071" t="s">
        <v>8493</v>
      </c>
      <c r="D5071">
        <v>10</v>
      </c>
      <c r="E5071">
        <v>20</v>
      </c>
      <c r="F5071">
        <v>3</v>
      </c>
      <c r="G5071">
        <v>60</v>
      </c>
      <c r="H5071">
        <v>80</v>
      </c>
      <c r="I5071">
        <v>0</v>
      </c>
      <c r="J5071">
        <v>1.99</v>
      </c>
      <c r="K5071">
        <v>119.4</v>
      </c>
    </row>
    <row r="5072" spans="1:11" x14ac:dyDescent="0.2">
      <c r="A5072">
        <v>41430</v>
      </c>
      <c r="B5072">
        <v>298588</v>
      </c>
      <c r="C5072" t="s">
        <v>8494</v>
      </c>
      <c r="D5072">
        <v>10</v>
      </c>
      <c r="E5072">
        <v>14</v>
      </c>
      <c r="F5072">
        <v>0</v>
      </c>
      <c r="G5072">
        <v>0</v>
      </c>
      <c r="H5072">
        <v>20</v>
      </c>
      <c r="I5072">
        <v>0</v>
      </c>
      <c r="J5072">
        <v>1</v>
      </c>
      <c r="K5072">
        <v>0</v>
      </c>
    </row>
    <row r="5073" spans="1:11" x14ac:dyDescent="0.2">
      <c r="A5073">
        <v>48816</v>
      </c>
      <c r="B5073">
        <v>298590</v>
      </c>
      <c r="C5073" t="s">
        <v>8495</v>
      </c>
      <c r="D5073">
        <v>10</v>
      </c>
      <c r="E5073">
        <v>4</v>
      </c>
      <c r="F5073">
        <v>0</v>
      </c>
      <c r="G5073">
        <v>0</v>
      </c>
      <c r="H5073">
        <v>32</v>
      </c>
      <c r="I5073">
        <v>0</v>
      </c>
      <c r="J5073">
        <v>19.989999999999998</v>
      </c>
      <c r="K5073">
        <v>0</v>
      </c>
    </row>
    <row r="5074" spans="1:11" x14ac:dyDescent="0.2">
      <c r="A5074">
        <v>36805</v>
      </c>
      <c r="B5074">
        <v>298592</v>
      </c>
      <c r="C5074" t="s">
        <v>8496</v>
      </c>
      <c r="D5074">
        <v>10</v>
      </c>
      <c r="E5074">
        <v>6</v>
      </c>
      <c r="F5074">
        <v>0</v>
      </c>
      <c r="G5074">
        <v>0</v>
      </c>
      <c r="H5074">
        <v>100</v>
      </c>
      <c r="I5074">
        <v>0</v>
      </c>
      <c r="J5074">
        <v>6.99</v>
      </c>
      <c r="K5074">
        <v>0</v>
      </c>
    </row>
    <row r="5075" spans="1:11" x14ac:dyDescent="0.2">
      <c r="A5075">
        <v>49802</v>
      </c>
      <c r="B5075">
        <v>298598</v>
      </c>
      <c r="C5075" t="s">
        <v>8497</v>
      </c>
      <c r="D5075">
        <v>10</v>
      </c>
      <c r="E5075">
        <v>15</v>
      </c>
      <c r="F5075">
        <v>0</v>
      </c>
      <c r="G5075">
        <v>0</v>
      </c>
      <c r="H5075">
        <v>78</v>
      </c>
      <c r="I5075">
        <v>0</v>
      </c>
      <c r="J5075">
        <v>1.99</v>
      </c>
      <c r="K5075">
        <v>0</v>
      </c>
    </row>
    <row r="5076" spans="1:11" x14ac:dyDescent="0.2">
      <c r="A5076">
        <v>41431</v>
      </c>
      <c r="B5076">
        <v>298601</v>
      </c>
      <c r="C5076" t="s">
        <v>8498</v>
      </c>
      <c r="D5076">
        <v>10</v>
      </c>
      <c r="E5076">
        <v>14</v>
      </c>
      <c r="F5076">
        <v>0</v>
      </c>
      <c r="G5076">
        <v>0</v>
      </c>
      <c r="H5076">
        <v>21</v>
      </c>
      <c r="I5076">
        <v>0</v>
      </c>
      <c r="J5076">
        <v>1</v>
      </c>
      <c r="K5076">
        <v>0</v>
      </c>
    </row>
    <row r="5077" spans="1:11" x14ac:dyDescent="0.2">
      <c r="A5077">
        <v>38422</v>
      </c>
      <c r="B5077">
        <v>298604</v>
      </c>
      <c r="C5077" t="s">
        <v>7975</v>
      </c>
      <c r="D5077">
        <v>10</v>
      </c>
      <c r="E5077">
        <v>12</v>
      </c>
      <c r="F5077">
        <v>3</v>
      </c>
      <c r="G5077">
        <v>36</v>
      </c>
      <c r="H5077">
        <v>24</v>
      </c>
      <c r="I5077">
        <v>0.1</v>
      </c>
      <c r="J5077">
        <v>1</v>
      </c>
      <c r="K5077">
        <v>36</v>
      </c>
    </row>
    <row r="5078" spans="1:11" x14ac:dyDescent="0.2">
      <c r="A5078">
        <v>51810</v>
      </c>
      <c r="B5078">
        <v>298606</v>
      </c>
      <c r="C5078" t="s">
        <v>7444</v>
      </c>
      <c r="D5078">
        <v>10</v>
      </c>
      <c r="E5078">
        <v>4</v>
      </c>
      <c r="F5078">
        <v>515</v>
      </c>
      <c r="G5078">
        <v>2059</v>
      </c>
      <c r="H5078">
        <v>80</v>
      </c>
      <c r="I5078">
        <v>6.4</v>
      </c>
      <c r="J5078">
        <v>19.989999999999998</v>
      </c>
      <c r="K5078">
        <v>41159.410000000003</v>
      </c>
    </row>
    <row r="5079" spans="1:11" x14ac:dyDescent="0.2">
      <c r="A5079">
        <v>50378</v>
      </c>
      <c r="B5079">
        <v>298607</v>
      </c>
      <c r="C5079" t="s">
        <v>8499</v>
      </c>
      <c r="D5079">
        <v>10</v>
      </c>
      <c r="E5079">
        <v>6</v>
      </c>
      <c r="F5079">
        <v>0</v>
      </c>
      <c r="G5079">
        <v>0</v>
      </c>
      <c r="H5079">
        <v>72</v>
      </c>
      <c r="I5079">
        <v>0</v>
      </c>
      <c r="J5079">
        <v>12.99</v>
      </c>
      <c r="K5079">
        <v>0</v>
      </c>
    </row>
    <row r="5080" spans="1:11" x14ac:dyDescent="0.2">
      <c r="A5080">
        <v>31818</v>
      </c>
      <c r="B5080">
        <v>298608</v>
      </c>
      <c r="C5080" t="s">
        <v>8500</v>
      </c>
      <c r="D5080">
        <v>10</v>
      </c>
      <c r="E5080">
        <v>10</v>
      </c>
      <c r="F5080">
        <v>0</v>
      </c>
      <c r="G5080">
        <v>0</v>
      </c>
      <c r="H5080">
        <v>55</v>
      </c>
      <c r="I5080">
        <v>0</v>
      </c>
      <c r="J5080">
        <v>7.99</v>
      </c>
      <c r="K5080">
        <v>0</v>
      </c>
    </row>
    <row r="5081" spans="1:11" x14ac:dyDescent="0.2">
      <c r="A5081">
        <v>36806</v>
      </c>
      <c r="B5081">
        <v>298610</v>
      </c>
      <c r="C5081" t="s">
        <v>8501</v>
      </c>
      <c r="D5081">
        <v>10</v>
      </c>
      <c r="E5081">
        <v>22</v>
      </c>
      <c r="F5081">
        <v>0</v>
      </c>
      <c r="G5081">
        <v>0</v>
      </c>
      <c r="H5081">
        <v>120</v>
      </c>
      <c r="I5081">
        <v>0</v>
      </c>
      <c r="J5081">
        <v>2.99</v>
      </c>
      <c r="K5081">
        <v>0</v>
      </c>
    </row>
    <row r="5082" spans="1:11" x14ac:dyDescent="0.2">
      <c r="A5082">
        <v>41824</v>
      </c>
      <c r="B5082">
        <v>298612</v>
      </c>
      <c r="C5082" t="s">
        <v>8502</v>
      </c>
      <c r="D5082">
        <v>10</v>
      </c>
      <c r="E5082">
        <v>6</v>
      </c>
      <c r="F5082">
        <v>0</v>
      </c>
      <c r="G5082">
        <v>0</v>
      </c>
      <c r="H5082">
        <v>90</v>
      </c>
      <c r="I5082">
        <v>0</v>
      </c>
      <c r="J5082">
        <v>4.99</v>
      </c>
      <c r="K5082">
        <v>0</v>
      </c>
    </row>
    <row r="5083" spans="1:11" x14ac:dyDescent="0.2">
      <c r="A5083">
        <v>44817</v>
      </c>
      <c r="B5083">
        <v>298614</v>
      </c>
      <c r="C5083" t="s">
        <v>7743</v>
      </c>
      <c r="D5083">
        <v>10</v>
      </c>
      <c r="E5083">
        <v>4</v>
      </c>
      <c r="F5083">
        <v>-1</v>
      </c>
      <c r="G5083">
        <v>-4</v>
      </c>
      <c r="H5083">
        <v>8</v>
      </c>
      <c r="I5083">
        <v>-0.1</v>
      </c>
      <c r="J5083">
        <v>24.99</v>
      </c>
      <c r="K5083">
        <v>-99.96</v>
      </c>
    </row>
    <row r="5084" spans="1:11" x14ac:dyDescent="0.2">
      <c r="A5084">
        <v>43922</v>
      </c>
      <c r="B5084">
        <v>298615</v>
      </c>
      <c r="C5084" t="s">
        <v>8503</v>
      </c>
      <c r="D5084">
        <v>10</v>
      </c>
      <c r="E5084">
        <v>24</v>
      </c>
      <c r="F5084">
        <v>0</v>
      </c>
      <c r="G5084">
        <v>0</v>
      </c>
      <c r="H5084">
        <v>63</v>
      </c>
      <c r="I5084">
        <v>0</v>
      </c>
      <c r="J5084">
        <v>0.5</v>
      </c>
      <c r="K5084">
        <v>0</v>
      </c>
    </row>
    <row r="5085" spans="1:11" x14ac:dyDescent="0.2">
      <c r="A5085">
        <v>32816</v>
      </c>
      <c r="B5085">
        <v>298620</v>
      </c>
      <c r="C5085" t="s">
        <v>8504</v>
      </c>
      <c r="D5085">
        <v>10</v>
      </c>
      <c r="E5085">
        <v>8</v>
      </c>
      <c r="F5085">
        <v>0</v>
      </c>
      <c r="G5085">
        <v>0</v>
      </c>
      <c r="H5085">
        <v>100</v>
      </c>
      <c r="I5085">
        <v>0</v>
      </c>
      <c r="J5085">
        <v>5.99</v>
      </c>
      <c r="K5085">
        <v>0</v>
      </c>
    </row>
    <row r="5086" spans="1:11" x14ac:dyDescent="0.2">
      <c r="A5086">
        <v>47899</v>
      </c>
      <c r="B5086">
        <v>298621</v>
      </c>
      <c r="C5086" t="s">
        <v>8505</v>
      </c>
      <c r="D5086">
        <v>10</v>
      </c>
      <c r="E5086">
        <v>20</v>
      </c>
      <c r="F5086">
        <v>0</v>
      </c>
      <c r="G5086">
        <v>0</v>
      </c>
      <c r="H5086">
        <v>100</v>
      </c>
      <c r="I5086">
        <v>0</v>
      </c>
      <c r="J5086">
        <v>1</v>
      </c>
      <c r="K5086">
        <v>0</v>
      </c>
    </row>
    <row r="5087" spans="1:11" x14ac:dyDescent="0.2">
      <c r="A5087">
        <v>38847</v>
      </c>
      <c r="B5087">
        <v>298627</v>
      </c>
      <c r="C5087" t="s">
        <v>8506</v>
      </c>
      <c r="D5087">
        <v>10</v>
      </c>
      <c r="E5087">
        <v>8</v>
      </c>
      <c r="F5087">
        <v>0</v>
      </c>
      <c r="G5087">
        <v>0</v>
      </c>
      <c r="H5087">
        <v>85</v>
      </c>
      <c r="I5087">
        <v>0</v>
      </c>
      <c r="J5087">
        <v>9.99</v>
      </c>
      <c r="K5087">
        <v>0</v>
      </c>
    </row>
    <row r="5088" spans="1:11" x14ac:dyDescent="0.2">
      <c r="A5088">
        <v>47910</v>
      </c>
      <c r="B5088">
        <v>298629</v>
      </c>
      <c r="C5088" t="s">
        <v>8507</v>
      </c>
      <c r="D5088">
        <v>10</v>
      </c>
      <c r="E5088">
        <v>18</v>
      </c>
      <c r="F5088">
        <v>0</v>
      </c>
      <c r="G5088">
        <v>0</v>
      </c>
      <c r="H5088">
        <v>30</v>
      </c>
      <c r="I5088">
        <v>0</v>
      </c>
      <c r="J5088">
        <v>1</v>
      </c>
      <c r="K5088">
        <v>0</v>
      </c>
    </row>
    <row r="5089" spans="1:11" x14ac:dyDescent="0.2">
      <c r="A5089">
        <v>35963</v>
      </c>
      <c r="B5089">
        <v>298632</v>
      </c>
      <c r="C5089" t="s">
        <v>8508</v>
      </c>
      <c r="D5089">
        <v>10</v>
      </c>
      <c r="E5089">
        <v>10</v>
      </c>
      <c r="F5089">
        <v>0</v>
      </c>
      <c r="G5089">
        <v>0</v>
      </c>
      <c r="H5089">
        <v>63</v>
      </c>
      <c r="I5089">
        <v>0</v>
      </c>
      <c r="J5089">
        <v>5.99</v>
      </c>
      <c r="K5089">
        <v>0</v>
      </c>
    </row>
    <row r="5090" spans="1:11" x14ac:dyDescent="0.2">
      <c r="A5090">
        <v>34814</v>
      </c>
      <c r="B5090">
        <v>298636</v>
      </c>
      <c r="C5090" t="s">
        <v>8509</v>
      </c>
      <c r="D5090">
        <v>10</v>
      </c>
      <c r="E5090">
        <v>12</v>
      </c>
      <c r="F5090">
        <v>0</v>
      </c>
      <c r="G5090">
        <v>0</v>
      </c>
      <c r="H5090">
        <v>182</v>
      </c>
      <c r="I5090">
        <v>0</v>
      </c>
      <c r="J5090">
        <v>4.99</v>
      </c>
      <c r="K5090">
        <v>0</v>
      </c>
    </row>
    <row r="5091" spans="1:11" x14ac:dyDescent="0.2">
      <c r="A5091">
        <v>42810</v>
      </c>
      <c r="B5091">
        <v>298637</v>
      </c>
      <c r="C5091" t="s">
        <v>8510</v>
      </c>
      <c r="D5091">
        <v>10</v>
      </c>
      <c r="E5091">
        <v>2</v>
      </c>
      <c r="F5091">
        <v>0</v>
      </c>
      <c r="G5091">
        <v>0</v>
      </c>
      <c r="H5091">
        <v>70</v>
      </c>
      <c r="I5091">
        <v>0</v>
      </c>
      <c r="J5091">
        <v>34.99</v>
      </c>
      <c r="K5091">
        <v>0</v>
      </c>
    </row>
    <row r="5092" spans="1:11" x14ac:dyDescent="0.2">
      <c r="A5092">
        <v>43923</v>
      </c>
      <c r="B5092">
        <v>298638</v>
      </c>
      <c r="C5092" t="s">
        <v>8511</v>
      </c>
      <c r="D5092">
        <v>10</v>
      </c>
      <c r="E5092">
        <v>24</v>
      </c>
      <c r="F5092">
        <v>0</v>
      </c>
      <c r="G5092">
        <v>0</v>
      </c>
      <c r="H5092">
        <v>105</v>
      </c>
      <c r="I5092">
        <v>0</v>
      </c>
      <c r="J5092">
        <v>0.5</v>
      </c>
      <c r="K5092">
        <v>0</v>
      </c>
    </row>
    <row r="5093" spans="1:11" x14ac:dyDescent="0.2">
      <c r="A5093">
        <v>31819</v>
      </c>
      <c r="B5093">
        <v>298642</v>
      </c>
      <c r="C5093" t="s">
        <v>8512</v>
      </c>
      <c r="D5093">
        <v>10</v>
      </c>
      <c r="E5093">
        <v>12</v>
      </c>
      <c r="F5093">
        <v>0</v>
      </c>
      <c r="G5093">
        <v>0</v>
      </c>
      <c r="H5093">
        <v>56</v>
      </c>
      <c r="I5093">
        <v>0</v>
      </c>
      <c r="J5093">
        <v>3.99</v>
      </c>
      <c r="K5093">
        <v>0</v>
      </c>
    </row>
    <row r="5094" spans="1:11" x14ac:dyDescent="0.2">
      <c r="A5094">
        <v>2255</v>
      </c>
      <c r="B5094">
        <v>298643</v>
      </c>
      <c r="C5094" t="s">
        <v>8513</v>
      </c>
      <c r="D5094">
        <v>10</v>
      </c>
      <c r="E5094">
        <v>12</v>
      </c>
      <c r="F5094">
        <v>128</v>
      </c>
      <c r="G5094">
        <v>1536</v>
      </c>
      <c r="H5094">
        <v>130</v>
      </c>
      <c r="I5094">
        <v>1</v>
      </c>
      <c r="J5094">
        <v>4.99</v>
      </c>
      <c r="K5094">
        <v>7664.64</v>
      </c>
    </row>
    <row r="5095" spans="1:11" x14ac:dyDescent="0.2">
      <c r="A5095">
        <v>47894</v>
      </c>
      <c r="B5095">
        <v>298645</v>
      </c>
      <c r="C5095" t="s">
        <v>8514</v>
      </c>
      <c r="D5095">
        <v>10</v>
      </c>
      <c r="E5095">
        <v>24</v>
      </c>
      <c r="F5095">
        <v>0</v>
      </c>
      <c r="G5095">
        <v>0</v>
      </c>
      <c r="H5095">
        <v>154</v>
      </c>
      <c r="I5095">
        <v>0</v>
      </c>
      <c r="J5095">
        <v>0.5</v>
      </c>
      <c r="K5095">
        <v>0</v>
      </c>
    </row>
    <row r="5096" spans="1:11" x14ac:dyDescent="0.2">
      <c r="A5096">
        <v>50379</v>
      </c>
      <c r="B5096">
        <v>298646</v>
      </c>
      <c r="C5096" t="s">
        <v>8515</v>
      </c>
      <c r="D5096">
        <v>10</v>
      </c>
      <c r="E5096">
        <v>4</v>
      </c>
      <c r="F5096">
        <v>0</v>
      </c>
      <c r="G5096">
        <v>0</v>
      </c>
      <c r="H5096">
        <v>173</v>
      </c>
      <c r="I5096">
        <v>0</v>
      </c>
      <c r="J5096">
        <v>8.99</v>
      </c>
      <c r="K5096">
        <v>0</v>
      </c>
    </row>
    <row r="5097" spans="1:11" x14ac:dyDescent="0.2">
      <c r="A5097">
        <v>47900</v>
      </c>
      <c r="B5097">
        <v>298649</v>
      </c>
      <c r="C5097" t="s">
        <v>8516</v>
      </c>
      <c r="D5097">
        <v>10</v>
      </c>
      <c r="E5097">
        <v>20</v>
      </c>
      <c r="F5097">
        <v>0</v>
      </c>
      <c r="G5097">
        <v>0</v>
      </c>
      <c r="H5097">
        <v>231</v>
      </c>
      <c r="I5097">
        <v>0</v>
      </c>
      <c r="J5097">
        <v>1</v>
      </c>
      <c r="K5097">
        <v>0</v>
      </c>
    </row>
    <row r="5098" spans="1:11" x14ac:dyDescent="0.2">
      <c r="A5098">
        <v>38848</v>
      </c>
      <c r="B5098">
        <v>298650</v>
      </c>
      <c r="C5098" t="s">
        <v>8517</v>
      </c>
      <c r="D5098">
        <v>10</v>
      </c>
      <c r="E5098">
        <v>6</v>
      </c>
      <c r="F5098">
        <v>0</v>
      </c>
      <c r="G5098">
        <v>0</v>
      </c>
      <c r="H5098">
        <v>20</v>
      </c>
      <c r="I5098">
        <v>0</v>
      </c>
      <c r="J5098">
        <v>8.99</v>
      </c>
      <c r="K5098">
        <v>0</v>
      </c>
    </row>
    <row r="5099" spans="1:11" x14ac:dyDescent="0.2">
      <c r="A5099">
        <v>39809</v>
      </c>
      <c r="B5099">
        <v>298651</v>
      </c>
      <c r="C5099" t="s">
        <v>8518</v>
      </c>
      <c r="D5099">
        <v>10</v>
      </c>
      <c r="E5099">
        <v>6</v>
      </c>
      <c r="F5099">
        <v>0</v>
      </c>
      <c r="G5099">
        <v>0</v>
      </c>
      <c r="H5099">
        <v>16</v>
      </c>
      <c r="I5099">
        <v>0</v>
      </c>
      <c r="J5099">
        <v>19.989999999999998</v>
      </c>
      <c r="K5099">
        <v>0</v>
      </c>
    </row>
    <row r="5100" spans="1:11" x14ac:dyDescent="0.2">
      <c r="A5100">
        <v>36807</v>
      </c>
      <c r="B5100">
        <v>298652</v>
      </c>
      <c r="C5100" t="s">
        <v>8519</v>
      </c>
      <c r="D5100">
        <v>10</v>
      </c>
      <c r="E5100">
        <v>6</v>
      </c>
      <c r="F5100">
        <v>0</v>
      </c>
      <c r="G5100">
        <v>0</v>
      </c>
      <c r="H5100">
        <v>35</v>
      </c>
      <c r="I5100">
        <v>0</v>
      </c>
      <c r="J5100">
        <v>16.989999999999998</v>
      </c>
      <c r="K5100">
        <v>0</v>
      </c>
    </row>
    <row r="5101" spans="1:11" x14ac:dyDescent="0.2">
      <c r="A5101">
        <v>50017</v>
      </c>
      <c r="B5101">
        <v>298653</v>
      </c>
      <c r="C5101" t="s">
        <v>8520</v>
      </c>
      <c r="D5101">
        <v>10</v>
      </c>
      <c r="E5101">
        <v>40</v>
      </c>
      <c r="F5101">
        <v>0</v>
      </c>
      <c r="G5101">
        <v>0</v>
      </c>
      <c r="H5101">
        <v>90</v>
      </c>
      <c r="I5101">
        <v>0</v>
      </c>
      <c r="J5101">
        <v>2.99</v>
      </c>
      <c r="K5101">
        <v>0</v>
      </c>
    </row>
    <row r="5102" spans="1:11" x14ac:dyDescent="0.2">
      <c r="A5102">
        <v>44818</v>
      </c>
      <c r="B5102">
        <v>298657</v>
      </c>
      <c r="C5102" t="s">
        <v>8521</v>
      </c>
      <c r="D5102">
        <v>10</v>
      </c>
      <c r="E5102">
        <v>1</v>
      </c>
      <c r="F5102">
        <v>4</v>
      </c>
      <c r="G5102">
        <v>4</v>
      </c>
      <c r="H5102">
        <v>33</v>
      </c>
      <c r="I5102">
        <v>0.1</v>
      </c>
      <c r="J5102">
        <v>129</v>
      </c>
      <c r="K5102">
        <v>516</v>
      </c>
    </row>
    <row r="5103" spans="1:11" x14ac:dyDescent="0.2">
      <c r="A5103">
        <v>41432</v>
      </c>
      <c r="B5103">
        <v>298658</v>
      </c>
      <c r="C5103" t="s">
        <v>8522</v>
      </c>
      <c r="D5103">
        <v>10</v>
      </c>
      <c r="E5103">
        <v>14</v>
      </c>
      <c r="F5103">
        <v>0</v>
      </c>
      <c r="G5103">
        <v>0</v>
      </c>
      <c r="H5103">
        <v>24</v>
      </c>
      <c r="I5103">
        <v>0</v>
      </c>
      <c r="J5103">
        <v>1</v>
      </c>
      <c r="K5103">
        <v>0</v>
      </c>
    </row>
    <row r="5104" spans="1:11" x14ac:dyDescent="0.2">
      <c r="A5104">
        <v>36808</v>
      </c>
      <c r="B5104">
        <v>298661</v>
      </c>
      <c r="C5104" t="s">
        <v>8523</v>
      </c>
      <c r="D5104">
        <v>10</v>
      </c>
      <c r="E5104">
        <v>4</v>
      </c>
      <c r="F5104">
        <v>0</v>
      </c>
      <c r="G5104">
        <v>0</v>
      </c>
      <c r="H5104">
        <v>18</v>
      </c>
      <c r="I5104">
        <v>0</v>
      </c>
      <c r="J5104">
        <v>24.99</v>
      </c>
      <c r="K5104">
        <v>0</v>
      </c>
    </row>
    <row r="5105" spans="1:11" x14ac:dyDescent="0.2">
      <c r="A5105">
        <v>40429</v>
      </c>
      <c r="B5105">
        <v>298669</v>
      </c>
      <c r="C5105" t="s">
        <v>8524</v>
      </c>
      <c r="D5105">
        <v>10</v>
      </c>
      <c r="E5105">
        <v>50</v>
      </c>
      <c r="F5105">
        <v>0</v>
      </c>
      <c r="G5105">
        <v>0</v>
      </c>
      <c r="H5105">
        <v>44</v>
      </c>
      <c r="I5105">
        <v>0</v>
      </c>
      <c r="J5105">
        <v>1</v>
      </c>
      <c r="K5105">
        <v>0</v>
      </c>
    </row>
    <row r="5106" spans="1:11" x14ac:dyDescent="0.2">
      <c r="A5106">
        <v>41825</v>
      </c>
      <c r="B5106">
        <v>298671</v>
      </c>
      <c r="C5106" t="s">
        <v>8525</v>
      </c>
      <c r="D5106">
        <v>10</v>
      </c>
      <c r="E5106">
        <v>8</v>
      </c>
      <c r="F5106">
        <v>0</v>
      </c>
      <c r="G5106">
        <v>0</v>
      </c>
      <c r="H5106">
        <v>72</v>
      </c>
      <c r="I5106">
        <v>0</v>
      </c>
      <c r="J5106">
        <v>9.99</v>
      </c>
      <c r="K5106">
        <v>0</v>
      </c>
    </row>
    <row r="5107" spans="1:11" x14ac:dyDescent="0.2">
      <c r="A5107">
        <v>40813</v>
      </c>
      <c r="B5107">
        <v>298673</v>
      </c>
      <c r="C5107" t="s">
        <v>8526</v>
      </c>
      <c r="D5107">
        <v>10</v>
      </c>
      <c r="E5107">
        <v>6</v>
      </c>
      <c r="F5107">
        <v>0</v>
      </c>
      <c r="G5107">
        <v>0</v>
      </c>
      <c r="H5107">
        <v>240</v>
      </c>
      <c r="I5107">
        <v>0</v>
      </c>
      <c r="J5107">
        <v>9.99</v>
      </c>
      <c r="K5107">
        <v>0</v>
      </c>
    </row>
    <row r="5108" spans="1:11" x14ac:dyDescent="0.2">
      <c r="A5108">
        <v>39810</v>
      </c>
      <c r="B5108">
        <v>298675</v>
      </c>
      <c r="C5108" t="s">
        <v>8527</v>
      </c>
      <c r="D5108">
        <v>10</v>
      </c>
      <c r="E5108">
        <v>6</v>
      </c>
      <c r="F5108">
        <v>0</v>
      </c>
      <c r="G5108">
        <v>0</v>
      </c>
      <c r="H5108">
        <v>18</v>
      </c>
      <c r="I5108">
        <v>0</v>
      </c>
      <c r="J5108">
        <v>19.989999999999998</v>
      </c>
      <c r="K5108">
        <v>0</v>
      </c>
    </row>
    <row r="5109" spans="1:11" x14ac:dyDescent="0.2">
      <c r="A5109">
        <v>39811</v>
      </c>
      <c r="B5109">
        <v>298677</v>
      </c>
      <c r="C5109" t="s">
        <v>8528</v>
      </c>
      <c r="D5109">
        <v>10</v>
      </c>
      <c r="E5109">
        <v>8</v>
      </c>
      <c r="F5109">
        <v>0</v>
      </c>
      <c r="G5109">
        <v>0</v>
      </c>
      <c r="H5109">
        <v>60</v>
      </c>
      <c r="I5109">
        <v>0</v>
      </c>
      <c r="J5109">
        <v>9.99</v>
      </c>
      <c r="K5109">
        <v>0</v>
      </c>
    </row>
    <row r="5110" spans="1:11" x14ac:dyDescent="0.2">
      <c r="A5110">
        <v>50380</v>
      </c>
      <c r="B5110">
        <v>298678</v>
      </c>
      <c r="C5110" t="s">
        <v>5739</v>
      </c>
      <c r="D5110">
        <v>10</v>
      </c>
      <c r="E5110">
        <v>2</v>
      </c>
      <c r="F5110">
        <v>0</v>
      </c>
      <c r="G5110">
        <v>0</v>
      </c>
      <c r="H5110">
        <v>54</v>
      </c>
      <c r="I5110">
        <v>0</v>
      </c>
      <c r="J5110">
        <v>23.99</v>
      </c>
      <c r="K5110">
        <v>0</v>
      </c>
    </row>
    <row r="5111" spans="1:11" x14ac:dyDescent="0.2">
      <c r="A5111">
        <v>38849</v>
      </c>
      <c r="B5111">
        <v>298680</v>
      </c>
      <c r="C5111" t="s">
        <v>8529</v>
      </c>
      <c r="D5111">
        <v>10</v>
      </c>
      <c r="E5111">
        <v>8</v>
      </c>
      <c r="F5111">
        <v>0</v>
      </c>
      <c r="G5111">
        <v>0</v>
      </c>
      <c r="H5111">
        <v>99</v>
      </c>
      <c r="I5111">
        <v>0</v>
      </c>
      <c r="J5111">
        <v>7.99</v>
      </c>
      <c r="K5111">
        <v>0</v>
      </c>
    </row>
    <row r="5112" spans="1:11" x14ac:dyDescent="0.2">
      <c r="A5112">
        <v>2206</v>
      </c>
      <c r="B5112">
        <v>298681</v>
      </c>
      <c r="C5112" t="s">
        <v>8530</v>
      </c>
      <c r="D5112">
        <v>10</v>
      </c>
      <c r="E5112">
        <v>6</v>
      </c>
      <c r="F5112">
        <v>92</v>
      </c>
      <c r="G5112">
        <v>552</v>
      </c>
      <c r="H5112">
        <v>16</v>
      </c>
      <c r="I5112">
        <v>5.8</v>
      </c>
      <c r="J5112">
        <v>14.99</v>
      </c>
      <c r="K5112">
        <v>8274.48</v>
      </c>
    </row>
    <row r="5113" spans="1:11" x14ac:dyDescent="0.2">
      <c r="A5113">
        <v>47405</v>
      </c>
      <c r="B5113">
        <v>298684</v>
      </c>
      <c r="C5113" t="s">
        <v>8531</v>
      </c>
      <c r="D5113">
        <v>10</v>
      </c>
      <c r="E5113">
        <v>8</v>
      </c>
      <c r="F5113">
        <v>1</v>
      </c>
      <c r="G5113">
        <v>8</v>
      </c>
      <c r="H5113">
        <v>25</v>
      </c>
      <c r="I5113">
        <v>0</v>
      </c>
      <c r="J5113">
        <v>9.99</v>
      </c>
      <c r="K5113">
        <v>79.92</v>
      </c>
    </row>
    <row r="5114" spans="1:11" x14ac:dyDescent="0.2">
      <c r="A5114">
        <v>40814</v>
      </c>
      <c r="B5114">
        <v>298686</v>
      </c>
      <c r="C5114" t="s">
        <v>8532</v>
      </c>
      <c r="D5114">
        <v>10</v>
      </c>
      <c r="E5114">
        <v>12</v>
      </c>
      <c r="F5114">
        <v>0</v>
      </c>
      <c r="G5114">
        <v>0</v>
      </c>
      <c r="H5114">
        <v>36</v>
      </c>
      <c r="I5114">
        <v>0</v>
      </c>
      <c r="J5114">
        <v>4.99</v>
      </c>
      <c r="K5114">
        <v>0</v>
      </c>
    </row>
    <row r="5115" spans="1:11" x14ac:dyDescent="0.2">
      <c r="A5115">
        <v>2256</v>
      </c>
      <c r="B5115">
        <v>298691</v>
      </c>
      <c r="C5115" t="s">
        <v>8533</v>
      </c>
      <c r="D5115">
        <v>10</v>
      </c>
      <c r="E5115">
        <v>1</v>
      </c>
      <c r="F5115">
        <v>475</v>
      </c>
      <c r="G5115">
        <v>475</v>
      </c>
      <c r="H5115">
        <v>23</v>
      </c>
      <c r="I5115">
        <v>20.7</v>
      </c>
      <c r="J5115">
        <v>49.99</v>
      </c>
      <c r="K5115">
        <v>23745.25</v>
      </c>
    </row>
    <row r="5116" spans="1:11" x14ac:dyDescent="0.2">
      <c r="A5116">
        <v>45809</v>
      </c>
      <c r="B5116">
        <v>298692</v>
      </c>
      <c r="C5116" t="s">
        <v>8534</v>
      </c>
      <c r="D5116">
        <v>10</v>
      </c>
      <c r="E5116">
        <v>4</v>
      </c>
      <c r="F5116">
        <v>3</v>
      </c>
      <c r="G5116">
        <v>12</v>
      </c>
      <c r="H5116">
        <v>120</v>
      </c>
      <c r="I5116">
        <v>0</v>
      </c>
      <c r="J5116">
        <v>18.989999999999998</v>
      </c>
      <c r="K5116">
        <v>227.88</v>
      </c>
    </row>
    <row r="5117" spans="1:11" x14ac:dyDescent="0.2">
      <c r="A5117">
        <v>33822</v>
      </c>
      <c r="B5117">
        <v>298696</v>
      </c>
      <c r="C5117" t="s">
        <v>7896</v>
      </c>
      <c r="D5117">
        <v>10</v>
      </c>
      <c r="E5117">
        <v>6</v>
      </c>
      <c r="F5117">
        <v>0</v>
      </c>
      <c r="G5117">
        <v>0</v>
      </c>
      <c r="H5117">
        <v>18</v>
      </c>
      <c r="I5117">
        <v>0</v>
      </c>
      <c r="J5117">
        <v>11.99</v>
      </c>
      <c r="K5117">
        <v>0</v>
      </c>
    </row>
    <row r="5118" spans="1:11" x14ac:dyDescent="0.2">
      <c r="A5118">
        <v>50381</v>
      </c>
      <c r="B5118">
        <v>298700</v>
      </c>
      <c r="C5118" t="s">
        <v>8535</v>
      </c>
      <c r="D5118">
        <v>10</v>
      </c>
      <c r="E5118">
        <v>1</v>
      </c>
      <c r="F5118">
        <v>0</v>
      </c>
      <c r="G5118">
        <v>0</v>
      </c>
      <c r="H5118">
        <v>20</v>
      </c>
      <c r="I5118">
        <v>0</v>
      </c>
      <c r="J5118">
        <v>115</v>
      </c>
      <c r="K5118">
        <v>0</v>
      </c>
    </row>
    <row r="5119" spans="1:11" x14ac:dyDescent="0.2">
      <c r="A5119">
        <v>40815</v>
      </c>
      <c r="B5119">
        <v>298703</v>
      </c>
      <c r="C5119" t="s">
        <v>8536</v>
      </c>
      <c r="D5119">
        <v>10</v>
      </c>
      <c r="E5119">
        <v>2</v>
      </c>
      <c r="F5119">
        <v>0</v>
      </c>
      <c r="G5119">
        <v>0</v>
      </c>
      <c r="H5119">
        <v>66</v>
      </c>
      <c r="I5119">
        <v>0</v>
      </c>
      <c r="J5119">
        <v>29.99</v>
      </c>
      <c r="K5119">
        <v>0</v>
      </c>
    </row>
    <row r="5120" spans="1:11" x14ac:dyDescent="0.2">
      <c r="A5120">
        <v>36809</v>
      </c>
      <c r="B5120">
        <v>298704</v>
      </c>
      <c r="C5120" t="s">
        <v>8537</v>
      </c>
      <c r="D5120">
        <v>10</v>
      </c>
      <c r="E5120">
        <v>6</v>
      </c>
      <c r="F5120">
        <v>0</v>
      </c>
      <c r="G5120">
        <v>0</v>
      </c>
      <c r="H5120">
        <v>60</v>
      </c>
      <c r="I5120">
        <v>0</v>
      </c>
      <c r="J5120">
        <v>7.99</v>
      </c>
      <c r="K5120">
        <v>0</v>
      </c>
    </row>
    <row r="5121" spans="1:11" x14ac:dyDescent="0.2">
      <c r="A5121">
        <v>32819</v>
      </c>
      <c r="B5121">
        <v>298705</v>
      </c>
      <c r="C5121" t="s">
        <v>8538</v>
      </c>
      <c r="D5121">
        <v>10</v>
      </c>
      <c r="E5121">
        <v>3</v>
      </c>
      <c r="F5121">
        <v>0</v>
      </c>
      <c r="G5121">
        <v>0</v>
      </c>
      <c r="H5121">
        <v>20</v>
      </c>
      <c r="I5121">
        <v>0</v>
      </c>
      <c r="J5121">
        <v>19.989999999999998</v>
      </c>
      <c r="K5121">
        <v>0</v>
      </c>
    </row>
    <row r="5122" spans="1:11" x14ac:dyDescent="0.2">
      <c r="A5122">
        <v>40816</v>
      </c>
      <c r="B5122">
        <v>298707</v>
      </c>
      <c r="C5122" t="s">
        <v>7443</v>
      </c>
      <c r="D5122">
        <v>10</v>
      </c>
      <c r="E5122">
        <v>4</v>
      </c>
      <c r="F5122">
        <v>0</v>
      </c>
      <c r="G5122">
        <v>0</v>
      </c>
      <c r="H5122">
        <v>36</v>
      </c>
      <c r="I5122">
        <v>0</v>
      </c>
      <c r="J5122">
        <v>44.99</v>
      </c>
      <c r="K5122">
        <v>0</v>
      </c>
    </row>
    <row r="5123" spans="1:11" x14ac:dyDescent="0.2">
      <c r="A5123">
        <v>50807</v>
      </c>
      <c r="B5123">
        <v>298709</v>
      </c>
      <c r="C5123" t="s">
        <v>8539</v>
      </c>
      <c r="D5123">
        <v>10</v>
      </c>
      <c r="E5123">
        <v>8</v>
      </c>
      <c r="F5123">
        <v>-22</v>
      </c>
      <c r="G5123">
        <v>-176</v>
      </c>
      <c r="H5123">
        <v>288</v>
      </c>
      <c r="I5123">
        <v>-0.1</v>
      </c>
      <c r="J5123">
        <v>6.99</v>
      </c>
      <c r="K5123">
        <v>-1230.24</v>
      </c>
    </row>
    <row r="5124" spans="1:11" x14ac:dyDescent="0.2">
      <c r="A5124">
        <v>43904</v>
      </c>
      <c r="B5124">
        <v>298710</v>
      </c>
      <c r="C5124" t="s">
        <v>8540</v>
      </c>
      <c r="D5124">
        <v>10</v>
      </c>
      <c r="E5124">
        <v>20</v>
      </c>
      <c r="F5124">
        <v>0</v>
      </c>
      <c r="G5124">
        <v>0</v>
      </c>
      <c r="H5124">
        <v>198</v>
      </c>
      <c r="I5124">
        <v>0</v>
      </c>
      <c r="J5124">
        <v>1</v>
      </c>
      <c r="K5124">
        <v>0</v>
      </c>
    </row>
    <row r="5125" spans="1:11" x14ac:dyDescent="0.2">
      <c r="A5125">
        <v>33823</v>
      </c>
      <c r="B5125">
        <v>298713</v>
      </c>
      <c r="C5125" t="s">
        <v>8541</v>
      </c>
      <c r="D5125">
        <v>10</v>
      </c>
      <c r="E5125">
        <v>1</v>
      </c>
      <c r="F5125">
        <v>0</v>
      </c>
      <c r="G5125">
        <v>0</v>
      </c>
      <c r="H5125">
        <v>120</v>
      </c>
      <c r="I5125">
        <v>0</v>
      </c>
      <c r="J5125">
        <v>12.99</v>
      </c>
      <c r="K5125">
        <v>0</v>
      </c>
    </row>
    <row r="5126" spans="1:11" x14ac:dyDescent="0.2">
      <c r="A5126">
        <v>31820</v>
      </c>
      <c r="B5126">
        <v>298718</v>
      </c>
      <c r="C5126" t="s">
        <v>8542</v>
      </c>
      <c r="D5126">
        <v>10</v>
      </c>
      <c r="E5126">
        <v>12</v>
      </c>
      <c r="F5126">
        <v>0</v>
      </c>
      <c r="G5126">
        <v>0</v>
      </c>
      <c r="H5126">
        <v>84</v>
      </c>
      <c r="I5126">
        <v>0</v>
      </c>
      <c r="J5126">
        <v>4.99</v>
      </c>
      <c r="K5126">
        <v>0</v>
      </c>
    </row>
    <row r="5127" spans="1:11" x14ac:dyDescent="0.2">
      <c r="A5127">
        <v>40900</v>
      </c>
      <c r="B5127">
        <v>298719</v>
      </c>
      <c r="C5127" t="s">
        <v>8543</v>
      </c>
      <c r="D5127">
        <v>10</v>
      </c>
      <c r="E5127">
        <v>12</v>
      </c>
      <c r="F5127">
        <v>0</v>
      </c>
      <c r="G5127">
        <v>0</v>
      </c>
      <c r="H5127">
        <v>126</v>
      </c>
      <c r="I5127">
        <v>0</v>
      </c>
      <c r="J5127">
        <v>1</v>
      </c>
      <c r="K5127">
        <v>0</v>
      </c>
    </row>
    <row r="5128" spans="1:11" x14ac:dyDescent="0.2">
      <c r="A5128">
        <v>36810</v>
      </c>
      <c r="B5128">
        <v>298721</v>
      </c>
      <c r="C5128" t="s">
        <v>8462</v>
      </c>
      <c r="D5128">
        <v>10</v>
      </c>
      <c r="E5128">
        <v>5</v>
      </c>
      <c r="F5128">
        <v>0</v>
      </c>
      <c r="G5128">
        <v>0</v>
      </c>
      <c r="H5128">
        <v>27</v>
      </c>
      <c r="I5128">
        <v>0</v>
      </c>
      <c r="J5128">
        <v>14.99</v>
      </c>
      <c r="K5128">
        <v>0</v>
      </c>
    </row>
    <row r="5129" spans="1:11" x14ac:dyDescent="0.2">
      <c r="A5129">
        <v>42811</v>
      </c>
      <c r="B5129">
        <v>298727</v>
      </c>
      <c r="C5129" t="s">
        <v>8544</v>
      </c>
      <c r="D5129">
        <v>10</v>
      </c>
      <c r="E5129">
        <v>4</v>
      </c>
      <c r="F5129">
        <v>0</v>
      </c>
      <c r="G5129">
        <v>0</v>
      </c>
      <c r="H5129">
        <v>200</v>
      </c>
      <c r="I5129">
        <v>0</v>
      </c>
      <c r="J5129">
        <v>11.99</v>
      </c>
      <c r="K5129">
        <v>0</v>
      </c>
    </row>
    <row r="5130" spans="1:11" x14ac:dyDescent="0.2">
      <c r="A5130">
        <v>42812</v>
      </c>
      <c r="B5130">
        <v>298737</v>
      </c>
      <c r="C5130" t="s">
        <v>8545</v>
      </c>
      <c r="D5130">
        <v>10</v>
      </c>
      <c r="E5130">
        <v>2</v>
      </c>
      <c r="F5130">
        <v>0</v>
      </c>
      <c r="G5130">
        <v>0</v>
      </c>
      <c r="H5130">
        <v>45</v>
      </c>
      <c r="I5130">
        <v>0</v>
      </c>
      <c r="J5130">
        <v>19.989999999999998</v>
      </c>
      <c r="K5130">
        <v>0</v>
      </c>
    </row>
    <row r="5131" spans="1:11" x14ac:dyDescent="0.2">
      <c r="A5131">
        <v>43924</v>
      </c>
      <c r="B5131">
        <v>298741</v>
      </c>
      <c r="C5131" t="s">
        <v>8546</v>
      </c>
      <c r="D5131">
        <v>10</v>
      </c>
      <c r="E5131">
        <v>25</v>
      </c>
      <c r="F5131">
        <v>0</v>
      </c>
      <c r="G5131">
        <v>0</v>
      </c>
      <c r="H5131">
        <v>200</v>
      </c>
      <c r="I5131">
        <v>0</v>
      </c>
      <c r="J5131">
        <v>1</v>
      </c>
      <c r="K5131">
        <v>0</v>
      </c>
    </row>
    <row r="5132" spans="1:11" x14ac:dyDescent="0.2">
      <c r="A5132">
        <v>39813</v>
      </c>
      <c r="B5132">
        <v>298743</v>
      </c>
      <c r="C5132" t="s">
        <v>8547</v>
      </c>
      <c r="D5132">
        <v>10</v>
      </c>
      <c r="E5132">
        <v>4</v>
      </c>
      <c r="F5132">
        <v>0</v>
      </c>
      <c r="G5132">
        <v>0</v>
      </c>
      <c r="H5132">
        <v>60</v>
      </c>
      <c r="I5132">
        <v>0</v>
      </c>
      <c r="J5132">
        <v>16.989999999999998</v>
      </c>
      <c r="K5132">
        <v>0</v>
      </c>
    </row>
    <row r="5133" spans="1:11" x14ac:dyDescent="0.2">
      <c r="A5133">
        <v>42813</v>
      </c>
      <c r="B5133">
        <v>298749</v>
      </c>
      <c r="C5133" t="s">
        <v>8548</v>
      </c>
      <c r="D5133">
        <v>10</v>
      </c>
      <c r="E5133">
        <v>12</v>
      </c>
      <c r="F5133">
        <v>1</v>
      </c>
      <c r="G5133">
        <v>12</v>
      </c>
      <c r="H5133">
        <v>114</v>
      </c>
      <c r="I5133">
        <v>0</v>
      </c>
      <c r="J5133">
        <v>8.99</v>
      </c>
      <c r="K5133">
        <v>107.88</v>
      </c>
    </row>
    <row r="5134" spans="1:11" x14ac:dyDescent="0.2">
      <c r="A5134">
        <v>39814</v>
      </c>
      <c r="B5134">
        <v>298751</v>
      </c>
      <c r="C5134" t="s">
        <v>8549</v>
      </c>
      <c r="D5134">
        <v>10</v>
      </c>
      <c r="E5134">
        <v>9</v>
      </c>
      <c r="F5134">
        <v>0</v>
      </c>
      <c r="G5134">
        <v>0</v>
      </c>
      <c r="H5134">
        <v>45</v>
      </c>
      <c r="I5134">
        <v>0</v>
      </c>
      <c r="J5134">
        <v>6.99</v>
      </c>
      <c r="K5134">
        <v>0</v>
      </c>
    </row>
    <row r="5135" spans="1:11" x14ac:dyDescent="0.2">
      <c r="A5135">
        <v>35966</v>
      </c>
      <c r="B5135">
        <v>298753</v>
      </c>
      <c r="C5135" t="s">
        <v>8200</v>
      </c>
      <c r="D5135">
        <v>10</v>
      </c>
      <c r="E5135">
        <v>10</v>
      </c>
      <c r="F5135">
        <v>0</v>
      </c>
      <c r="G5135">
        <v>0</v>
      </c>
      <c r="H5135">
        <v>30</v>
      </c>
      <c r="I5135">
        <v>0</v>
      </c>
      <c r="J5135">
        <v>29.99</v>
      </c>
      <c r="K5135">
        <v>0</v>
      </c>
    </row>
    <row r="5136" spans="1:11" x14ac:dyDescent="0.2">
      <c r="A5136">
        <v>40817</v>
      </c>
      <c r="B5136">
        <v>298756</v>
      </c>
      <c r="C5136" t="s">
        <v>8550</v>
      </c>
      <c r="D5136">
        <v>10</v>
      </c>
      <c r="E5136">
        <v>4</v>
      </c>
      <c r="F5136">
        <v>0</v>
      </c>
      <c r="G5136">
        <v>0</v>
      </c>
      <c r="H5136">
        <v>88</v>
      </c>
      <c r="I5136">
        <v>0</v>
      </c>
      <c r="J5136">
        <v>14.99</v>
      </c>
      <c r="K5136">
        <v>0</v>
      </c>
    </row>
    <row r="5137" spans="1:11" x14ac:dyDescent="0.2">
      <c r="A5137">
        <v>47923</v>
      </c>
      <c r="B5137">
        <v>298762</v>
      </c>
      <c r="C5137" t="s">
        <v>8551</v>
      </c>
      <c r="D5137">
        <v>10</v>
      </c>
      <c r="E5137">
        <v>24</v>
      </c>
      <c r="F5137">
        <v>0</v>
      </c>
      <c r="G5137">
        <v>0</v>
      </c>
      <c r="H5137">
        <v>30</v>
      </c>
      <c r="I5137">
        <v>0</v>
      </c>
      <c r="J5137">
        <v>1</v>
      </c>
      <c r="K5137">
        <v>0</v>
      </c>
    </row>
    <row r="5138" spans="1:11" x14ac:dyDescent="0.2">
      <c r="A5138">
        <v>43817</v>
      </c>
      <c r="B5138">
        <v>298764</v>
      </c>
      <c r="C5138" t="s">
        <v>8200</v>
      </c>
      <c r="D5138">
        <v>10</v>
      </c>
      <c r="E5138">
        <v>8</v>
      </c>
      <c r="F5138">
        <v>0</v>
      </c>
      <c r="G5138">
        <v>0</v>
      </c>
      <c r="H5138">
        <v>42</v>
      </c>
      <c r="I5138">
        <v>0</v>
      </c>
      <c r="J5138">
        <v>29.99</v>
      </c>
      <c r="K5138">
        <v>0</v>
      </c>
    </row>
    <row r="5139" spans="1:11" x14ac:dyDescent="0.2">
      <c r="A5139">
        <v>40901</v>
      </c>
      <c r="B5139">
        <v>298765</v>
      </c>
      <c r="C5139" t="s">
        <v>8552</v>
      </c>
      <c r="D5139">
        <v>10</v>
      </c>
      <c r="E5139">
        <v>20</v>
      </c>
      <c r="F5139">
        <v>0</v>
      </c>
      <c r="G5139">
        <v>-1</v>
      </c>
      <c r="H5139">
        <v>20</v>
      </c>
      <c r="I5139">
        <v>0</v>
      </c>
      <c r="J5139">
        <v>1</v>
      </c>
      <c r="K5139">
        <v>-1</v>
      </c>
    </row>
    <row r="5140" spans="1:11" x14ac:dyDescent="0.2">
      <c r="A5140">
        <v>40885</v>
      </c>
      <c r="B5140">
        <v>298773</v>
      </c>
      <c r="C5140" t="s">
        <v>8553</v>
      </c>
      <c r="D5140">
        <v>10</v>
      </c>
      <c r="E5140">
        <v>24</v>
      </c>
      <c r="F5140">
        <v>0</v>
      </c>
      <c r="G5140">
        <v>0</v>
      </c>
      <c r="H5140">
        <v>40</v>
      </c>
      <c r="I5140">
        <v>0</v>
      </c>
      <c r="J5140">
        <v>1</v>
      </c>
      <c r="K5140">
        <v>0</v>
      </c>
    </row>
    <row r="5141" spans="1:11" x14ac:dyDescent="0.2">
      <c r="A5141">
        <v>35967</v>
      </c>
      <c r="B5141">
        <v>298776</v>
      </c>
      <c r="C5141" t="s">
        <v>8554</v>
      </c>
      <c r="D5141">
        <v>10</v>
      </c>
      <c r="E5141">
        <v>4</v>
      </c>
      <c r="F5141">
        <v>0</v>
      </c>
      <c r="G5141">
        <v>0</v>
      </c>
      <c r="H5141">
        <v>120</v>
      </c>
      <c r="I5141">
        <v>0</v>
      </c>
      <c r="J5141">
        <v>11.99</v>
      </c>
      <c r="K5141">
        <v>0</v>
      </c>
    </row>
    <row r="5142" spans="1:11" x14ac:dyDescent="0.2">
      <c r="A5142">
        <v>41826</v>
      </c>
      <c r="B5142">
        <v>298777</v>
      </c>
      <c r="C5142" t="s">
        <v>8555</v>
      </c>
      <c r="D5142">
        <v>10</v>
      </c>
      <c r="E5142">
        <v>4</v>
      </c>
      <c r="F5142">
        <v>0</v>
      </c>
      <c r="G5142">
        <v>0</v>
      </c>
      <c r="H5142">
        <v>36</v>
      </c>
      <c r="I5142">
        <v>0</v>
      </c>
      <c r="J5142">
        <v>19.989999999999998</v>
      </c>
      <c r="K5142">
        <v>0</v>
      </c>
    </row>
    <row r="5143" spans="1:11" x14ac:dyDescent="0.2">
      <c r="A5143">
        <v>43818</v>
      </c>
      <c r="B5143">
        <v>298778</v>
      </c>
      <c r="C5143" t="s">
        <v>8556</v>
      </c>
      <c r="D5143">
        <v>10</v>
      </c>
      <c r="E5143">
        <v>8</v>
      </c>
      <c r="F5143">
        <v>1</v>
      </c>
      <c r="G5143">
        <v>8</v>
      </c>
      <c r="H5143">
        <v>12</v>
      </c>
      <c r="I5143">
        <v>0.1</v>
      </c>
      <c r="J5143">
        <v>6.99</v>
      </c>
      <c r="K5143">
        <v>55.92</v>
      </c>
    </row>
    <row r="5144" spans="1:11" x14ac:dyDescent="0.2">
      <c r="A5144">
        <v>39815</v>
      </c>
      <c r="B5144">
        <v>298780</v>
      </c>
      <c r="C5144" t="s">
        <v>8557</v>
      </c>
      <c r="D5144">
        <v>10</v>
      </c>
      <c r="E5144">
        <v>12</v>
      </c>
      <c r="F5144">
        <v>0</v>
      </c>
      <c r="G5144">
        <v>0</v>
      </c>
      <c r="H5144">
        <v>100</v>
      </c>
      <c r="I5144">
        <v>0</v>
      </c>
      <c r="J5144">
        <v>8.99</v>
      </c>
      <c r="K5144">
        <v>0</v>
      </c>
    </row>
    <row r="5145" spans="1:11" x14ac:dyDescent="0.2">
      <c r="A5145">
        <v>32820</v>
      </c>
      <c r="B5145">
        <v>298781</v>
      </c>
      <c r="C5145" t="s">
        <v>8558</v>
      </c>
      <c r="D5145">
        <v>10</v>
      </c>
      <c r="E5145">
        <v>12</v>
      </c>
      <c r="F5145">
        <v>0</v>
      </c>
      <c r="G5145">
        <v>0</v>
      </c>
      <c r="H5145">
        <v>160</v>
      </c>
      <c r="I5145">
        <v>0</v>
      </c>
      <c r="J5145">
        <v>4.99</v>
      </c>
      <c r="K5145">
        <v>0</v>
      </c>
    </row>
    <row r="5146" spans="1:11" x14ac:dyDescent="0.2">
      <c r="A5146">
        <v>47901</v>
      </c>
      <c r="B5146">
        <v>298784</v>
      </c>
      <c r="C5146" t="s">
        <v>8559</v>
      </c>
      <c r="D5146">
        <v>10</v>
      </c>
      <c r="E5146">
        <v>12</v>
      </c>
      <c r="F5146">
        <v>0</v>
      </c>
      <c r="G5146">
        <v>0</v>
      </c>
      <c r="H5146">
        <v>108</v>
      </c>
      <c r="I5146">
        <v>0</v>
      </c>
      <c r="J5146">
        <v>1</v>
      </c>
      <c r="K5146">
        <v>0</v>
      </c>
    </row>
    <row r="5147" spans="1:11" x14ac:dyDescent="0.2">
      <c r="A5147">
        <v>33824</v>
      </c>
      <c r="B5147">
        <v>298787</v>
      </c>
      <c r="C5147" t="s">
        <v>8560</v>
      </c>
      <c r="D5147">
        <v>10</v>
      </c>
      <c r="E5147">
        <v>10</v>
      </c>
      <c r="F5147">
        <v>0</v>
      </c>
      <c r="G5147">
        <v>0</v>
      </c>
      <c r="H5147">
        <v>12</v>
      </c>
      <c r="I5147">
        <v>0</v>
      </c>
      <c r="J5147">
        <v>9.99</v>
      </c>
      <c r="K5147">
        <v>0</v>
      </c>
    </row>
    <row r="5148" spans="1:11" x14ac:dyDescent="0.2">
      <c r="A5148">
        <v>47406</v>
      </c>
      <c r="B5148">
        <v>298788</v>
      </c>
      <c r="C5148" t="s">
        <v>8561</v>
      </c>
      <c r="D5148">
        <v>10</v>
      </c>
      <c r="E5148">
        <v>8</v>
      </c>
      <c r="F5148">
        <v>0</v>
      </c>
      <c r="G5148">
        <v>0</v>
      </c>
      <c r="H5148">
        <v>30</v>
      </c>
      <c r="I5148">
        <v>0</v>
      </c>
      <c r="J5148">
        <v>9.99</v>
      </c>
      <c r="K5148">
        <v>0</v>
      </c>
    </row>
    <row r="5149" spans="1:11" x14ac:dyDescent="0.2">
      <c r="A5149">
        <v>29025</v>
      </c>
      <c r="B5149">
        <v>298789</v>
      </c>
      <c r="C5149" t="s">
        <v>8562</v>
      </c>
      <c r="D5149">
        <v>10</v>
      </c>
      <c r="E5149">
        <v>6</v>
      </c>
      <c r="F5149">
        <v>0</v>
      </c>
      <c r="G5149">
        <v>0</v>
      </c>
      <c r="H5149">
        <v>100</v>
      </c>
      <c r="I5149">
        <v>0</v>
      </c>
      <c r="J5149">
        <v>13.99</v>
      </c>
      <c r="K5149">
        <v>0</v>
      </c>
    </row>
    <row r="5150" spans="1:11" x14ac:dyDescent="0.2">
      <c r="A5150">
        <v>42814</v>
      </c>
      <c r="B5150">
        <v>298792</v>
      </c>
      <c r="C5150" t="s">
        <v>8563</v>
      </c>
      <c r="D5150">
        <v>10</v>
      </c>
      <c r="E5150">
        <v>6</v>
      </c>
      <c r="F5150">
        <v>1</v>
      </c>
      <c r="G5150">
        <v>6</v>
      </c>
      <c r="H5150">
        <v>112</v>
      </c>
      <c r="I5150">
        <v>0</v>
      </c>
      <c r="J5150">
        <v>19.989999999999998</v>
      </c>
      <c r="K5150">
        <v>119.94</v>
      </c>
    </row>
    <row r="5151" spans="1:11" x14ac:dyDescent="0.2">
      <c r="A5151">
        <v>34816</v>
      </c>
      <c r="B5151">
        <v>298793</v>
      </c>
      <c r="C5151" t="s">
        <v>8564</v>
      </c>
      <c r="D5151">
        <v>10</v>
      </c>
      <c r="E5151">
        <v>5</v>
      </c>
      <c r="F5151">
        <v>0</v>
      </c>
      <c r="G5151">
        <v>0</v>
      </c>
      <c r="H5151">
        <v>40</v>
      </c>
      <c r="I5151">
        <v>0</v>
      </c>
      <c r="J5151">
        <v>13.99</v>
      </c>
      <c r="K5151">
        <v>0</v>
      </c>
    </row>
    <row r="5152" spans="1:11" x14ac:dyDescent="0.2">
      <c r="A5152">
        <v>37819</v>
      </c>
      <c r="B5152">
        <v>298795</v>
      </c>
      <c r="C5152" t="s">
        <v>8565</v>
      </c>
      <c r="D5152">
        <v>10</v>
      </c>
      <c r="E5152">
        <v>4</v>
      </c>
      <c r="F5152">
        <v>0</v>
      </c>
      <c r="G5152">
        <v>0</v>
      </c>
      <c r="H5152">
        <v>120</v>
      </c>
      <c r="I5152">
        <v>0</v>
      </c>
      <c r="J5152">
        <v>16.989999999999998</v>
      </c>
      <c r="K5152">
        <v>0</v>
      </c>
    </row>
    <row r="5153" spans="1:11" x14ac:dyDescent="0.2">
      <c r="A5153">
        <v>49026</v>
      </c>
      <c r="B5153">
        <v>298806</v>
      </c>
      <c r="C5153" t="s">
        <v>8566</v>
      </c>
      <c r="D5153">
        <v>10</v>
      </c>
      <c r="E5153">
        <v>4</v>
      </c>
      <c r="F5153">
        <v>0</v>
      </c>
      <c r="G5153">
        <v>0</v>
      </c>
      <c r="H5153">
        <v>54</v>
      </c>
      <c r="I5153">
        <v>0</v>
      </c>
      <c r="J5153">
        <v>5.99</v>
      </c>
      <c r="K5153">
        <v>0</v>
      </c>
    </row>
    <row r="5154" spans="1:11" x14ac:dyDescent="0.2">
      <c r="A5154">
        <v>49803</v>
      </c>
      <c r="B5154">
        <v>298810</v>
      </c>
      <c r="C5154" t="s">
        <v>7671</v>
      </c>
      <c r="D5154">
        <v>6</v>
      </c>
      <c r="E5154">
        <v>2</v>
      </c>
      <c r="F5154">
        <v>42</v>
      </c>
      <c r="G5154">
        <v>83</v>
      </c>
      <c r="H5154">
        <v>50</v>
      </c>
      <c r="I5154">
        <v>0.8</v>
      </c>
      <c r="J5154">
        <v>29.99</v>
      </c>
      <c r="K5154">
        <v>2489.17</v>
      </c>
    </row>
    <row r="5155" spans="1:11" x14ac:dyDescent="0.2">
      <c r="A5155">
        <v>38410</v>
      </c>
      <c r="B5155">
        <v>298811</v>
      </c>
      <c r="C5155" t="s">
        <v>8567</v>
      </c>
      <c r="D5155">
        <v>10</v>
      </c>
      <c r="E5155">
        <v>18</v>
      </c>
      <c r="F5155">
        <v>-1</v>
      </c>
      <c r="G5155">
        <v>-18</v>
      </c>
      <c r="H5155">
        <v>98</v>
      </c>
      <c r="I5155">
        <v>0</v>
      </c>
      <c r="J5155">
        <v>1</v>
      </c>
      <c r="K5155">
        <v>-18</v>
      </c>
    </row>
    <row r="5156" spans="1:11" x14ac:dyDescent="0.2">
      <c r="A5156">
        <v>32821</v>
      </c>
      <c r="B5156">
        <v>298815</v>
      </c>
      <c r="C5156" t="s">
        <v>8568</v>
      </c>
      <c r="D5156">
        <v>10</v>
      </c>
      <c r="E5156">
        <v>8</v>
      </c>
      <c r="F5156">
        <v>0</v>
      </c>
      <c r="G5156">
        <v>0</v>
      </c>
      <c r="H5156">
        <v>104</v>
      </c>
      <c r="I5156">
        <v>0</v>
      </c>
      <c r="J5156">
        <v>9.99</v>
      </c>
      <c r="K5156">
        <v>0</v>
      </c>
    </row>
    <row r="5157" spans="1:11" x14ac:dyDescent="0.2">
      <c r="A5157">
        <v>33826</v>
      </c>
      <c r="B5157">
        <v>298819</v>
      </c>
      <c r="C5157" t="s">
        <v>8569</v>
      </c>
      <c r="D5157">
        <v>10</v>
      </c>
      <c r="E5157">
        <v>8</v>
      </c>
      <c r="F5157">
        <v>0</v>
      </c>
      <c r="G5157">
        <v>0</v>
      </c>
      <c r="H5157">
        <v>16</v>
      </c>
      <c r="I5157">
        <v>0</v>
      </c>
      <c r="J5157">
        <v>11.99</v>
      </c>
      <c r="K5157">
        <v>0</v>
      </c>
    </row>
    <row r="5158" spans="1:11" x14ac:dyDescent="0.2">
      <c r="A5158">
        <v>40886</v>
      </c>
      <c r="B5158">
        <v>298821</v>
      </c>
      <c r="C5158" t="s">
        <v>8570</v>
      </c>
      <c r="D5158">
        <v>10</v>
      </c>
      <c r="E5158">
        <v>48</v>
      </c>
      <c r="F5158">
        <v>0</v>
      </c>
      <c r="G5158">
        <v>0</v>
      </c>
      <c r="H5158">
        <v>28</v>
      </c>
      <c r="I5158">
        <v>0</v>
      </c>
      <c r="J5158">
        <v>1</v>
      </c>
      <c r="K5158">
        <v>0</v>
      </c>
    </row>
    <row r="5159" spans="1:11" x14ac:dyDescent="0.2">
      <c r="A5159">
        <v>37820</v>
      </c>
      <c r="B5159">
        <v>298823</v>
      </c>
      <c r="C5159" t="s">
        <v>8571</v>
      </c>
      <c r="D5159">
        <v>10</v>
      </c>
      <c r="E5159">
        <v>12</v>
      </c>
      <c r="F5159">
        <v>0</v>
      </c>
      <c r="G5159">
        <v>0</v>
      </c>
      <c r="H5159">
        <v>84</v>
      </c>
      <c r="I5159">
        <v>0</v>
      </c>
      <c r="J5159">
        <v>3.49</v>
      </c>
      <c r="K5159">
        <v>0</v>
      </c>
    </row>
    <row r="5160" spans="1:11" x14ac:dyDescent="0.2">
      <c r="A5160">
        <v>43925</v>
      </c>
      <c r="B5160">
        <v>298825</v>
      </c>
      <c r="C5160" t="s">
        <v>8572</v>
      </c>
      <c r="D5160">
        <v>6</v>
      </c>
      <c r="E5160">
        <v>12</v>
      </c>
      <c r="F5160">
        <v>0</v>
      </c>
      <c r="G5160">
        <v>0</v>
      </c>
      <c r="H5160">
        <v>75</v>
      </c>
      <c r="I5160">
        <v>0</v>
      </c>
      <c r="J5160">
        <v>1</v>
      </c>
      <c r="K5160">
        <v>0</v>
      </c>
    </row>
    <row r="5161" spans="1:11" x14ac:dyDescent="0.2">
      <c r="A5161">
        <v>1320</v>
      </c>
      <c r="B5161">
        <v>298828</v>
      </c>
      <c r="C5161" t="s">
        <v>8573</v>
      </c>
      <c r="D5161">
        <v>10</v>
      </c>
      <c r="E5161">
        <v>1</v>
      </c>
      <c r="F5161">
        <v>407</v>
      </c>
      <c r="G5161">
        <v>407</v>
      </c>
      <c r="H5161">
        <v>18</v>
      </c>
      <c r="I5161">
        <v>22.6</v>
      </c>
      <c r="J5161">
        <v>84.99</v>
      </c>
      <c r="K5161">
        <v>34590.93</v>
      </c>
    </row>
    <row r="5162" spans="1:11" x14ac:dyDescent="0.2">
      <c r="A5162">
        <v>40818</v>
      </c>
      <c r="B5162">
        <v>298829</v>
      </c>
      <c r="C5162" t="s">
        <v>8574</v>
      </c>
      <c r="D5162">
        <v>10</v>
      </c>
      <c r="E5162">
        <v>10</v>
      </c>
      <c r="F5162">
        <v>0</v>
      </c>
      <c r="G5162">
        <v>0</v>
      </c>
      <c r="H5162">
        <v>70</v>
      </c>
      <c r="I5162">
        <v>0</v>
      </c>
      <c r="J5162">
        <v>6.99</v>
      </c>
      <c r="K5162">
        <v>0</v>
      </c>
    </row>
    <row r="5163" spans="1:11" x14ac:dyDescent="0.2">
      <c r="A5163">
        <v>47902</v>
      </c>
      <c r="B5163">
        <v>298834</v>
      </c>
      <c r="C5163" t="s">
        <v>8575</v>
      </c>
      <c r="D5163">
        <v>10</v>
      </c>
      <c r="E5163">
        <v>20</v>
      </c>
      <c r="F5163">
        <v>0</v>
      </c>
      <c r="G5163">
        <v>0</v>
      </c>
      <c r="H5163">
        <v>60</v>
      </c>
      <c r="I5163">
        <v>0</v>
      </c>
      <c r="J5163">
        <v>1</v>
      </c>
      <c r="K5163">
        <v>0</v>
      </c>
    </row>
    <row r="5164" spans="1:11" x14ac:dyDescent="0.2">
      <c r="A5164">
        <v>42815</v>
      </c>
      <c r="B5164">
        <v>298835</v>
      </c>
      <c r="C5164" t="s">
        <v>8576</v>
      </c>
      <c r="D5164">
        <v>10</v>
      </c>
      <c r="E5164">
        <v>4</v>
      </c>
      <c r="F5164">
        <v>0</v>
      </c>
      <c r="G5164">
        <v>0</v>
      </c>
      <c r="H5164">
        <v>84</v>
      </c>
      <c r="I5164">
        <v>0</v>
      </c>
      <c r="J5164">
        <v>17.989999999999998</v>
      </c>
      <c r="K5164">
        <v>0</v>
      </c>
    </row>
    <row r="5165" spans="1:11" x14ac:dyDescent="0.2">
      <c r="A5165">
        <v>38850</v>
      </c>
      <c r="B5165">
        <v>298836</v>
      </c>
      <c r="C5165" t="s">
        <v>8577</v>
      </c>
      <c r="D5165">
        <v>10</v>
      </c>
      <c r="E5165">
        <v>6</v>
      </c>
      <c r="F5165">
        <v>0</v>
      </c>
      <c r="G5165">
        <v>0</v>
      </c>
      <c r="H5165">
        <v>180</v>
      </c>
      <c r="I5165">
        <v>0</v>
      </c>
      <c r="J5165">
        <v>4.99</v>
      </c>
      <c r="K5165">
        <v>0</v>
      </c>
    </row>
    <row r="5166" spans="1:11" x14ac:dyDescent="0.2">
      <c r="A5166">
        <v>51068</v>
      </c>
      <c r="B5166">
        <v>298838</v>
      </c>
      <c r="C5166" t="s">
        <v>8578</v>
      </c>
      <c r="D5166">
        <v>10</v>
      </c>
      <c r="E5166">
        <v>4</v>
      </c>
      <c r="F5166">
        <v>-1</v>
      </c>
      <c r="G5166">
        <v>-2</v>
      </c>
      <c r="H5166">
        <v>135</v>
      </c>
      <c r="I5166">
        <v>0</v>
      </c>
      <c r="J5166">
        <v>18.989999999999998</v>
      </c>
      <c r="K5166">
        <v>-37.979999999999997</v>
      </c>
    </row>
    <row r="5167" spans="1:11" x14ac:dyDescent="0.2">
      <c r="A5167">
        <v>39816</v>
      </c>
      <c r="B5167">
        <v>298857</v>
      </c>
      <c r="C5167" t="s">
        <v>8579</v>
      </c>
      <c r="D5167">
        <v>10</v>
      </c>
      <c r="E5167">
        <v>20</v>
      </c>
      <c r="F5167">
        <v>0</v>
      </c>
      <c r="G5167">
        <v>0</v>
      </c>
      <c r="H5167">
        <v>30</v>
      </c>
      <c r="I5167">
        <v>0</v>
      </c>
      <c r="J5167">
        <v>4.49</v>
      </c>
      <c r="K5167">
        <v>0</v>
      </c>
    </row>
    <row r="5168" spans="1:11" x14ac:dyDescent="0.2">
      <c r="A5168">
        <v>34818</v>
      </c>
      <c r="B5168">
        <v>298858</v>
      </c>
      <c r="C5168" t="s">
        <v>7642</v>
      </c>
      <c r="D5168">
        <v>10</v>
      </c>
      <c r="E5168">
        <v>20</v>
      </c>
      <c r="F5168">
        <v>0</v>
      </c>
      <c r="G5168">
        <v>0</v>
      </c>
      <c r="H5168">
        <v>20</v>
      </c>
      <c r="I5168">
        <v>0</v>
      </c>
      <c r="J5168">
        <v>4.99</v>
      </c>
      <c r="K5168">
        <v>0</v>
      </c>
    </row>
    <row r="5169" spans="1:11" x14ac:dyDescent="0.2">
      <c r="A5169">
        <v>35969</v>
      </c>
      <c r="B5169">
        <v>298860</v>
      </c>
      <c r="C5169" t="s">
        <v>8580</v>
      </c>
      <c r="D5169">
        <v>10</v>
      </c>
      <c r="E5169">
        <v>22</v>
      </c>
      <c r="F5169">
        <v>0</v>
      </c>
      <c r="G5169">
        <v>0</v>
      </c>
      <c r="H5169">
        <v>160</v>
      </c>
      <c r="I5169">
        <v>0</v>
      </c>
      <c r="J5169">
        <v>2.99</v>
      </c>
      <c r="K5169">
        <v>0</v>
      </c>
    </row>
    <row r="5170" spans="1:11" x14ac:dyDescent="0.2">
      <c r="A5170">
        <v>40902</v>
      </c>
      <c r="B5170">
        <v>298861</v>
      </c>
      <c r="C5170" t="s">
        <v>8581</v>
      </c>
      <c r="D5170">
        <v>10</v>
      </c>
      <c r="E5170">
        <v>53</v>
      </c>
      <c r="F5170">
        <v>0</v>
      </c>
      <c r="G5170">
        <v>0</v>
      </c>
      <c r="H5170">
        <v>40</v>
      </c>
      <c r="I5170">
        <v>0</v>
      </c>
      <c r="J5170">
        <v>1</v>
      </c>
      <c r="K5170">
        <v>0</v>
      </c>
    </row>
    <row r="5171" spans="1:11" x14ac:dyDescent="0.2">
      <c r="A5171">
        <v>43819</v>
      </c>
      <c r="B5171">
        <v>298863</v>
      </c>
      <c r="C5171" t="s">
        <v>8582</v>
      </c>
      <c r="D5171">
        <v>10</v>
      </c>
      <c r="E5171">
        <v>6</v>
      </c>
      <c r="F5171">
        <v>2</v>
      </c>
      <c r="G5171">
        <v>12</v>
      </c>
      <c r="H5171">
        <v>40</v>
      </c>
      <c r="I5171">
        <v>0.1</v>
      </c>
      <c r="J5171">
        <v>14.99</v>
      </c>
      <c r="K5171">
        <v>179.88</v>
      </c>
    </row>
    <row r="5172" spans="1:11" x14ac:dyDescent="0.2">
      <c r="A5172">
        <v>43820</v>
      </c>
      <c r="B5172">
        <v>298864</v>
      </c>
      <c r="C5172" t="s">
        <v>8583</v>
      </c>
      <c r="D5172">
        <v>10</v>
      </c>
      <c r="E5172">
        <v>10</v>
      </c>
      <c r="F5172">
        <v>0</v>
      </c>
      <c r="G5172">
        <v>0</v>
      </c>
      <c r="H5172">
        <v>360</v>
      </c>
      <c r="I5172">
        <v>0</v>
      </c>
      <c r="J5172">
        <v>3.99</v>
      </c>
      <c r="K5172">
        <v>0</v>
      </c>
    </row>
    <row r="5173" spans="1:11" x14ac:dyDescent="0.2">
      <c r="A5173">
        <v>43926</v>
      </c>
      <c r="B5173">
        <v>298867</v>
      </c>
      <c r="C5173" t="s">
        <v>8584</v>
      </c>
      <c r="D5173">
        <v>10</v>
      </c>
      <c r="E5173">
        <v>24</v>
      </c>
      <c r="F5173">
        <v>0</v>
      </c>
      <c r="G5173">
        <v>0</v>
      </c>
      <c r="H5173">
        <v>168</v>
      </c>
      <c r="I5173">
        <v>0</v>
      </c>
      <c r="J5173">
        <v>1</v>
      </c>
      <c r="K5173">
        <v>0</v>
      </c>
    </row>
    <row r="5174" spans="1:11" x14ac:dyDescent="0.2">
      <c r="A5174">
        <v>49804</v>
      </c>
      <c r="B5174">
        <v>298871</v>
      </c>
      <c r="C5174" t="s">
        <v>8585</v>
      </c>
      <c r="D5174">
        <v>10</v>
      </c>
      <c r="E5174">
        <v>2</v>
      </c>
      <c r="F5174">
        <v>29</v>
      </c>
      <c r="G5174">
        <v>58</v>
      </c>
      <c r="H5174">
        <v>25</v>
      </c>
      <c r="I5174">
        <v>1.2</v>
      </c>
      <c r="J5174">
        <v>49.99</v>
      </c>
      <c r="K5174">
        <v>2899.42</v>
      </c>
    </row>
    <row r="5175" spans="1:11" x14ac:dyDescent="0.2">
      <c r="A5175">
        <v>40819</v>
      </c>
      <c r="B5175">
        <v>298874</v>
      </c>
      <c r="C5175" t="s">
        <v>8586</v>
      </c>
      <c r="D5175">
        <v>10</v>
      </c>
      <c r="E5175">
        <v>18</v>
      </c>
      <c r="F5175">
        <v>0</v>
      </c>
      <c r="G5175">
        <v>0</v>
      </c>
      <c r="H5175">
        <v>24</v>
      </c>
      <c r="I5175">
        <v>0</v>
      </c>
      <c r="J5175">
        <v>3.99</v>
      </c>
      <c r="K5175">
        <v>0</v>
      </c>
    </row>
    <row r="5176" spans="1:11" x14ac:dyDescent="0.2">
      <c r="A5176">
        <v>42816</v>
      </c>
      <c r="B5176">
        <v>298875</v>
      </c>
      <c r="C5176" t="s">
        <v>8587</v>
      </c>
      <c r="D5176">
        <v>10</v>
      </c>
      <c r="E5176">
        <v>6</v>
      </c>
      <c r="F5176">
        <v>0</v>
      </c>
      <c r="G5176">
        <v>0</v>
      </c>
      <c r="H5176">
        <v>24</v>
      </c>
      <c r="I5176">
        <v>0</v>
      </c>
      <c r="J5176">
        <v>8.99</v>
      </c>
      <c r="K5176">
        <v>0</v>
      </c>
    </row>
    <row r="5177" spans="1:11" x14ac:dyDescent="0.2">
      <c r="A5177">
        <v>43927</v>
      </c>
      <c r="B5177">
        <v>298877</v>
      </c>
      <c r="C5177" t="s">
        <v>8588</v>
      </c>
      <c r="D5177">
        <v>10</v>
      </c>
      <c r="E5177">
        <v>25</v>
      </c>
      <c r="F5177">
        <v>0</v>
      </c>
      <c r="G5177">
        <v>0</v>
      </c>
      <c r="H5177">
        <v>137</v>
      </c>
      <c r="I5177">
        <v>0</v>
      </c>
      <c r="J5177">
        <v>0.5</v>
      </c>
      <c r="K5177">
        <v>0</v>
      </c>
    </row>
    <row r="5178" spans="1:11" x14ac:dyDescent="0.2">
      <c r="A5178">
        <v>44819</v>
      </c>
      <c r="B5178">
        <v>298883</v>
      </c>
      <c r="C5178" t="s">
        <v>8589</v>
      </c>
      <c r="D5178">
        <v>10</v>
      </c>
      <c r="E5178">
        <v>2</v>
      </c>
      <c r="F5178">
        <v>-1</v>
      </c>
      <c r="G5178">
        <v>-1</v>
      </c>
      <c r="H5178">
        <v>25</v>
      </c>
      <c r="I5178">
        <v>0</v>
      </c>
      <c r="J5178">
        <v>39.99</v>
      </c>
      <c r="K5178">
        <v>-39.99</v>
      </c>
    </row>
    <row r="5179" spans="1:11" x14ac:dyDescent="0.2">
      <c r="A5179">
        <v>43928</v>
      </c>
      <c r="B5179">
        <v>298884</v>
      </c>
      <c r="C5179" t="s">
        <v>8590</v>
      </c>
      <c r="D5179">
        <v>10</v>
      </c>
      <c r="E5179">
        <v>50</v>
      </c>
      <c r="F5179">
        <v>0</v>
      </c>
      <c r="G5179">
        <v>0</v>
      </c>
      <c r="H5179">
        <v>91</v>
      </c>
      <c r="I5179">
        <v>0</v>
      </c>
      <c r="J5179">
        <v>0.5</v>
      </c>
      <c r="K5179">
        <v>0</v>
      </c>
    </row>
    <row r="5180" spans="1:11" x14ac:dyDescent="0.2">
      <c r="A5180">
        <v>40887</v>
      </c>
      <c r="B5180">
        <v>298885</v>
      </c>
      <c r="C5180" t="s">
        <v>8591</v>
      </c>
      <c r="D5180">
        <v>10</v>
      </c>
      <c r="E5180">
        <v>30</v>
      </c>
      <c r="F5180">
        <v>0</v>
      </c>
      <c r="G5180">
        <v>0</v>
      </c>
      <c r="H5180">
        <v>235</v>
      </c>
      <c r="I5180">
        <v>0</v>
      </c>
      <c r="J5180">
        <v>0.5</v>
      </c>
      <c r="K5180">
        <v>0</v>
      </c>
    </row>
    <row r="5181" spans="1:11" x14ac:dyDescent="0.2">
      <c r="A5181">
        <v>43929</v>
      </c>
      <c r="B5181">
        <v>298888</v>
      </c>
      <c r="C5181" t="s">
        <v>8592</v>
      </c>
      <c r="D5181">
        <v>10</v>
      </c>
      <c r="E5181">
        <v>24</v>
      </c>
      <c r="F5181">
        <v>0</v>
      </c>
      <c r="G5181">
        <v>0</v>
      </c>
      <c r="H5181">
        <v>240</v>
      </c>
      <c r="I5181">
        <v>0</v>
      </c>
      <c r="J5181">
        <v>0.5</v>
      </c>
      <c r="K5181">
        <v>0</v>
      </c>
    </row>
    <row r="5182" spans="1:11" x14ac:dyDescent="0.2">
      <c r="A5182">
        <v>40888</v>
      </c>
      <c r="B5182">
        <v>298889</v>
      </c>
      <c r="C5182" t="s">
        <v>8591</v>
      </c>
      <c r="D5182">
        <v>10</v>
      </c>
      <c r="E5182">
        <v>50</v>
      </c>
      <c r="F5182">
        <v>6</v>
      </c>
      <c r="G5182">
        <v>297</v>
      </c>
      <c r="H5182">
        <v>110</v>
      </c>
      <c r="I5182">
        <v>0.1</v>
      </c>
      <c r="J5182">
        <v>0.5</v>
      </c>
      <c r="K5182">
        <v>148.5</v>
      </c>
    </row>
    <row r="5183" spans="1:11" x14ac:dyDescent="0.2">
      <c r="A5183">
        <v>47924</v>
      </c>
      <c r="B5183">
        <v>298893</v>
      </c>
      <c r="C5183" t="s">
        <v>8593</v>
      </c>
      <c r="D5183">
        <v>10</v>
      </c>
      <c r="E5183">
        <v>24</v>
      </c>
      <c r="F5183">
        <v>0</v>
      </c>
      <c r="G5183">
        <v>0</v>
      </c>
      <c r="H5183">
        <v>112</v>
      </c>
      <c r="I5183">
        <v>0</v>
      </c>
      <c r="J5183">
        <v>1</v>
      </c>
      <c r="K5183">
        <v>0</v>
      </c>
    </row>
    <row r="5184" spans="1:11" x14ac:dyDescent="0.2">
      <c r="A5184">
        <v>42817</v>
      </c>
      <c r="B5184">
        <v>298896</v>
      </c>
      <c r="C5184" t="s">
        <v>8594</v>
      </c>
      <c r="D5184">
        <v>10</v>
      </c>
      <c r="E5184">
        <v>4</v>
      </c>
      <c r="F5184">
        <v>0</v>
      </c>
      <c r="G5184">
        <v>0</v>
      </c>
      <c r="H5184">
        <v>24</v>
      </c>
      <c r="I5184">
        <v>0</v>
      </c>
      <c r="J5184">
        <v>16.989999999999998</v>
      </c>
      <c r="K5184">
        <v>0</v>
      </c>
    </row>
    <row r="5185" spans="1:11" x14ac:dyDescent="0.2">
      <c r="A5185">
        <v>35970</v>
      </c>
      <c r="B5185">
        <v>300001</v>
      </c>
      <c r="C5185" t="s">
        <v>8595</v>
      </c>
      <c r="D5185">
        <v>10</v>
      </c>
      <c r="E5185">
        <v>12</v>
      </c>
      <c r="F5185">
        <v>0</v>
      </c>
      <c r="G5185">
        <v>0</v>
      </c>
      <c r="H5185">
        <v>96</v>
      </c>
      <c r="I5185">
        <v>0</v>
      </c>
      <c r="J5185">
        <v>7.99</v>
      </c>
      <c r="K5185">
        <v>0</v>
      </c>
    </row>
    <row r="5186" spans="1:11" x14ac:dyDescent="0.2">
      <c r="A5186">
        <v>42818</v>
      </c>
      <c r="B5186">
        <v>300002</v>
      </c>
      <c r="C5186" t="s">
        <v>8596</v>
      </c>
      <c r="D5186">
        <v>10</v>
      </c>
      <c r="E5186">
        <v>8</v>
      </c>
      <c r="F5186">
        <v>2</v>
      </c>
      <c r="G5186">
        <v>16</v>
      </c>
      <c r="H5186">
        <v>70</v>
      </c>
      <c r="I5186">
        <v>0</v>
      </c>
      <c r="J5186">
        <v>6.99</v>
      </c>
      <c r="K5186">
        <v>111.84</v>
      </c>
    </row>
    <row r="5187" spans="1:11" x14ac:dyDescent="0.2">
      <c r="A5187">
        <v>38851</v>
      </c>
      <c r="B5187">
        <v>300003</v>
      </c>
      <c r="C5187" t="s">
        <v>8597</v>
      </c>
      <c r="D5187">
        <v>10</v>
      </c>
      <c r="E5187">
        <v>4</v>
      </c>
      <c r="F5187">
        <v>0</v>
      </c>
      <c r="G5187">
        <v>0</v>
      </c>
      <c r="H5187">
        <v>50</v>
      </c>
      <c r="I5187">
        <v>0</v>
      </c>
      <c r="J5187">
        <v>24.99</v>
      </c>
      <c r="K5187">
        <v>0</v>
      </c>
    </row>
    <row r="5188" spans="1:11" x14ac:dyDescent="0.2">
      <c r="A5188">
        <v>37821</v>
      </c>
      <c r="B5188">
        <v>300004</v>
      </c>
      <c r="C5188" t="s">
        <v>8598</v>
      </c>
      <c r="D5188">
        <v>10</v>
      </c>
      <c r="E5188">
        <v>6</v>
      </c>
      <c r="F5188">
        <v>0</v>
      </c>
      <c r="G5188">
        <v>0</v>
      </c>
      <c r="H5188">
        <v>24</v>
      </c>
      <c r="I5188">
        <v>0</v>
      </c>
      <c r="J5188">
        <v>9.99</v>
      </c>
      <c r="K5188">
        <v>0</v>
      </c>
    </row>
    <row r="5189" spans="1:11" x14ac:dyDescent="0.2">
      <c r="A5189">
        <v>42819</v>
      </c>
      <c r="B5189">
        <v>300009</v>
      </c>
      <c r="C5189" t="s">
        <v>8599</v>
      </c>
      <c r="D5189">
        <v>10</v>
      </c>
      <c r="E5189">
        <v>4</v>
      </c>
      <c r="F5189">
        <v>5</v>
      </c>
      <c r="G5189">
        <v>20</v>
      </c>
      <c r="H5189">
        <v>60</v>
      </c>
      <c r="I5189">
        <v>0.1</v>
      </c>
      <c r="J5189">
        <v>11.99</v>
      </c>
      <c r="K5189">
        <v>239.8</v>
      </c>
    </row>
    <row r="5190" spans="1:11" x14ac:dyDescent="0.2">
      <c r="A5190">
        <v>46814</v>
      </c>
      <c r="B5190">
        <v>300012</v>
      </c>
      <c r="C5190" t="s">
        <v>8363</v>
      </c>
      <c r="D5190">
        <v>10</v>
      </c>
      <c r="E5190">
        <v>20</v>
      </c>
      <c r="F5190">
        <v>1</v>
      </c>
      <c r="G5190">
        <v>20</v>
      </c>
      <c r="H5190">
        <v>63</v>
      </c>
      <c r="I5190">
        <v>0</v>
      </c>
      <c r="J5190">
        <v>2.99</v>
      </c>
      <c r="K5190">
        <v>59.8</v>
      </c>
    </row>
    <row r="5191" spans="1:11" x14ac:dyDescent="0.2">
      <c r="A5191">
        <v>38852</v>
      </c>
      <c r="B5191">
        <v>300014</v>
      </c>
      <c r="C5191" t="s">
        <v>8600</v>
      </c>
      <c r="D5191">
        <v>10</v>
      </c>
      <c r="E5191">
        <v>15</v>
      </c>
      <c r="F5191">
        <v>0</v>
      </c>
      <c r="G5191">
        <v>0</v>
      </c>
      <c r="H5191">
        <v>160</v>
      </c>
      <c r="I5191">
        <v>0</v>
      </c>
      <c r="J5191">
        <v>3.49</v>
      </c>
      <c r="K5191">
        <v>0</v>
      </c>
    </row>
    <row r="5192" spans="1:11" x14ac:dyDescent="0.2">
      <c r="A5192">
        <v>39817</v>
      </c>
      <c r="B5192">
        <v>300015</v>
      </c>
      <c r="C5192" t="s">
        <v>8376</v>
      </c>
      <c r="D5192">
        <v>10</v>
      </c>
      <c r="E5192">
        <v>10</v>
      </c>
      <c r="F5192">
        <v>0</v>
      </c>
      <c r="G5192">
        <v>0</v>
      </c>
      <c r="H5192">
        <v>78</v>
      </c>
      <c r="I5192">
        <v>0</v>
      </c>
      <c r="J5192">
        <v>4.99</v>
      </c>
      <c r="K5192">
        <v>0</v>
      </c>
    </row>
    <row r="5193" spans="1:11" x14ac:dyDescent="0.2">
      <c r="A5193">
        <v>50382</v>
      </c>
      <c r="B5193">
        <v>300019</v>
      </c>
      <c r="C5193" t="s">
        <v>8601</v>
      </c>
      <c r="D5193">
        <v>10</v>
      </c>
      <c r="E5193">
        <v>6</v>
      </c>
      <c r="F5193">
        <v>0</v>
      </c>
      <c r="G5193">
        <v>0</v>
      </c>
      <c r="H5193">
        <v>154</v>
      </c>
      <c r="I5193">
        <v>0</v>
      </c>
      <c r="J5193">
        <v>12.99</v>
      </c>
      <c r="K5193">
        <v>0</v>
      </c>
    </row>
    <row r="5194" spans="1:11" x14ac:dyDescent="0.2">
      <c r="A5194">
        <v>40820</v>
      </c>
      <c r="B5194">
        <v>300020</v>
      </c>
      <c r="C5194" t="s">
        <v>8602</v>
      </c>
      <c r="D5194">
        <v>10</v>
      </c>
      <c r="E5194">
        <v>4</v>
      </c>
      <c r="F5194">
        <v>0</v>
      </c>
      <c r="G5194">
        <v>0</v>
      </c>
      <c r="H5194">
        <v>100</v>
      </c>
      <c r="I5194">
        <v>0</v>
      </c>
      <c r="J5194">
        <v>21.99</v>
      </c>
      <c r="K5194">
        <v>0</v>
      </c>
    </row>
    <row r="5195" spans="1:11" x14ac:dyDescent="0.2">
      <c r="A5195">
        <v>1301</v>
      </c>
      <c r="B5195">
        <v>300024</v>
      </c>
      <c r="C5195" t="s">
        <v>8603</v>
      </c>
      <c r="D5195">
        <v>10</v>
      </c>
      <c r="E5195">
        <v>1</v>
      </c>
      <c r="F5195">
        <v>-1</v>
      </c>
      <c r="G5195">
        <v>-1</v>
      </c>
      <c r="H5195">
        <v>60</v>
      </c>
      <c r="I5195">
        <v>0</v>
      </c>
      <c r="J5195">
        <v>74.989999999999995</v>
      </c>
      <c r="K5195">
        <v>-74.989999999999995</v>
      </c>
    </row>
    <row r="5196" spans="1:11" x14ac:dyDescent="0.2">
      <c r="A5196">
        <v>43821</v>
      </c>
      <c r="B5196">
        <v>300025</v>
      </c>
      <c r="C5196" t="s">
        <v>7913</v>
      </c>
      <c r="D5196">
        <v>10</v>
      </c>
      <c r="E5196">
        <v>4</v>
      </c>
      <c r="F5196">
        <v>0</v>
      </c>
      <c r="G5196">
        <v>0</v>
      </c>
      <c r="H5196">
        <v>119</v>
      </c>
      <c r="I5196">
        <v>0</v>
      </c>
      <c r="J5196">
        <v>17.989999999999998</v>
      </c>
      <c r="K5196">
        <v>0</v>
      </c>
    </row>
    <row r="5197" spans="1:11" x14ac:dyDescent="0.2">
      <c r="A5197">
        <v>38854</v>
      </c>
      <c r="B5197">
        <v>300026</v>
      </c>
      <c r="C5197" t="s">
        <v>8604</v>
      </c>
      <c r="D5197">
        <v>10</v>
      </c>
      <c r="E5197">
        <v>10</v>
      </c>
      <c r="F5197">
        <v>0</v>
      </c>
      <c r="G5197">
        <v>0</v>
      </c>
      <c r="H5197">
        <v>126</v>
      </c>
      <c r="I5197">
        <v>0</v>
      </c>
      <c r="J5197">
        <v>6.99</v>
      </c>
      <c r="K5197">
        <v>0</v>
      </c>
    </row>
    <row r="5198" spans="1:11" x14ac:dyDescent="0.2">
      <c r="A5198">
        <v>48030</v>
      </c>
      <c r="B5198">
        <v>300032</v>
      </c>
      <c r="C5198" t="s">
        <v>8605</v>
      </c>
      <c r="D5198">
        <v>10</v>
      </c>
      <c r="E5198">
        <v>12</v>
      </c>
      <c r="F5198">
        <v>1</v>
      </c>
      <c r="G5198">
        <v>12</v>
      </c>
      <c r="H5198">
        <v>20</v>
      </c>
      <c r="I5198">
        <v>0.1</v>
      </c>
      <c r="J5198">
        <v>5.99</v>
      </c>
      <c r="K5198">
        <v>71.88</v>
      </c>
    </row>
    <row r="5199" spans="1:11" x14ac:dyDescent="0.2">
      <c r="A5199">
        <v>38855</v>
      </c>
      <c r="B5199">
        <v>300034</v>
      </c>
      <c r="C5199" t="s">
        <v>8606</v>
      </c>
      <c r="D5199">
        <v>10</v>
      </c>
      <c r="E5199">
        <v>1</v>
      </c>
      <c r="F5199">
        <v>0</v>
      </c>
      <c r="G5199">
        <v>0</v>
      </c>
      <c r="H5199">
        <v>55</v>
      </c>
      <c r="I5199">
        <v>0</v>
      </c>
      <c r="J5199">
        <v>79.989999999999995</v>
      </c>
      <c r="K5199">
        <v>0</v>
      </c>
    </row>
    <row r="5200" spans="1:11" x14ac:dyDescent="0.2">
      <c r="A5200">
        <v>34819</v>
      </c>
      <c r="B5200">
        <v>300035</v>
      </c>
      <c r="C5200" t="s">
        <v>8607</v>
      </c>
      <c r="D5200">
        <v>10</v>
      </c>
      <c r="E5200">
        <v>14</v>
      </c>
      <c r="F5200">
        <v>0</v>
      </c>
      <c r="G5200">
        <v>0</v>
      </c>
      <c r="H5200">
        <v>18</v>
      </c>
      <c r="I5200">
        <v>0</v>
      </c>
      <c r="J5200">
        <v>3.99</v>
      </c>
      <c r="K5200">
        <v>0</v>
      </c>
    </row>
    <row r="5201" spans="1:11" x14ac:dyDescent="0.2">
      <c r="A5201">
        <v>32823</v>
      </c>
      <c r="B5201">
        <v>300039</v>
      </c>
      <c r="C5201" t="s">
        <v>8608</v>
      </c>
      <c r="D5201">
        <v>10</v>
      </c>
      <c r="E5201">
        <v>10</v>
      </c>
      <c r="F5201">
        <v>0</v>
      </c>
      <c r="G5201">
        <v>0</v>
      </c>
      <c r="H5201">
        <v>168</v>
      </c>
      <c r="I5201">
        <v>0</v>
      </c>
      <c r="J5201">
        <v>5.99</v>
      </c>
      <c r="K5201">
        <v>0</v>
      </c>
    </row>
    <row r="5202" spans="1:11" x14ac:dyDescent="0.2">
      <c r="A5202">
        <v>39818</v>
      </c>
      <c r="B5202">
        <v>300040</v>
      </c>
      <c r="C5202" t="s">
        <v>8609</v>
      </c>
      <c r="D5202">
        <v>10</v>
      </c>
      <c r="E5202">
        <v>15</v>
      </c>
      <c r="F5202">
        <v>0</v>
      </c>
      <c r="G5202">
        <v>0</v>
      </c>
      <c r="H5202">
        <v>396</v>
      </c>
      <c r="I5202">
        <v>0</v>
      </c>
      <c r="J5202">
        <v>1.99</v>
      </c>
      <c r="K5202">
        <v>0</v>
      </c>
    </row>
    <row r="5203" spans="1:11" x14ac:dyDescent="0.2">
      <c r="A5203">
        <v>41827</v>
      </c>
      <c r="B5203">
        <v>300042</v>
      </c>
      <c r="C5203" t="s">
        <v>8610</v>
      </c>
      <c r="D5203">
        <v>10</v>
      </c>
      <c r="E5203">
        <v>7</v>
      </c>
      <c r="F5203">
        <v>0</v>
      </c>
      <c r="G5203">
        <v>0</v>
      </c>
      <c r="H5203">
        <v>24</v>
      </c>
      <c r="I5203">
        <v>0</v>
      </c>
      <c r="J5203">
        <v>13.99</v>
      </c>
      <c r="K5203">
        <v>0</v>
      </c>
    </row>
    <row r="5204" spans="1:11" x14ac:dyDescent="0.2">
      <c r="A5204">
        <v>33827</v>
      </c>
      <c r="B5204">
        <v>300043</v>
      </c>
      <c r="C5204" t="s">
        <v>7630</v>
      </c>
      <c r="D5204">
        <v>10</v>
      </c>
      <c r="E5204">
        <v>10</v>
      </c>
      <c r="F5204">
        <v>0</v>
      </c>
      <c r="G5204">
        <v>0</v>
      </c>
      <c r="H5204">
        <v>110</v>
      </c>
      <c r="I5204">
        <v>0</v>
      </c>
      <c r="J5204">
        <v>9.99</v>
      </c>
      <c r="K5204">
        <v>0</v>
      </c>
    </row>
    <row r="5205" spans="1:11" x14ac:dyDescent="0.2">
      <c r="A5205">
        <v>32824</v>
      </c>
      <c r="B5205">
        <v>300044</v>
      </c>
      <c r="C5205" t="s">
        <v>8611</v>
      </c>
      <c r="D5205">
        <v>10</v>
      </c>
      <c r="E5205">
        <v>3</v>
      </c>
      <c r="F5205">
        <v>0</v>
      </c>
      <c r="G5205">
        <v>0</v>
      </c>
      <c r="H5205">
        <v>40</v>
      </c>
      <c r="I5205">
        <v>0</v>
      </c>
      <c r="J5205">
        <v>11.99</v>
      </c>
      <c r="K5205">
        <v>0</v>
      </c>
    </row>
    <row r="5206" spans="1:11" x14ac:dyDescent="0.2">
      <c r="A5206">
        <v>38423</v>
      </c>
      <c r="B5206">
        <v>300046</v>
      </c>
      <c r="C5206" t="s">
        <v>8612</v>
      </c>
      <c r="D5206">
        <v>10</v>
      </c>
      <c r="E5206">
        <v>12</v>
      </c>
      <c r="F5206">
        <v>3</v>
      </c>
      <c r="G5206">
        <v>36</v>
      </c>
      <c r="H5206">
        <v>180</v>
      </c>
      <c r="I5206">
        <v>0</v>
      </c>
      <c r="J5206">
        <v>1</v>
      </c>
      <c r="K5206">
        <v>36</v>
      </c>
    </row>
    <row r="5207" spans="1:11" x14ac:dyDescent="0.2">
      <c r="A5207">
        <v>41828</v>
      </c>
      <c r="B5207">
        <v>300048</v>
      </c>
      <c r="C5207" t="s">
        <v>8613</v>
      </c>
      <c r="D5207">
        <v>10</v>
      </c>
      <c r="E5207">
        <v>20</v>
      </c>
      <c r="F5207">
        <v>0</v>
      </c>
      <c r="G5207">
        <v>-2</v>
      </c>
      <c r="H5207">
        <v>44</v>
      </c>
      <c r="I5207">
        <v>0</v>
      </c>
      <c r="J5207">
        <v>3.99</v>
      </c>
      <c r="K5207">
        <v>-7.98</v>
      </c>
    </row>
    <row r="5208" spans="1:11" x14ac:dyDescent="0.2">
      <c r="A5208">
        <v>43822</v>
      </c>
      <c r="B5208">
        <v>300049</v>
      </c>
      <c r="C5208" t="s">
        <v>8614</v>
      </c>
      <c r="D5208">
        <v>10</v>
      </c>
      <c r="E5208">
        <v>3</v>
      </c>
      <c r="F5208">
        <v>0</v>
      </c>
      <c r="G5208">
        <v>0</v>
      </c>
      <c r="H5208">
        <v>24</v>
      </c>
      <c r="I5208">
        <v>0</v>
      </c>
      <c r="J5208">
        <v>39.99</v>
      </c>
      <c r="K5208">
        <v>0</v>
      </c>
    </row>
    <row r="5209" spans="1:11" x14ac:dyDescent="0.2">
      <c r="A5209">
        <v>35971</v>
      </c>
      <c r="B5209">
        <v>300051</v>
      </c>
      <c r="C5209" t="s">
        <v>8615</v>
      </c>
      <c r="D5209">
        <v>10</v>
      </c>
      <c r="E5209">
        <v>15</v>
      </c>
      <c r="F5209">
        <v>0</v>
      </c>
      <c r="G5209">
        <v>0</v>
      </c>
      <c r="H5209">
        <v>24</v>
      </c>
      <c r="I5209">
        <v>0</v>
      </c>
      <c r="J5209">
        <v>4.49</v>
      </c>
      <c r="K5209">
        <v>0</v>
      </c>
    </row>
    <row r="5210" spans="1:11" x14ac:dyDescent="0.2">
      <c r="A5210">
        <v>42820</v>
      </c>
      <c r="B5210">
        <v>300052</v>
      </c>
      <c r="C5210" t="s">
        <v>8616</v>
      </c>
      <c r="D5210">
        <v>10</v>
      </c>
      <c r="E5210">
        <v>4</v>
      </c>
      <c r="F5210">
        <v>0</v>
      </c>
      <c r="G5210">
        <v>0</v>
      </c>
      <c r="H5210">
        <v>30</v>
      </c>
      <c r="I5210">
        <v>0</v>
      </c>
      <c r="J5210">
        <v>24.99</v>
      </c>
      <c r="K5210">
        <v>0</v>
      </c>
    </row>
    <row r="5211" spans="1:11" x14ac:dyDescent="0.2">
      <c r="A5211">
        <v>51101</v>
      </c>
      <c r="B5211">
        <v>300053</v>
      </c>
      <c r="C5211" t="s">
        <v>8617</v>
      </c>
      <c r="D5211">
        <v>10</v>
      </c>
      <c r="E5211">
        <v>12</v>
      </c>
      <c r="F5211">
        <v>7</v>
      </c>
      <c r="G5211">
        <v>84</v>
      </c>
      <c r="H5211">
        <v>48</v>
      </c>
      <c r="I5211">
        <v>0.1</v>
      </c>
      <c r="J5211">
        <v>6.99</v>
      </c>
      <c r="K5211">
        <v>587.16</v>
      </c>
    </row>
    <row r="5212" spans="1:11" x14ac:dyDescent="0.2">
      <c r="A5212">
        <v>34820</v>
      </c>
      <c r="B5212">
        <v>300054</v>
      </c>
      <c r="C5212" t="s">
        <v>8618</v>
      </c>
      <c r="D5212">
        <v>10</v>
      </c>
      <c r="E5212">
        <v>8</v>
      </c>
      <c r="F5212">
        <v>0</v>
      </c>
      <c r="G5212">
        <v>0</v>
      </c>
      <c r="H5212">
        <v>12</v>
      </c>
      <c r="I5212">
        <v>0</v>
      </c>
      <c r="J5212">
        <v>8.99</v>
      </c>
      <c r="K5212">
        <v>0</v>
      </c>
    </row>
    <row r="5213" spans="1:11" x14ac:dyDescent="0.2">
      <c r="A5213">
        <v>45810</v>
      </c>
      <c r="B5213">
        <v>300063</v>
      </c>
      <c r="C5213" t="s">
        <v>8619</v>
      </c>
      <c r="D5213">
        <v>10</v>
      </c>
      <c r="E5213">
        <v>2</v>
      </c>
      <c r="F5213">
        <v>0</v>
      </c>
      <c r="G5213">
        <v>0</v>
      </c>
      <c r="H5213">
        <v>42</v>
      </c>
      <c r="I5213">
        <v>0</v>
      </c>
      <c r="J5213">
        <v>14.99</v>
      </c>
      <c r="K5213">
        <v>0</v>
      </c>
    </row>
    <row r="5214" spans="1:11" x14ac:dyDescent="0.2">
      <c r="A5214">
        <v>3266</v>
      </c>
      <c r="B5214">
        <v>300066</v>
      </c>
      <c r="C5214" t="s">
        <v>8620</v>
      </c>
      <c r="D5214">
        <v>6</v>
      </c>
      <c r="E5214">
        <v>4</v>
      </c>
      <c r="F5214">
        <v>0</v>
      </c>
      <c r="G5214">
        <v>0</v>
      </c>
      <c r="H5214">
        <v>100</v>
      </c>
      <c r="I5214">
        <v>0</v>
      </c>
      <c r="J5214">
        <v>19.989999999999998</v>
      </c>
      <c r="K5214">
        <v>0</v>
      </c>
    </row>
    <row r="5215" spans="1:11" x14ac:dyDescent="0.2">
      <c r="A5215">
        <v>47919</v>
      </c>
      <c r="B5215">
        <v>300067</v>
      </c>
      <c r="C5215" t="s">
        <v>8621</v>
      </c>
      <c r="D5215">
        <v>10</v>
      </c>
      <c r="E5215">
        <v>20</v>
      </c>
      <c r="F5215">
        <v>0</v>
      </c>
      <c r="G5215">
        <v>0</v>
      </c>
      <c r="H5215">
        <v>66</v>
      </c>
      <c r="I5215">
        <v>0</v>
      </c>
      <c r="J5215">
        <v>1</v>
      </c>
      <c r="K5215">
        <v>0</v>
      </c>
    </row>
    <row r="5216" spans="1:11" x14ac:dyDescent="0.2">
      <c r="A5216">
        <v>38856</v>
      </c>
      <c r="B5216">
        <v>300069</v>
      </c>
      <c r="C5216" t="s">
        <v>8622</v>
      </c>
      <c r="D5216">
        <v>10</v>
      </c>
      <c r="E5216">
        <v>10</v>
      </c>
      <c r="F5216">
        <v>0</v>
      </c>
      <c r="G5216">
        <v>0</v>
      </c>
      <c r="H5216">
        <v>84</v>
      </c>
      <c r="I5216">
        <v>0</v>
      </c>
      <c r="J5216">
        <v>8.99</v>
      </c>
      <c r="K5216">
        <v>0</v>
      </c>
    </row>
    <row r="5217" spans="1:11" x14ac:dyDescent="0.2">
      <c r="A5217">
        <v>39819</v>
      </c>
      <c r="B5217">
        <v>300071</v>
      </c>
      <c r="C5217" t="s">
        <v>8623</v>
      </c>
      <c r="D5217">
        <v>10</v>
      </c>
      <c r="E5217">
        <v>6</v>
      </c>
      <c r="F5217">
        <v>0</v>
      </c>
      <c r="G5217">
        <v>0</v>
      </c>
      <c r="H5217">
        <v>102</v>
      </c>
      <c r="I5217">
        <v>0</v>
      </c>
      <c r="J5217">
        <v>13.99</v>
      </c>
      <c r="K5217">
        <v>0</v>
      </c>
    </row>
    <row r="5218" spans="1:11" x14ac:dyDescent="0.2">
      <c r="A5218">
        <v>43930</v>
      </c>
      <c r="B5218">
        <v>300073</v>
      </c>
      <c r="C5218" t="s">
        <v>8624</v>
      </c>
      <c r="D5218">
        <v>10</v>
      </c>
      <c r="E5218">
        <v>12</v>
      </c>
      <c r="F5218">
        <v>0</v>
      </c>
      <c r="G5218">
        <v>0</v>
      </c>
      <c r="H5218">
        <v>55</v>
      </c>
      <c r="I5218">
        <v>0</v>
      </c>
      <c r="J5218">
        <v>1</v>
      </c>
      <c r="K5218">
        <v>0</v>
      </c>
    </row>
    <row r="5219" spans="1:11" x14ac:dyDescent="0.2">
      <c r="A5219">
        <v>35972</v>
      </c>
      <c r="B5219">
        <v>300075</v>
      </c>
      <c r="C5219" t="s">
        <v>8625</v>
      </c>
      <c r="D5219">
        <v>10</v>
      </c>
      <c r="E5219">
        <v>8</v>
      </c>
      <c r="F5219">
        <v>0</v>
      </c>
      <c r="G5219">
        <v>0</v>
      </c>
      <c r="H5219">
        <v>100</v>
      </c>
      <c r="I5219">
        <v>0</v>
      </c>
      <c r="J5219">
        <v>11.99</v>
      </c>
      <c r="K5219">
        <v>0</v>
      </c>
    </row>
    <row r="5220" spans="1:11" x14ac:dyDescent="0.2">
      <c r="A5220">
        <v>33829</v>
      </c>
      <c r="B5220">
        <v>300076</v>
      </c>
      <c r="C5220" t="s">
        <v>8626</v>
      </c>
      <c r="D5220">
        <v>10</v>
      </c>
      <c r="E5220">
        <v>8</v>
      </c>
      <c r="F5220">
        <v>0</v>
      </c>
      <c r="G5220">
        <v>0</v>
      </c>
      <c r="H5220">
        <v>308</v>
      </c>
      <c r="I5220">
        <v>0</v>
      </c>
      <c r="J5220">
        <v>5.99</v>
      </c>
      <c r="K5220">
        <v>0</v>
      </c>
    </row>
    <row r="5221" spans="1:11" x14ac:dyDescent="0.2">
      <c r="A5221">
        <v>43823</v>
      </c>
      <c r="B5221">
        <v>300077</v>
      </c>
      <c r="C5221" t="s">
        <v>8627</v>
      </c>
      <c r="D5221">
        <v>10</v>
      </c>
      <c r="E5221">
        <v>15</v>
      </c>
      <c r="F5221">
        <v>0</v>
      </c>
      <c r="G5221">
        <v>0</v>
      </c>
      <c r="H5221">
        <v>190</v>
      </c>
      <c r="I5221">
        <v>0</v>
      </c>
      <c r="J5221">
        <v>5.99</v>
      </c>
      <c r="K5221">
        <v>0</v>
      </c>
    </row>
    <row r="5222" spans="1:11" x14ac:dyDescent="0.2">
      <c r="A5222">
        <v>40903</v>
      </c>
      <c r="B5222">
        <v>300084</v>
      </c>
      <c r="C5222" t="s">
        <v>8628</v>
      </c>
      <c r="D5222">
        <v>10</v>
      </c>
      <c r="E5222">
        <v>18</v>
      </c>
      <c r="F5222">
        <v>0</v>
      </c>
      <c r="G5222">
        <v>0</v>
      </c>
      <c r="H5222">
        <v>102</v>
      </c>
      <c r="I5222">
        <v>0</v>
      </c>
      <c r="J5222">
        <v>1</v>
      </c>
      <c r="K5222">
        <v>0</v>
      </c>
    </row>
    <row r="5223" spans="1:11" x14ac:dyDescent="0.2">
      <c r="A5223">
        <v>34821</v>
      </c>
      <c r="B5223">
        <v>300086</v>
      </c>
      <c r="C5223" t="s">
        <v>8629</v>
      </c>
      <c r="D5223">
        <v>10</v>
      </c>
      <c r="E5223">
        <v>8</v>
      </c>
      <c r="F5223">
        <v>0</v>
      </c>
      <c r="G5223">
        <v>0</v>
      </c>
      <c r="H5223">
        <v>50</v>
      </c>
      <c r="I5223">
        <v>0</v>
      </c>
      <c r="J5223">
        <v>7.99</v>
      </c>
      <c r="K5223">
        <v>0</v>
      </c>
    </row>
    <row r="5224" spans="1:11" x14ac:dyDescent="0.2">
      <c r="A5224">
        <v>37823</v>
      </c>
      <c r="B5224">
        <v>300092</v>
      </c>
      <c r="C5224" t="s">
        <v>8630</v>
      </c>
      <c r="D5224">
        <v>10</v>
      </c>
      <c r="E5224">
        <v>30</v>
      </c>
      <c r="F5224">
        <v>0</v>
      </c>
      <c r="G5224">
        <v>0</v>
      </c>
      <c r="H5224">
        <v>56</v>
      </c>
      <c r="I5224">
        <v>0</v>
      </c>
      <c r="J5224">
        <v>4.99</v>
      </c>
      <c r="K5224">
        <v>0</v>
      </c>
    </row>
    <row r="5225" spans="1:11" x14ac:dyDescent="0.2">
      <c r="A5225">
        <v>2257</v>
      </c>
      <c r="B5225">
        <v>300093</v>
      </c>
      <c r="C5225" t="s">
        <v>8631</v>
      </c>
      <c r="D5225">
        <v>10</v>
      </c>
      <c r="E5225">
        <v>10</v>
      </c>
      <c r="F5225">
        <v>192</v>
      </c>
      <c r="G5225">
        <v>1920</v>
      </c>
      <c r="H5225">
        <v>144</v>
      </c>
      <c r="I5225">
        <v>1.3</v>
      </c>
      <c r="J5225">
        <v>9.99</v>
      </c>
      <c r="K5225">
        <v>19180.8</v>
      </c>
    </row>
    <row r="5226" spans="1:11" x14ac:dyDescent="0.2">
      <c r="A5226">
        <v>43824</v>
      </c>
      <c r="B5226">
        <v>300095</v>
      </c>
      <c r="C5226" t="s">
        <v>8632</v>
      </c>
      <c r="D5226">
        <v>10</v>
      </c>
      <c r="E5226">
        <v>14</v>
      </c>
      <c r="F5226">
        <v>1</v>
      </c>
      <c r="G5226">
        <v>14</v>
      </c>
      <c r="H5226">
        <v>60</v>
      </c>
      <c r="I5226">
        <v>0</v>
      </c>
      <c r="J5226">
        <v>5.99</v>
      </c>
      <c r="K5226">
        <v>83.86</v>
      </c>
    </row>
    <row r="5227" spans="1:11" x14ac:dyDescent="0.2">
      <c r="A5227">
        <v>43825</v>
      </c>
      <c r="B5227">
        <v>300097</v>
      </c>
      <c r="C5227" t="s">
        <v>8633</v>
      </c>
      <c r="D5227">
        <v>10</v>
      </c>
      <c r="E5227">
        <v>14</v>
      </c>
      <c r="F5227">
        <v>19</v>
      </c>
      <c r="G5227">
        <v>266</v>
      </c>
      <c r="H5227">
        <v>72</v>
      </c>
      <c r="I5227">
        <v>0.3</v>
      </c>
      <c r="J5227">
        <v>3.99</v>
      </c>
      <c r="K5227">
        <v>1061.3399999999999</v>
      </c>
    </row>
    <row r="5228" spans="1:11" x14ac:dyDescent="0.2">
      <c r="A5228">
        <v>41829</v>
      </c>
      <c r="B5228">
        <v>300098</v>
      </c>
      <c r="C5228" t="s">
        <v>8634</v>
      </c>
      <c r="D5228">
        <v>10</v>
      </c>
      <c r="E5228">
        <v>7</v>
      </c>
      <c r="F5228">
        <v>0</v>
      </c>
      <c r="G5228">
        <v>0</v>
      </c>
      <c r="H5228">
        <v>36</v>
      </c>
      <c r="I5228">
        <v>0</v>
      </c>
      <c r="J5228">
        <v>16.989999999999998</v>
      </c>
      <c r="K5228">
        <v>0</v>
      </c>
    </row>
    <row r="5229" spans="1:11" x14ac:dyDescent="0.2">
      <c r="A5229">
        <v>41830</v>
      </c>
      <c r="B5229">
        <v>300099</v>
      </c>
      <c r="C5229" t="s">
        <v>8635</v>
      </c>
      <c r="D5229">
        <v>10</v>
      </c>
      <c r="E5229">
        <v>12</v>
      </c>
      <c r="F5229">
        <v>0</v>
      </c>
      <c r="G5229">
        <v>0</v>
      </c>
      <c r="H5229">
        <v>140</v>
      </c>
      <c r="I5229">
        <v>0</v>
      </c>
      <c r="J5229">
        <v>6.99</v>
      </c>
      <c r="K5229">
        <v>0</v>
      </c>
    </row>
    <row r="5230" spans="1:11" x14ac:dyDescent="0.2">
      <c r="A5230">
        <v>38857</v>
      </c>
      <c r="B5230">
        <v>300100</v>
      </c>
      <c r="C5230" t="s">
        <v>8636</v>
      </c>
      <c r="D5230">
        <v>10</v>
      </c>
      <c r="E5230">
        <v>3</v>
      </c>
      <c r="F5230">
        <v>0</v>
      </c>
      <c r="G5230">
        <v>0</v>
      </c>
      <c r="H5230">
        <v>48</v>
      </c>
      <c r="I5230">
        <v>0</v>
      </c>
      <c r="J5230">
        <v>13.99</v>
      </c>
      <c r="K5230">
        <v>0</v>
      </c>
    </row>
    <row r="5231" spans="1:11" x14ac:dyDescent="0.2">
      <c r="A5231">
        <v>41831</v>
      </c>
      <c r="B5231">
        <v>300101</v>
      </c>
      <c r="C5231" t="s">
        <v>8637</v>
      </c>
      <c r="D5231">
        <v>10</v>
      </c>
      <c r="E5231">
        <v>2</v>
      </c>
      <c r="F5231">
        <v>0</v>
      </c>
      <c r="G5231">
        <v>0</v>
      </c>
      <c r="H5231">
        <v>88</v>
      </c>
      <c r="I5231">
        <v>0</v>
      </c>
      <c r="J5231">
        <v>19.989999999999998</v>
      </c>
      <c r="K5231">
        <v>0</v>
      </c>
    </row>
    <row r="5232" spans="1:11" x14ac:dyDescent="0.2">
      <c r="A5232">
        <v>42821</v>
      </c>
      <c r="B5232">
        <v>300109</v>
      </c>
      <c r="C5232" t="s">
        <v>8638</v>
      </c>
      <c r="D5232">
        <v>10</v>
      </c>
      <c r="E5232">
        <v>12</v>
      </c>
      <c r="F5232">
        <v>2</v>
      </c>
      <c r="G5232">
        <v>24</v>
      </c>
      <c r="H5232">
        <v>108</v>
      </c>
      <c r="I5232">
        <v>0</v>
      </c>
      <c r="J5232">
        <v>3.99</v>
      </c>
      <c r="K5232">
        <v>95.76</v>
      </c>
    </row>
    <row r="5233" spans="1:11" x14ac:dyDescent="0.2">
      <c r="A5233">
        <v>40821</v>
      </c>
      <c r="B5233">
        <v>300113</v>
      </c>
      <c r="C5233" t="s">
        <v>8639</v>
      </c>
      <c r="D5233">
        <v>10</v>
      </c>
      <c r="E5233">
        <v>4</v>
      </c>
      <c r="F5233">
        <v>0</v>
      </c>
      <c r="G5233">
        <v>0</v>
      </c>
      <c r="H5233">
        <v>60</v>
      </c>
      <c r="I5233">
        <v>0</v>
      </c>
      <c r="J5233">
        <v>14.99</v>
      </c>
      <c r="K5233">
        <v>0</v>
      </c>
    </row>
    <row r="5234" spans="1:11" x14ac:dyDescent="0.2">
      <c r="A5234">
        <v>1303</v>
      </c>
      <c r="B5234">
        <v>300117</v>
      </c>
      <c r="C5234" t="s">
        <v>8640</v>
      </c>
      <c r="D5234">
        <v>10</v>
      </c>
      <c r="E5234">
        <v>6</v>
      </c>
      <c r="F5234">
        <v>23</v>
      </c>
      <c r="G5234">
        <v>138</v>
      </c>
      <c r="H5234">
        <v>24</v>
      </c>
      <c r="I5234">
        <v>1</v>
      </c>
      <c r="J5234">
        <v>19.989999999999998</v>
      </c>
      <c r="K5234">
        <v>2758.62</v>
      </c>
    </row>
    <row r="5235" spans="1:11" x14ac:dyDescent="0.2">
      <c r="A5235">
        <v>40822</v>
      </c>
      <c r="B5235">
        <v>300124</v>
      </c>
      <c r="C5235" t="s">
        <v>8641</v>
      </c>
      <c r="D5235">
        <v>10</v>
      </c>
      <c r="E5235">
        <v>40</v>
      </c>
      <c r="F5235">
        <v>0</v>
      </c>
      <c r="G5235">
        <v>0</v>
      </c>
      <c r="H5235">
        <v>100</v>
      </c>
      <c r="I5235">
        <v>0</v>
      </c>
      <c r="J5235">
        <v>3.99</v>
      </c>
      <c r="K5235">
        <v>0</v>
      </c>
    </row>
    <row r="5236" spans="1:11" x14ac:dyDescent="0.2">
      <c r="A5236">
        <v>42822</v>
      </c>
      <c r="B5236">
        <v>300125</v>
      </c>
      <c r="C5236" t="s">
        <v>8642</v>
      </c>
      <c r="D5236">
        <v>10</v>
      </c>
      <c r="E5236">
        <v>3</v>
      </c>
      <c r="F5236">
        <v>0</v>
      </c>
      <c r="G5236">
        <v>0</v>
      </c>
      <c r="H5236">
        <v>68</v>
      </c>
      <c r="I5236">
        <v>0</v>
      </c>
      <c r="J5236">
        <v>12.99</v>
      </c>
      <c r="K5236">
        <v>0</v>
      </c>
    </row>
    <row r="5237" spans="1:11" x14ac:dyDescent="0.2">
      <c r="A5237">
        <v>49060</v>
      </c>
      <c r="B5237">
        <v>300126</v>
      </c>
      <c r="C5237" t="s">
        <v>8643</v>
      </c>
      <c r="D5237">
        <v>10</v>
      </c>
      <c r="E5237">
        <v>4</v>
      </c>
      <c r="F5237">
        <v>-763</v>
      </c>
      <c r="G5237">
        <v>-3052</v>
      </c>
      <c r="H5237">
        <v>49</v>
      </c>
      <c r="I5237">
        <v>-15.6</v>
      </c>
      <c r="J5237">
        <v>9.99</v>
      </c>
      <c r="K5237">
        <v>-30489.48</v>
      </c>
    </row>
    <row r="5238" spans="1:11" x14ac:dyDescent="0.2">
      <c r="A5238">
        <v>33830</v>
      </c>
      <c r="B5238">
        <v>300128</v>
      </c>
      <c r="C5238" t="s">
        <v>8644</v>
      </c>
      <c r="D5238">
        <v>10</v>
      </c>
      <c r="E5238">
        <v>18</v>
      </c>
      <c r="F5238">
        <v>0</v>
      </c>
      <c r="G5238">
        <v>0</v>
      </c>
      <c r="H5238">
        <v>90</v>
      </c>
      <c r="I5238">
        <v>0</v>
      </c>
      <c r="J5238">
        <v>3.99</v>
      </c>
      <c r="K5238">
        <v>0</v>
      </c>
    </row>
    <row r="5239" spans="1:11" x14ac:dyDescent="0.2">
      <c r="A5239">
        <v>42823</v>
      </c>
      <c r="B5239">
        <v>300130</v>
      </c>
      <c r="C5239" t="s">
        <v>8645</v>
      </c>
      <c r="D5239">
        <v>10</v>
      </c>
      <c r="E5239">
        <v>8</v>
      </c>
      <c r="F5239">
        <v>0</v>
      </c>
      <c r="G5239">
        <v>0</v>
      </c>
      <c r="H5239">
        <v>144</v>
      </c>
      <c r="I5239">
        <v>0</v>
      </c>
      <c r="J5239">
        <v>4.99</v>
      </c>
      <c r="K5239">
        <v>0</v>
      </c>
    </row>
    <row r="5240" spans="1:11" x14ac:dyDescent="0.2">
      <c r="A5240">
        <v>34822</v>
      </c>
      <c r="B5240">
        <v>300133</v>
      </c>
      <c r="C5240" t="s">
        <v>8646</v>
      </c>
      <c r="D5240">
        <v>10</v>
      </c>
      <c r="E5240">
        <v>4</v>
      </c>
      <c r="F5240">
        <v>0</v>
      </c>
      <c r="G5240">
        <v>0</v>
      </c>
      <c r="H5240">
        <v>70</v>
      </c>
      <c r="I5240">
        <v>0</v>
      </c>
      <c r="J5240">
        <v>9.99</v>
      </c>
      <c r="K5240">
        <v>0</v>
      </c>
    </row>
    <row r="5241" spans="1:11" x14ac:dyDescent="0.2">
      <c r="A5241">
        <v>41832</v>
      </c>
      <c r="B5241">
        <v>300135</v>
      </c>
      <c r="C5241" t="s">
        <v>8647</v>
      </c>
      <c r="D5241">
        <v>10</v>
      </c>
      <c r="E5241">
        <v>6</v>
      </c>
      <c r="F5241">
        <v>0</v>
      </c>
      <c r="G5241">
        <v>0</v>
      </c>
      <c r="H5241">
        <v>91</v>
      </c>
      <c r="I5241">
        <v>0</v>
      </c>
      <c r="J5241">
        <v>12.99</v>
      </c>
      <c r="K5241">
        <v>0</v>
      </c>
    </row>
    <row r="5242" spans="1:11" x14ac:dyDescent="0.2">
      <c r="A5242">
        <v>40904</v>
      </c>
      <c r="B5242">
        <v>300136</v>
      </c>
      <c r="C5242" t="s">
        <v>8648</v>
      </c>
      <c r="D5242">
        <v>10</v>
      </c>
      <c r="E5242">
        <v>10</v>
      </c>
      <c r="F5242">
        <v>0</v>
      </c>
      <c r="G5242">
        <v>0</v>
      </c>
      <c r="H5242">
        <v>20</v>
      </c>
      <c r="I5242">
        <v>0</v>
      </c>
      <c r="J5242">
        <v>1</v>
      </c>
      <c r="K5242">
        <v>0</v>
      </c>
    </row>
    <row r="5243" spans="1:11" x14ac:dyDescent="0.2">
      <c r="A5243">
        <v>43931</v>
      </c>
      <c r="B5243">
        <v>300137</v>
      </c>
      <c r="C5243" t="s">
        <v>8649</v>
      </c>
      <c r="D5243">
        <v>10</v>
      </c>
      <c r="E5243">
        <v>16</v>
      </c>
      <c r="F5243">
        <v>0</v>
      </c>
      <c r="G5243">
        <v>0</v>
      </c>
      <c r="H5243">
        <v>252</v>
      </c>
      <c r="I5243">
        <v>0</v>
      </c>
      <c r="J5243">
        <v>0.5</v>
      </c>
      <c r="K5243">
        <v>0</v>
      </c>
    </row>
    <row r="5244" spans="1:11" x14ac:dyDescent="0.2">
      <c r="A5244">
        <v>43826</v>
      </c>
      <c r="B5244">
        <v>300142</v>
      </c>
      <c r="C5244" t="s">
        <v>8650</v>
      </c>
      <c r="D5244">
        <v>10</v>
      </c>
      <c r="E5244">
        <v>9</v>
      </c>
      <c r="F5244">
        <v>-1</v>
      </c>
      <c r="G5244">
        <v>-9</v>
      </c>
      <c r="H5244">
        <v>16</v>
      </c>
      <c r="I5244">
        <v>-0.1</v>
      </c>
      <c r="J5244">
        <v>8.99</v>
      </c>
      <c r="K5244">
        <v>-80.91</v>
      </c>
    </row>
    <row r="5245" spans="1:11" x14ac:dyDescent="0.2">
      <c r="A5245">
        <v>43827</v>
      </c>
      <c r="B5245">
        <v>300146</v>
      </c>
      <c r="C5245" t="s">
        <v>8651</v>
      </c>
      <c r="D5245">
        <v>10</v>
      </c>
      <c r="E5245">
        <v>4</v>
      </c>
      <c r="F5245">
        <v>2</v>
      </c>
      <c r="G5245">
        <v>8</v>
      </c>
      <c r="H5245">
        <v>154</v>
      </c>
      <c r="I5245">
        <v>0</v>
      </c>
      <c r="J5245">
        <v>19.989999999999998</v>
      </c>
      <c r="K5245">
        <v>159.91999999999999</v>
      </c>
    </row>
    <row r="5246" spans="1:11" x14ac:dyDescent="0.2">
      <c r="A5246">
        <v>41833</v>
      </c>
      <c r="B5246">
        <v>300148</v>
      </c>
      <c r="C5246" t="s">
        <v>8652</v>
      </c>
      <c r="D5246">
        <v>10</v>
      </c>
      <c r="E5246">
        <v>3</v>
      </c>
      <c r="F5246">
        <v>0</v>
      </c>
      <c r="G5246">
        <v>0</v>
      </c>
      <c r="H5246">
        <v>14</v>
      </c>
      <c r="I5246">
        <v>0</v>
      </c>
      <c r="J5246">
        <v>24.99</v>
      </c>
      <c r="K5246">
        <v>0</v>
      </c>
    </row>
    <row r="5247" spans="1:11" x14ac:dyDescent="0.2">
      <c r="A5247">
        <v>43932</v>
      </c>
      <c r="B5247">
        <v>300150</v>
      </c>
      <c r="C5247" t="s">
        <v>8653</v>
      </c>
      <c r="D5247">
        <v>6</v>
      </c>
      <c r="E5247">
        <v>30</v>
      </c>
      <c r="F5247">
        <v>0</v>
      </c>
      <c r="G5247">
        <v>0</v>
      </c>
      <c r="H5247">
        <v>160</v>
      </c>
      <c r="I5247">
        <v>0</v>
      </c>
      <c r="J5247">
        <v>1</v>
      </c>
      <c r="K5247">
        <v>0</v>
      </c>
    </row>
    <row r="5248" spans="1:11" x14ac:dyDescent="0.2">
      <c r="A5248">
        <v>33831</v>
      </c>
      <c r="B5248">
        <v>300151</v>
      </c>
      <c r="C5248" t="s">
        <v>8654</v>
      </c>
      <c r="D5248">
        <v>10</v>
      </c>
      <c r="E5248">
        <v>6</v>
      </c>
      <c r="F5248">
        <v>0</v>
      </c>
      <c r="G5248">
        <v>0</v>
      </c>
      <c r="H5248">
        <v>40</v>
      </c>
      <c r="I5248">
        <v>0</v>
      </c>
      <c r="J5248">
        <v>14.99</v>
      </c>
      <c r="K5248">
        <v>0</v>
      </c>
    </row>
    <row r="5249" spans="1:11" x14ac:dyDescent="0.2">
      <c r="A5249">
        <v>40823</v>
      </c>
      <c r="B5249">
        <v>300157</v>
      </c>
      <c r="C5249" t="s">
        <v>8655</v>
      </c>
      <c r="D5249">
        <v>10</v>
      </c>
      <c r="E5249">
        <v>3</v>
      </c>
      <c r="F5249">
        <v>0</v>
      </c>
      <c r="G5249">
        <v>0</v>
      </c>
      <c r="H5249">
        <v>40</v>
      </c>
      <c r="I5249">
        <v>0</v>
      </c>
      <c r="J5249">
        <v>14.99</v>
      </c>
      <c r="K5249">
        <v>0</v>
      </c>
    </row>
    <row r="5250" spans="1:11" x14ac:dyDescent="0.2">
      <c r="A5250">
        <v>36811</v>
      </c>
      <c r="B5250">
        <v>300158</v>
      </c>
      <c r="C5250" t="s">
        <v>8656</v>
      </c>
      <c r="D5250">
        <v>10</v>
      </c>
      <c r="E5250">
        <v>2</v>
      </c>
      <c r="F5250">
        <v>0</v>
      </c>
      <c r="G5250">
        <v>0</v>
      </c>
      <c r="H5250">
        <v>24</v>
      </c>
      <c r="I5250">
        <v>0</v>
      </c>
      <c r="J5250">
        <v>19.989999999999998</v>
      </c>
      <c r="K5250">
        <v>0</v>
      </c>
    </row>
    <row r="5251" spans="1:11" x14ac:dyDescent="0.2">
      <c r="A5251">
        <v>43933</v>
      </c>
      <c r="B5251">
        <v>300167</v>
      </c>
      <c r="C5251" t="s">
        <v>8657</v>
      </c>
      <c r="D5251">
        <v>10</v>
      </c>
      <c r="E5251">
        <v>26</v>
      </c>
      <c r="F5251">
        <v>0</v>
      </c>
      <c r="G5251">
        <v>0</v>
      </c>
      <c r="H5251">
        <v>60</v>
      </c>
      <c r="I5251">
        <v>0</v>
      </c>
      <c r="J5251">
        <v>1</v>
      </c>
      <c r="K5251">
        <v>0</v>
      </c>
    </row>
    <row r="5252" spans="1:11" x14ac:dyDescent="0.2">
      <c r="A5252">
        <v>40905</v>
      </c>
      <c r="B5252">
        <v>300168</v>
      </c>
      <c r="C5252" t="s">
        <v>8658</v>
      </c>
      <c r="D5252">
        <v>10</v>
      </c>
      <c r="E5252">
        <v>18</v>
      </c>
      <c r="F5252">
        <v>0</v>
      </c>
      <c r="G5252">
        <v>0</v>
      </c>
      <c r="H5252">
        <v>36</v>
      </c>
      <c r="I5252">
        <v>0</v>
      </c>
      <c r="J5252">
        <v>1</v>
      </c>
      <c r="K5252">
        <v>0</v>
      </c>
    </row>
    <row r="5253" spans="1:11" x14ac:dyDescent="0.2">
      <c r="A5253">
        <v>47895</v>
      </c>
      <c r="B5253">
        <v>300169</v>
      </c>
      <c r="C5253" t="s">
        <v>8659</v>
      </c>
      <c r="D5253">
        <v>10</v>
      </c>
      <c r="E5253">
        <v>226</v>
      </c>
      <c r="F5253">
        <v>0</v>
      </c>
      <c r="G5253">
        <v>0</v>
      </c>
      <c r="H5253">
        <v>4</v>
      </c>
      <c r="I5253">
        <v>0</v>
      </c>
      <c r="J5253">
        <v>1.79</v>
      </c>
      <c r="K5253">
        <v>0</v>
      </c>
    </row>
    <row r="5254" spans="1:11" x14ac:dyDescent="0.2">
      <c r="A5254">
        <v>43828</v>
      </c>
      <c r="B5254">
        <v>300174</v>
      </c>
      <c r="C5254" t="s">
        <v>8660</v>
      </c>
      <c r="D5254">
        <v>10</v>
      </c>
      <c r="E5254">
        <v>6</v>
      </c>
      <c r="F5254">
        <v>1</v>
      </c>
      <c r="G5254">
        <v>6</v>
      </c>
      <c r="H5254">
        <v>24</v>
      </c>
      <c r="I5254">
        <v>0</v>
      </c>
      <c r="J5254">
        <v>19.989999999999998</v>
      </c>
      <c r="K5254">
        <v>119.94</v>
      </c>
    </row>
    <row r="5255" spans="1:11" x14ac:dyDescent="0.2">
      <c r="A5255">
        <v>39820</v>
      </c>
      <c r="B5255">
        <v>300175</v>
      </c>
      <c r="C5255" t="s">
        <v>8661</v>
      </c>
      <c r="D5255">
        <v>10</v>
      </c>
      <c r="E5255">
        <v>12</v>
      </c>
      <c r="F5255">
        <v>0</v>
      </c>
      <c r="G5255">
        <v>0</v>
      </c>
      <c r="H5255">
        <v>72</v>
      </c>
      <c r="I5255">
        <v>0</v>
      </c>
      <c r="J5255">
        <v>7.99</v>
      </c>
      <c r="K5255">
        <v>0</v>
      </c>
    </row>
    <row r="5256" spans="1:11" x14ac:dyDescent="0.2">
      <c r="A5256">
        <v>41834</v>
      </c>
      <c r="B5256">
        <v>300176</v>
      </c>
      <c r="C5256" t="s">
        <v>8662</v>
      </c>
      <c r="D5256">
        <v>10</v>
      </c>
      <c r="E5256">
        <v>14</v>
      </c>
      <c r="F5256">
        <v>0</v>
      </c>
      <c r="G5256">
        <v>0</v>
      </c>
      <c r="H5256">
        <v>30</v>
      </c>
      <c r="I5256">
        <v>0</v>
      </c>
      <c r="J5256">
        <v>4.99</v>
      </c>
      <c r="K5256">
        <v>0</v>
      </c>
    </row>
    <row r="5257" spans="1:11" x14ac:dyDescent="0.2">
      <c r="A5257">
        <v>1309</v>
      </c>
      <c r="B5257">
        <v>300179</v>
      </c>
      <c r="C5257" t="s">
        <v>7703</v>
      </c>
      <c r="D5257">
        <v>10</v>
      </c>
      <c r="E5257">
        <v>6</v>
      </c>
      <c r="F5257">
        <v>59</v>
      </c>
      <c r="G5257">
        <v>354</v>
      </c>
      <c r="H5257">
        <v>15</v>
      </c>
      <c r="I5257">
        <v>3.9</v>
      </c>
      <c r="J5257">
        <v>19.989999999999998</v>
      </c>
      <c r="K5257">
        <v>7076.46</v>
      </c>
    </row>
    <row r="5258" spans="1:11" x14ac:dyDescent="0.2">
      <c r="A5258">
        <v>43934</v>
      </c>
      <c r="B5258">
        <v>300182</v>
      </c>
      <c r="C5258" t="s">
        <v>8663</v>
      </c>
      <c r="D5258">
        <v>10</v>
      </c>
      <c r="E5258">
        <v>32</v>
      </c>
      <c r="F5258">
        <v>0</v>
      </c>
      <c r="G5258">
        <v>0</v>
      </c>
      <c r="H5258">
        <v>90</v>
      </c>
      <c r="I5258">
        <v>0</v>
      </c>
      <c r="J5258">
        <v>1</v>
      </c>
      <c r="K5258">
        <v>0</v>
      </c>
    </row>
    <row r="5259" spans="1:11" x14ac:dyDescent="0.2">
      <c r="A5259">
        <v>37825</v>
      </c>
      <c r="B5259">
        <v>300184</v>
      </c>
      <c r="C5259" t="s">
        <v>8664</v>
      </c>
      <c r="D5259">
        <v>10</v>
      </c>
      <c r="E5259">
        <v>16</v>
      </c>
      <c r="F5259">
        <v>0</v>
      </c>
      <c r="G5259">
        <v>0</v>
      </c>
      <c r="H5259">
        <v>98</v>
      </c>
      <c r="I5259">
        <v>0</v>
      </c>
      <c r="J5259">
        <v>3.99</v>
      </c>
      <c r="K5259">
        <v>0</v>
      </c>
    </row>
    <row r="5260" spans="1:11" x14ac:dyDescent="0.2">
      <c r="A5260">
        <v>43829</v>
      </c>
      <c r="B5260">
        <v>300187</v>
      </c>
      <c r="C5260" t="s">
        <v>8665</v>
      </c>
      <c r="D5260">
        <v>10</v>
      </c>
      <c r="E5260">
        <v>4</v>
      </c>
      <c r="F5260">
        <v>1</v>
      </c>
      <c r="G5260">
        <v>4</v>
      </c>
      <c r="H5260">
        <v>154</v>
      </c>
      <c r="I5260">
        <v>0</v>
      </c>
      <c r="J5260">
        <v>29.99</v>
      </c>
      <c r="K5260">
        <v>119.96</v>
      </c>
    </row>
    <row r="5261" spans="1:11" x14ac:dyDescent="0.2">
      <c r="A5261">
        <v>41835</v>
      </c>
      <c r="B5261">
        <v>300188</v>
      </c>
      <c r="C5261" t="s">
        <v>8666</v>
      </c>
      <c r="D5261">
        <v>10</v>
      </c>
      <c r="E5261">
        <v>8</v>
      </c>
      <c r="F5261">
        <v>0</v>
      </c>
      <c r="G5261">
        <v>0</v>
      </c>
      <c r="H5261">
        <v>63</v>
      </c>
      <c r="I5261">
        <v>0</v>
      </c>
      <c r="J5261">
        <v>7.99</v>
      </c>
      <c r="K5261">
        <v>0</v>
      </c>
    </row>
    <row r="5262" spans="1:11" x14ac:dyDescent="0.2">
      <c r="A5262">
        <v>39821</v>
      </c>
      <c r="B5262">
        <v>300189</v>
      </c>
      <c r="C5262" t="s">
        <v>8667</v>
      </c>
      <c r="D5262">
        <v>10</v>
      </c>
      <c r="E5262">
        <v>9</v>
      </c>
      <c r="F5262">
        <v>0</v>
      </c>
      <c r="G5262">
        <v>0</v>
      </c>
      <c r="H5262">
        <v>30</v>
      </c>
      <c r="I5262">
        <v>0</v>
      </c>
      <c r="J5262">
        <v>6.99</v>
      </c>
      <c r="K5262">
        <v>0</v>
      </c>
    </row>
    <row r="5263" spans="1:11" x14ac:dyDescent="0.2">
      <c r="A5263">
        <v>34823</v>
      </c>
      <c r="B5263">
        <v>300190</v>
      </c>
      <c r="C5263" t="s">
        <v>8668</v>
      </c>
      <c r="D5263">
        <v>10</v>
      </c>
      <c r="E5263">
        <v>3</v>
      </c>
      <c r="F5263">
        <v>0</v>
      </c>
      <c r="G5263">
        <v>0</v>
      </c>
      <c r="H5263">
        <v>24</v>
      </c>
      <c r="I5263">
        <v>0</v>
      </c>
      <c r="J5263">
        <v>19.989999999999998</v>
      </c>
      <c r="K5263">
        <v>0</v>
      </c>
    </row>
    <row r="5264" spans="1:11" x14ac:dyDescent="0.2">
      <c r="A5264">
        <v>51811</v>
      </c>
      <c r="B5264">
        <v>300191</v>
      </c>
      <c r="C5264" t="s">
        <v>8669</v>
      </c>
      <c r="D5264">
        <v>10</v>
      </c>
      <c r="E5264">
        <v>6</v>
      </c>
      <c r="F5264">
        <v>37</v>
      </c>
      <c r="G5264">
        <v>221</v>
      </c>
      <c r="H5264">
        <v>40</v>
      </c>
      <c r="I5264">
        <v>0.9</v>
      </c>
      <c r="J5264">
        <v>7.99</v>
      </c>
      <c r="K5264">
        <v>1765.79</v>
      </c>
    </row>
    <row r="5265" spans="1:11" x14ac:dyDescent="0.2">
      <c r="A5265">
        <v>43935</v>
      </c>
      <c r="B5265">
        <v>300195</v>
      </c>
      <c r="C5265" t="s">
        <v>8670</v>
      </c>
      <c r="D5265">
        <v>10</v>
      </c>
      <c r="E5265">
        <v>30</v>
      </c>
      <c r="F5265">
        <v>0</v>
      </c>
      <c r="G5265">
        <v>0</v>
      </c>
      <c r="H5265">
        <v>168</v>
      </c>
      <c r="I5265">
        <v>0</v>
      </c>
      <c r="J5265">
        <v>0.5</v>
      </c>
      <c r="K5265">
        <v>0</v>
      </c>
    </row>
    <row r="5266" spans="1:11" x14ac:dyDescent="0.2">
      <c r="A5266">
        <v>40824</v>
      </c>
      <c r="B5266">
        <v>300196</v>
      </c>
      <c r="C5266" t="s">
        <v>8671</v>
      </c>
      <c r="D5266">
        <v>10</v>
      </c>
      <c r="E5266">
        <v>12</v>
      </c>
      <c r="F5266">
        <v>0</v>
      </c>
      <c r="G5266">
        <v>0</v>
      </c>
      <c r="H5266">
        <v>36</v>
      </c>
      <c r="I5266">
        <v>0</v>
      </c>
      <c r="J5266">
        <v>4.99</v>
      </c>
      <c r="K5266">
        <v>0</v>
      </c>
    </row>
    <row r="5267" spans="1:11" x14ac:dyDescent="0.2">
      <c r="A5267">
        <v>32825</v>
      </c>
      <c r="B5267">
        <v>300197</v>
      </c>
      <c r="C5267" t="s">
        <v>8672</v>
      </c>
      <c r="D5267">
        <v>10</v>
      </c>
      <c r="E5267">
        <v>1</v>
      </c>
      <c r="F5267">
        <v>0</v>
      </c>
      <c r="G5267">
        <v>0</v>
      </c>
      <c r="H5267">
        <v>26</v>
      </c>
      <c r="I5267">
        <v>0</v>
      </c>
      <c r="J5267">
        <v>39.99</v>
      </c>
      <c r="K5267">
        <v>0</v>
      </c>
    </row>
    <row r="5268" spans="1:11" x14ac:dyDescent="0.2">
      <c r="A5268">
        <v>31822</v>
      </c>
      <c r="B5268">
        <v>300205</v>
      </c>
      <c r="C5268" t="s">
        <v>8673</v>
      </c>
      <c r="D5268">
        <v>10</v>
      </c>
      <c r="E5268">
        <v>4</v>
      </c>
      <c r="F5268">
        <v>0</v>
      </c>
      <c r="G5268">
        <v>0</v>
      </c>
      <c r="H5268">
        <v>35</v>
      </c>
      <c r="I5268">
        <v>0</v>
      </c>
      <c r="J5268">
        <v>3.99</v>
      </c>
      <c r="K5268">
        <v>0</v>
      </c>
    </row>
    <row r="5269" spans="1:11" x14ac:dyDescent="0.2">
      <c r="A5269">
        <v>43936</v>
      </c>
      <c r="B5269">
        <v>300213</v>
      </c>
      <c r="C5269" t="s">
        <v>8674</v>
      </c>
      <c r="D5269">
        <v>10</v>
      </c>
      <c r="E5269">
        <v>24</v>
      </c>
      <c r="F5269">
        <v>0</v>
      </c>
      <c r="G5269">
        <v>0</v>
      </c>
      <c r="H5269">
        <v>240</v>
      </c>
      <c r="I5269">
        <v>0</v>
      </c>
      <c r="J5269">
        <v>1</v>
      </c>
      <c r="K5269">
        <v>0</v>
      </c>
    </row>
    <row r="5270" spans="1:11" x14ac:dyDescent="0.2">
      <c r="A5270">
        <v>47903</v>
      </c>
      <c r="B5270">
        <v>300215</v>
      </c>
      <c r="C5270" t="s">
        <v>8675</v>
      </c>
      <c r="D5270">
        <v>10</v>
      </c>
      <c r="E5270">
        <v>16</v>
      </c>
      <c r="F5270">
        <v>0</v>
      </c>
      <c r="G5270">
        <v>0</v>
      </c>
      <c r="H5270">
        <v>100</v>
      </c>
      <c r="I5270">
        <v>0</v>
      </c>
      <c r="J5270">
        <v>1</v>
      </c>
      <c r="K5270">
        <v>0</v>
      </c>
    </row>
    <row r="5271" spans="1:11" x14ac:dyDescent="0.2">
      <c r="A5271">
        <v>38858</v>
      </c>
      <c r="B5271">
        <v>300217</v>
      </c>
      <c r="C5271" t="s">
        <v>8676</v>
      </c>
      <c r="D5271">
        <v>10</v>
      </c>
      <c r="E5271">
        <v>8</v>
      </c>
      <c r="F5271">
        <v>0</v>
      </c>
      <c r="G5271">
        <v>0</v>
      </c>
      <c r="H5271">
        <v>28</v>
      </c>
      <c r="I5271">
        <v>0</v>
      </c>
      <c r="J5271">
        <v>4.99</v>
      </c>
      <c r="K5271">
        <v>0</v>
      </c>
    </row>
    <row r="5272" spans="1:11" x14ac:dyDescent="0.2">
      <c r="A5272">
        <v>32826</v>
      </c>
      <c r="B5272">
        <v>300221</v>
      </c>
      <c r="C5272" t="s">
        <v>7627</v>
      </c>
      <c r="D5272">
        <v>10</v>
      </c>
      <c r="E5272">
        <v>2</v>
      </c>
      <c r="F5272">
        <v>0</v>
      </c>
      <c r="G5272">
        <v>0</v>
      </c>
      <c r="H5272">
        <v>21</v>
      </c>
      <c r="I5272">
        <v>0</v>
      </c>
      <c r="J5272">
        <v>49.99</v>
      </c>
      <c r="K5272">
        <v>0</v>
      </c>
    </row>
    <row r="5273" spans="1:11" x14ac:dyDescent="0.2">
      <c r="A5273">
        <v>3267</v>
      </c>
      <c r="B5273">
        <v>300224</v>
      </c>
      <c r="C5273" t="s">
        <v>8677</v>
      </c>
      <c r="D5273">
        <v>6</v>
      </c>
      <c r="E5273">
        <v>4</v>
      </c>
      <c r="F5273">
        <v>0</v>
      </c>
      <c r="G5273">
        <v>0</v>
      </c>
      <c r="H5273">
        <v>100</v>
      </c>
      <c r="I5273">
        <v>0</v>
      </c>
      <c r="J5273">
        <v>16.989999999999998</v>
      </c>
      <c r="K5273">
        <v>0</v>
      </c>
    </row>
    <row r="5274" spans="1:11" x14ac:dyDescent="0.2">
      <c r="A5274">
        <v>31823</v>
      </c>
      <c r="B5274">
        <v>300226</v>
      </c>
      <c r="C5274" t="s">
        <v>8678</v>
      </c>
      <c r="D5274">
        <v>10</v>
      </c>
      <c r="E5274">
        <v>8</v>
      </c>
      <c r="F5274">
        <v>0</v>
      </c>
      <c r="G5274">
        <v>0</v>
      </c>
      <c r="H5274">
        <v>80</v>
      </c>
      <c r="I5274">
        <v>0</v>
      </c>
      <c r="J5274">
        <v>5.99</v>
      </c>
      <c r="K5274">
        <v>0</v>
      </c>
    </row>
    <row r="5275" spans="1:11" x14ac:dyDescent="0.2">
      <c r="A5275">
        <v>40825</v>
      </c>
      <c r="B5275">
        <v>300231</v>
      </c>
      <c r="C5275" t="s">
        <v>8679</v>
      </c>
      <c r="D5275">
        <v>10</v>
      </c>
      <c r="E5275">
        <v>2</v>
      </c>
      <c r="F5275">
        <v>0</v>
      </c>
      <c r="G5275">
        <v>0</v>
      </c>
      <c r="H5275">
        <v>24</v>
      </c>
      <c r="I5275">
        <v>0</v>
      </c>
      <c r="J5275">
        <v>39.99</v>
      </c>
      <c r="K5275">
        <v>0</v>
      </c>
    </row>
    <row r="5276" spans="1:11" x14ac:dyDescent="0.2">
      <c r="A5276">
        <v>48817</v>
      </c>
      <c r="B5276">
        <v>300234</v>
      </c>
      <c r="C5276" t="s">
        <v>8680</v>
      </c>
      <c r="D5276">
        <v>10</v>
      </c>
      <c r="E5276">
        <v>6</v>
      </c>
      <c r="F5276">
        <v>0</v>
      </c>
      <c r="G5276">
        <v>0</v>
      </c>
      <c r="H5276">
        <v>56</v>
      </c>
      <c r="I5276">
        <v>0</v>
      </c>
      <c r="J5276">
        <v>9.99</v>
      </c>
      <c r="K5276">
        <v>0</v>
      </c>
    </row>
    <row r="5277" spans="1:11" x14ac:dyDescent="0.2">
      <c r="A5277">
        <v>31825</v>
      </c>
      <c r="B5277">
        <v>300244</v>
      </c>
      <c r="C5277" t="s">
        <v>8681</v>
      </c>
      <c r="D5277">
        <v>10</v>
      </c>
      <c r="E5277">
        <v>6</v>
      </c>
      <c r="F5277">
        <v>0</v>
      </c>
      <c r="G5277">
        <v>0</v>
      </c>
      <c r="H5277">
        <v>24</v>
      </c>
      <c r="I5277">
        <v>0</v>
      </c>
      <c r="J5277">
        <v>11.99</v>
      </c>
      <c r="K5277">
        <v>0</v>
      </c>
    </row>
    <row r="5278" spans="1:11" x14ac:dyDescent="0.2">
      <c r="A5278">
        <v>47925</v>
      </c>
      <c r="B5278">
        <v>300248</v>
      </c>
      <c r="C5278" t="s">
        <v>8682</v>
      </c>
      <c r="D5278">
        <v>10</v>
      </c>
      <c r="E5278">
        <v>20</v>
      </c>
      <c r="F5278">
        <v>0</v>
      </c>
      <c r="G5278">
        <v>0</v>
      </c>
      <c r="H5278">
        <v>160</v>
      </c>
      <c r="I5278">
        <v>0</v>
      </c>
      <c r="J5278">
        <v>0.5</v>
      </c>
      <c r="K5278">
        <v>0</v>
      </c>
    </row>
    <row r="5279" spans="1:11" x14ac:dyDescent="0.2">
      <c r="A5279">
        <v>50383</v>
      </c>
      <c r="B5279">
        <v>300251</v>
      </c>
      <c r="C5279" t="s">
        <v>8683</v>
      </c>
      <c r="D5279">
        <v>10</v>
      </c>
      <c r="E5279">
        <v>8</v>
      </c>
      <c r="F5279">
        <v>0</v>
      </c>
      <c r="G5279">
        <v>0</v>
      </c>
      <c r="H5279">
        <v>56</v>
      </c>
      <c r="I5279">
        <v>0</v>
      </c>
      <c r="J5279">
        <v>5.99</v>
      </c>
      <c r="K5279">
        <v>0</v>
      </c>
    </row>
    <row r="5280" spans="1:11" x14ac:dyDescent="0.2">
      <c r="A5280">
        <v>42824</v>
      </c>
      <c r="B5280">
        <v>300258</v>
      </c>
      <c r="C5280" t="s">
        <v>8684</v>
      </c>
      <c r="D5280">
        <v>10</v>
      </c>
      <c r="E5280">
        <v>4</v>
      </c>
      <c r="F5280">
        <v>1</v>
      </c>
      <c r="G5280">
        <v>4</v>
      </c>
      <c r="H5280">
        <v>340</v>
      </c>
      <c r="I5280">
        <v>0</v>
      </c>
      <c r="J5280">
        <v>19.989999999999998</v>
      </c>
      <c r="K5280">
        <v>79.959999999999994</v>
      </c>
    </row>
    <row r="5281" spans="1:11" x14ac:dyDescent="0.2">
      <c r="A5281">
        <v>42825</v>
      </c>
      <c r="B5281">
        <v>300262</v>
      </c>
      <c r="C5281" t="s">
        <v>8216</v>
      </c>
      <c r="D5281">
        <v>10</v>
      </c>
      <c r="E5281">
        <v>7</v>
      </c>
      <c r="F5281">
        <v>1</v>
      </c>
      <c r="G5281">
        <v>7</v>
      </c>
      <c r="H5281">
        <v>14</v>
      </c>
      <c r="I5281">
        <v>0.1</v>
      </c>
      <c r="J5281">
        <v>6.99</v>
      </c>
      <c r="K5281">
        <v>48.93</v>
      </c>
    </row>
    <row r="5282" spans="1:11" x14ac:dyDescent="0.2">
      <c r="A5282">
        <v>2258</v>
      </c>
      <c r="B5282">
        <v>300263</v>
      </c>
      <c r="C5282" t="s">
        <v>8685</v>
      </c>
      <c r="D5282">
        <v>10</v>
      </c>
      <c r="E5282">
        <v>18</v>
      </c>
      <c r="F5282">
        <v>160</v>
      </c>
      <c r="G5282">
        <v>2880</v>
      </c>
      <c r="H5282">
        <v>56</v>
      </c>
      <c r="I5282">
        <v>2.9</v>
      </c>
      <c r="J5282">
        <v>3.99</v>
      </c>
      <c r="K5282">
        <v>11491.2</v>
      </c>
    </row>
    <row r="5283" spans="1:11" x14ac:dyDescent="0.2">
      <c r="A5283">
        <v>43937</v>
      </c>
      <c r="B5283">
        <v>300264</v>
      </c>
      <c r="C5283" t="s">
        <v>8686</v>
      </c>
      <c r="D5283">
        <v>10</v>
      </c>
      <c r="E5283">
        <v>27</v>
      </c>
      <c r="F5283">
        <v>0</v>
      </c>
      <c r="G5283">
        <v>0</v>
      </c>
      <c r="H5283">
        <v>30</v>
      </c>
      <c r="I5283">
        <v>0</v>
      </c>
      <c r="J5283">
        <v>1</v>
      </c>
      <c r="K5283">
        <v>0</v>
      </c>
    </row>
    <row r="5284" spans="1:11" x14ac:dyDescent="0.2">
      <c r="A5284">
        <v>32827</v>
      </c>
      <c r="B5284">
        <v>300265</v>
      </c>
      <c r="C5284" t="s">
        <v>8687</v>
      </c>
      <c r="D5284">
        <v>10</v>
      </c>
      <c r="E5284">
        <v>6</v>
      </c>
      <c r="F5284">
        <v>0</v>
      </c>
      <c r="G5284">
        <v>0</v>
      </c>
      <c r="H5284">
        <v>105</v>
      </c>
      <c r="I5284">
        <v>0</v>
      </c>
      <c r="J5284">
        <v>4.99</v>
      </c>
      <c r="K5284">
        <v>0</v>
      </c>
    </row>
    <row r="5285" spans="1:11" x14ac:dyDescent="0.2">
      <c r="A5285">
        <v>41836</v>
      </c>
      <c r="B5285">
        <v>300266</v>
      </c>
      <c r="C5285" t="s">
        <v>8688</v>
      </c>
      <c r="D5285">
        <v>10</v>
      </c>
      <c r="E5285">
        <v>12</v>
      </c>
      <c r="F5285">
        <v>0</v>
      </c>
      <c r="G5285">
        <v>0</v>
      </c>
      <c r="H5285">
        <v>30</v>
      </c>
      <c r="I5285">
        <v>0</v>
      </c>
      <c r="J5285">
        <v>5.99</v>
      </c>
      <c r="K5285">
        <v>0</v>
      </c>
    </row>
    <row r="5286" spans="1:11" x14ac:dyDescent="0.2">
      <c r="A5286">
        <v>43938</v>
      </c>
      <c r="B5286">
        <v>300267</v>
      </c>
      <c r="C5286" t="s">
        <v>8689</v>
      </c>
      <c r="D5286">
        <v>10</v>
      </c>
      <c r="E5286">
        <v>8</v>
      </c>
      <c r="F5286">
        <v>0</v>
      </c>
      <c r="G5286">
        <v>0</v>
      </c>
      <c r="H5286">
        <v>189</v>
      </c>
      <c r="I5286">
        <v>0</v>
      </c>
      <c r="J5286">
        <v>1</v>
      </c>
      <c r="K5286">
        <v>0</v>
      </c>
    </row>
    <row r="5287" spans="1:11" x14ac:dyDescent="0.2">
      <c r="A5287">
        <v>41837</v>
      </c>
      <c r="B5287">
        <v>300268</v>
      </c>
      <c r="C5287" t="s">
        <v>8690</v>
      </c>
      <c r="D5287">
        <v>10</v>
      </c>
      <c r="E5287">
        <v>8</v>
      </c>
      <c r="F5287">
        <v>0</v>
      </c>
      <c r="G5287">
        <v>0</v>
      </c>
      <c r="H5287">
        <v>84</v>
      </c>
      <c r="I5287">
        <v>0</v>
      </c>
      <c r="J5287">
        <v>9.99</v>
      </c>
      <c r="K5287">
        <v>0</v>
      </c>
    </row>
    <row r="5288" spans="1:11" x14ac:dyDescent="0.2">
      <c r="A5288">
        <v>48818</v>
      </c>
      <c r="B5288">
        <v>300272</v>
      </c>
      <c r="C5288" t="s">
        <v>8691</v>
      </c>
      <c r="D5288">
        <v>10</v>
      </c>
      <c r="E5288">
        <v>4</v>
      </c>
      <c r="F5288">
        <v>0</v>
      </c>
      <c r="G5288">
        <v>0</v>
      </c>
      <c r="H5288">
        <v>24</v>
      </c>
      <c r="I5288">
        <v>0</v>
      </c>
      <c r="J5288">
        <v>49.99</v>
      </c>
      <c r="K5288">
        <v>0</v>
      </c>
    </row>
    <row r="5289" spans="1:11" x14ac:dyDescent="0.2">
      <c r="A5289">
        <v>43830</v>
      </c>
      <c r="B5289">
        <v>300275</v>
      </c>
      <c r="C5289" t="s">
        <v>7534</v>
      </c>
      <c r="D5289">
        <v>10</v>
      </c>
      <c r="E5289">
        <v>6</v>
      </c>
      <c r="F5289">
        <v>2</v>
      </c>
      <c r="G5289">
        <v>12</v>
      </c>
      <c r="H5289">
        <v>72</v>
      </c>
      <c r="I5289">
        <v>0</v>
      </c>
      <c r="J5289">
        <v>19.989999999999998</v>
      </c>
      <c r="K5289">
        <v>239.88</v>
      </c>
    </row>
    <row r="5290" spans="1:11" x14ac:dyDescent="0.2">
      <c r="A5290">
        <v>39822</v>
      </c>
      <c r="B5290">
        <v>300278</v>
      </c>
      <c r="C5290" t="s">
        <v>8692</v>
      </c>
      <c r="D5290">
        <v>10</v>
      </c>
      <c r="E5290">
        <v>1</v>
      </c>
      <c r="F5290">
        <v>0</v>
      </c>
      <c r="G5290">
        <v>0</v>
      </c>
      <c r="H5290">
        <v>65</v>
      </c>
      <c r="I5290">
        <v>0</v>
      </c>
      <c r="J5290">
        <v>29.99</v>
      </c>
      <c r="K5290">
        <v>0</v>
      </c>
    </row>
    <row r="5291" spans="1:11" x14ac:dyDescent="0.2">
      <c r="A5291">
        <v>47810</v>
      </c>
      <c r="B5291">
        <v>300279</v>
      </c>
      <c r="C5291" t="s">
        <v>8693</v>
      </c>
      <c r="D5291">
        <v>10</v>
      </c>
      <c r="E5291">
        <v>2</v>
      </c>
      <c r="F5291">
        <v>0</v>
      </c>
      <c r="G5291">
        <v>0</v>
      </c>
      <c r="H5291">
        <v>35</v>
      </c>
      <c r="I5291">
        <v>0</v>
      </c>
      <c r="J5291">
        <v>39.99</v>
      </c>
      <c r="K5291">
        <v>0</v>
      </c>
    </row>
    <row r="5292" spans="1:11" x14ac:dyDescent="0.2">
      <c r="A5292">
        <v>34826</v>
      </c>
      <c r="B5292">
        <v>300282</v>
      </c>
      <c r="C5292" t="s">
        <v>8694</v>
      </c>
      <c r="D5292">
        <v>10</v>
      </c>
      <c r="E5292">
        <v>10</v>
      </c>
      <c r="F5292">
        <v>0</v>
      </c>
      <c r="G5292">
        <v>0</v>
      </c>
      <c r="H5292">
        <v>96</v>
      </c>
      <c r="I5292">
        <v>0</v>
      </c>
      <c r="J5292">
        <v>9.99</v>
      </c>
      <c r="K5292">
        <v>0</v>
      </c>
    </row>
    <row r="5293" spans="1:11" x14ac:dyDescent="0.2">
      <c r="A5293">
        <v>42826</v>
      </c>
      <c r="B5293">
        <v>300286</v>
      </c>
      <c r="C5293" t="s">
        <v>8695</v>
      </c>
      <c r="D5293">
        <v>10</v>
      </c>
      <c r="E5293">
        <v>4</v>
      </c>
      <c r="F5293">
        <v>5</v>
      </c>
      <c r="G5293">
        <v>20</v>
      </c>
      <c r="H5293">
        <v>60</v>
      </c>
      <c r="I5293">
        <v>0.1</v>
      </c>
      <c r="J5293">
        <v>17.489999999999998</v>
      </c>
      <c r="K5293">
        <v>349.8</v>
      </c>
    </row>
    <row r="5294" spans="1:11" x14ac:dyDescent="0.2">
      <c r="A5294">
        <v>43831</v>
      </c>
      <c r="B5294">
        <v>300289</v>
      </c>
      <c r="C5294" t="s">
        <v>8294</v>
      </c>
      <c r="D5294">
        <v>10</v>
      </c>
      <c r="E5294">
        <v>6</v>
      </c>
      <c r="F5294">
        <v>0</v>
      </c>
      <c r="G5294">
        <v>0</v>
      </c>
      <c r="H5294">
        <v>16</v>
      </c>
      <c r="I5294">
        <v>0</v>
      </c>
      <c r="J5294">
        <v>24.99</v>
      </c>
      <c r="K5294">
        <v>0</v>
      </c>
    </row>
    <row r="5295" spans="1:11" x14ac:dyDescent="0.2">
      <c r="A5295">
        <v>42827</v>
      </c>
      <c r="B5295">
        <v>300290</v>
      </c>
      <c r="C5295" t="s">
        <v>8696</v>
      </c>
      <c r="D5295">
        <v>10</v>
      </c>
      <c r="E5295">
        <v>2</v>
      </c>
      <c r="F5295">
        <v>1</v>
      </c>
      <c r="G5295">
        <v>2</v>
      </c>
      <c r="H5295">
        <v>96</v>
      </c>
      <c r="I5295">
        <v>0</v>
      </c>
      <c r="J5295">
        <v>24.99</v>
      </c>
      <c r="K5295">
        <v>49.98</v>
      </c>
    </row>
    <row r="5296" spans="1:11" x14ac:dyDescent="0.2">
      <c r="A5296">
        <v>40906</v>
      </c>
      <c r="B5296">
        <v>300291</v>
      </c>
      <c r="C5296" t="s">
        <v>8697</v>
      </c>
      <c r="D5296">
        <v>10</v>
      </c>
      <c r="E5296">
        <v>20</v>
      </c>
      <c r="F5296">
        <v>0</v>
      </c>
      <c r="G5296">
        <v>0</v>
      </c>
      <c r="H5296">
        <v>70</v>
      </c>
      <c r="I5296">
        <v>0</v>
      </c>
      <c r="J5296">
        <v>1</v>
      </c>
      <c r="K5296">
        <v>0</v>
      </c>
    </row>
    <row r="5297" spans="1:12" x14ac:dyDescent="0.2">
      <c r="A5297">
        <v>50384</v>
      </c>
      <c r="B5297">
        <v>300297</v>
      </c>
      <c r="C5297" t="s">
        <v>8698</v>
      </c>
      <c r="D5297">
        <v>10</v>
      </c>
      <c r="E5297">
        <v>12</v>
      </c>
      <c r="F5297">
        <v>0</v>
      </c>
      <c r="G5297">
        <v>0</v>
      </c>
      <c r="H5297">
        <v>140</v>
      </c>
      <c r="I5297">
        <v>0</v>
      </c>
      <c r="J5297">
        <v>4.99</v>
      </c>
      <c r="K5297">
        <v>0</v>
      </c>
    </row>
    <row r="5298" spans="1:12" x14ac:dyDescent="0.2">
      <c r="A5298">
        <v>41838</v>
      </c>
      <c r="B5298">
        <v>300298</v>
      </c>
      <c r="C5298" t="s">
        <v>8699</v>
      </c>
      <c r="D5298">
        <v>10</v>
      </c>
      <c r="E5298">
        <v>15</v>
      </c>
      <c r="F5298">
        <v>0</v>
      </c>
      <c r="G5298">
        <v>0</v>
      </c>
      <c r="H5298">
        <v>35</v>
      </c>
      <c r="I5298">
        <v>0</v>
      </c>
      <c r="J5298">
        <v>6.99</v>
      </c>
      <c r="K5298">
        <v>0</v>
      </c>
    </row>
    <row r="5299" spans="1:12" x14ac:dyDescent="0.2">
      <c r="A5299">
        <v>39823</v>
      </c>
      <c r="B5299">
        <v>300300</v>
      </c>
      <c r="C5299" t="s">
        <v>8700</v>
      </c>
      <c r="D5299">
        <v>10</v>
      </c>
      <c r="E5299">
        <v>20</v>
      </c>
      <c r="F5299">
        <v>0</v>
      </c>
      <c r="G5299">
        <v>0</v>
      </c>
      <c r="H5299">
        <v>16</v>
      </c>
      <c r="I5299">
        <v>0</v>
      </c>
      <c r="J5299">
        <v>4.99</v>
      </c>
      <c r="K5299">
        <v>0</v>
      </c>
    </row>
    <row r="5300" spans="1:12" x14ac:dyDescent="0.2">
      <c r="A5300">
        <v>40826</v>
      </c>
      <c r="B5300">
        <v>300305</v>
      </c>
      <c r="C5300" t="s">
        <v>8701</v>
      </c>
      <c r="D5300">
        <v>10</v>
      </c>
      <c r="E5300">
        <v>10</v>
      </c>
      <c r="F5300">
        <v>0</v>
      </c>
      <c r="G5300">
        <v>0</v>
      </c>
      <c r="H5300">
        <v>100</v>
      </c>
      <c r="I5300">
        <v>0</v>
      </c>
      <c r="J5300">
        <v>11.99</v>
      </c>
      <c r="K5300">
        <v>0</v>
      </c>
    </row>
    <row r="5301" spans="1:12" x14ac:dyDescent="0.2">
      <c r="A5301">
        <v>30851</v>
      </c>
      <c r="B5301">
        <v>300309</v>
      </c>
      <c r="C5301" t="s">
        <v>8702</v>
      </c>
      <c r="D5301">
        <v>11</v>
      </c>
      <c r="E5301">
        <v>20</v>
      </c>
      <c r="F5301">
        <v>0</v>
      </c>
      <c r="G5301">
        <v>0</v>
      </c>
      <c r="H5301">
        <v>32</v>
      </c>
      <c r="I5301">
        <v>0</v>
      </c>
      <c r="J5301">
        <v>3.99</v>
      </c>
      <c r="K5301">
        <v>0</v>
      </c>
      <c r="L5301" t="s">
        <v>3699</v>
      </c>
    </row>
    <row r="5302" spans="1:12" x14ac:dyDescent="0.2">
      <c r="A5302">
        <v>37827</v>
      </c>
      <c r="B5302">
        <v>300310</v>
      </c>
      <c r="C5302" t="s">
        <v>8703</v>
      </c>
      <c r="D5302">
        <v>10</v>
      </c>
      <c r="E5302">
        <v>6</v>
      </c>
      <c r="F5302">
        <v>0</v>
      </c>
      <c r="G5302">
        <v>0</v>
      </c>
      <c r="H5302">
        <v>28</v>
      </c>
      <c r="I5302">
        <v>0</v>
      </c>
      <c r="J5302">
        <v>13.99</v>
      </c>
      <c r="K5302">
        <v>0</v>
      </c>
    </row>
    <row r="5303" spans="1:12" x14ac:dyDescent="0.2">
      <c r="A5303">
        <v>46815</v>
      </c>
      <c r="B5303">
        <v>300312</v>
      </c>
      <c r="C5303" t="s">
        <v>7624</v>
      </c>
      <c r="D5303">
        <v>10</v>
      </c>
      <c r="E5303">
        <v>12</v>
      </c>
      <c r="F5303">
        <v>0</v>
      </c>
      <c r="G5303">
        <v>0</v>
      </c>
      <c r="H5303">
        <v>28</v>
      </c>
      <c r="I5303">
        <v>0</v>
      </c>
      <c r="J5303">
        <v>3.49</v>
      </c>
      <c r="K5303">
        <v>0</v>
      </c>
    </row>
    <row r="5304" spans="1:12" x14ac:dyDescent="0.2">
      <c r="A5304">
        <v>32829</v>
      </c>
      <c r="B5304">
        <v>300313</v>
      </c>
      <c r="C5304" t="s">
        <v>8704</v>
      </c>
      <c r="D5304">
        <v>10</v>
      </c>
      <c r="E5304">
        <v>6</v>
      </c>
      <c r="F5304">
        <v>0</v>
      </c>
      <c r="G5304">
        <v>0</v>
      </c>
      <c r="H5304">
        <v>40</v>
      </c>
      <c r="I5304">
        <v>0</v>
      </c>
      <c r="J5304">
        <v>11.99</v>
      </c>
      <c r="K5304">
        <v>0</v>
      </c>
    </row>
    <row r="5305" spans="1:12" x14ac:dyDescent="0.2">
      <c r="A5305">
        <v>38859</v>
      </c>
      <c r="B5305">
        <v>300314</v>
      </c>
      <c r="C5305" t="s">
        <v>8705</v>
      </c>
      <c r="D5305">
        <v>10</v>
      </c>
      <c r="E5305">
        <v>8</v>
      </c>
      <c r="F5305">
        <v>0</v>
      </c>
      <c r="G5305">
        <v>0</v>
      </c>
      <c r="H5305">
        <v>352</v>
      </c>
      <c r="I5305">
        <v>0</v>
      </c>
      <c r="J5305">
        <v>5.99</v>
      </c>
      <c r="K5305">
        <v>0</v>
      </c>
    </row>
    <row r="5306" spans="1:12" x14ac:dyDescent="0.2">
      <c r="A5306">
        <v>47904</v>
      </c>
      <c r="B5306">
        <v>300316</v>
      </c>
      <c r="C5306" t="s">
        <v>8706</v>
      </c>
      <c r="D5306">
        <v>10</v>
      </c>
      <c r="E5306">
        <v>12</v>
      </c>
      <c r="F5306">
        <v>0</v>
      </c>
      <c r="G5306">
        <v>0</v>
      </c>
      <c r="H5306">
        <v>96</v>
      </c>
      <c r="I5306">
        <v>0</v>
      </c>
      <c r="J5306">
        <v>1</v>
      </c>
      <c r="K5306">
        <v>0</v>
      </c>
    </row>
    <row r="5307" spans="1:12" x14ac:dyDescent="0.2">
      <c r="A5307">
        <v>44820</v>
      </c>
      <c r="B5307">
        <v>300319</v>
      </c>
      <c r="C5307" t="s">
        <v>8039</v>
      </c>
      <c r="D5307">
        <v>10</v>
      </c>
      <c r="E5307">
        <v>2</v>
      </c>
      <c r="F5307">
        <v>0</v>
      </c>
      <c r="G5307">
        <v>0</v>
      </c>
      <c r="H5307">
        <v>15</v>
      </c>
      <c r="I5307">
        <v>0</v>
      </c>
      <c r="J5307">
        <v>26.99</v>
      </c>
      <c r="K5307">
        <v>0</v>
      </c>
    </row>
    <row r="5308" spans="1:12" x14ac:dyDescent="0.2">
      <c r="A5308">
        <v>41839</v>
      </c>
      <c r="B5308">
        <v>300322</v>
      </c>
      <c r="C5308" t="s">
        <v>8707</v>
      </c>
      <c r="D5308">
        <v>10</v>
      </c>
      <c r="E5308">
        <v>4</v>
      </c>
      <c r="F5308">
        <v>0</v>
      </c>
      <c r="G5308">
        <v>0</v>
      </c>
      <c r="H5308">
        <v>25</v>
      </c>
      <c r="I5308">
        <v>0</v>
      </c>
      <c r="J5308">
        <v>19.89</v>
      </c>
      <c r="K5308">
        <v>0</v>
      </c>
    </row>
    <row r="5309" spans="1:12" x14ac:dyDescent="0.2">
      <c r="A5309">
        <v>33833</v>
      </c>
      <c r="B5309">
        <v>300325</v>
      </c>
      <c r="C5309" t="s">
        <v>8708</v>
      </c>
      <c r="D5309">
        <v>10</v>
      </c>
      <c r="E5309">
        <v>6</v>
      </c>
      <c r="F5309">
        <v>0</v>
      </c>
      <c r="G5309">
        <v>0</v>
      </c>
      <c r="H5309">
        <v>60</v>
      </c>
      <c r="I5309">
        <v>0</v>
      </c>
      <c r="J5309">
        <v>12.99</v>
      </c>
      <c r="K5309">
        <v>0</v>
      </c>
    </row>
    <row r="5310" spans="1:12" x14ac:dyDescent="0.2">
      <c r="A5310">
        <v>41840</v>
      </c>
      <c r="B5310">
        <v>300326</v>
      </c>
      <c r="C5310" t="s">
        <v>8709</v>
      </c>
      <c r="D5310">
        <v>10</v>
      </c>
      <c r="E5310">
        <v>20</v>
      </c>
      <c r="F5310">
        <v>0</v>
      </c>
      <c r="G5310">
        <v>0</v>
      </c>
      <c r="H5310">
        <v>100</v>
      </c>
      <c r="I5310">
        <v>0</v>
      </c>
      <c r="J5310">
        <v>3.99</v>
      </c>
      <c r="K5310">
        <v>0</v>
      </c>
    </row>
    <row r="5311" spans="1:12" x14ac:dyDescent="0.2">
      <c r="A5311">
        <v>40827</v>
      </c>
      <c r="B5311">
        <v>300328</v>
      </c>
      <c r="C5311" t="s">
        <v>8710</v>
      </c>
      <c r="D5311">
        <v>10</v>
      </c>
      <c r="E5311">
        <v>1</v>
      </c>
      <c r="F5311">
        <v>0</v>
      </c>
      <c r="G5311">
        <v>0</v>
      </c>
      <c r="H5311">
        <v>42</v>
      </c>
      <c r="I5311">
        <v>0</v>
      </c>
      <c r="J5311">
        <v>29.99</v>
      </c>
      <c r="K5311">
        <v>0</v>
      </c>
    </row>
    <row r="5312" spans="1:12" x14ac:dyDescent="0.2">
      <c r="A5312">
        <v>42828</v>
      </c>
      <c r="B5312">
        <v>300331</v>
      </c>
      <c r="C5312" t="s">
        <v>8711</v>
      </c>
      <c r="D5312">
        <v>10</v>
      </c>
      <c r="E5312">
        <v>8</v>
      </c>
      <c r="F5312">
        <v>1</v>
      </c>
      <c r="G5312">
        <v>8</v>
      </c>
      <c r="H5312">
        <v>26</v>
      </c>
      <c r="I5312">
        <v>0</v>
      </c>
      <c r="J5312">
        <v>7.99</v>
      </c>
      <c r="K5312">
        <v>63.92</v>
      </c>
    </row>
    <row r="5313" spans="1:11" x14ac:dyDescent="0.2">
      <c r="A5313">
        <v>36813</v>
      </c>
      <c r="B5313">
        <v>300334</v>
      </c>
      <c r="C5313" t="s">
        <v>8712</v>
      </c>
      <c r="D5313">
        <v>10</v>
      </c>
      <c r="E5313">
        <v>20</v>
      </c>
      <c r="F5313">
        <v>0</v>
      </c>
      <c r="G5313">
        <v>0</v>
      </c>
      <c r="H5313">
        <v>102</v>
      </c>
      <c r="I5313">
        <v>0</v>
      </c>
      <c r="J5313">
        <v>4.99</v>
      </c>
      <c r="K5313">
        <v>0</v>
      </c>
    </row>
    <row r="5314" spans="1:11" x14ac:dyDescent="0.2">
      <c r="A5314">
        <v>41841</v>
      </c>
      <c r="B5314">
        <v>300344</v>
      </c>
      <c r="C5314" t="s">
        <v>8713</v>
      </c>
      <c r="D5314">
        <v>10</v>
      </c>
      <c r="E5314">
        <v>6</v>
      </c>
      <c r="F5314">
        <v>0</v>
      </c>
      <c r="G5314">
        <v>0</v>
      </c>
      <c r="H5314">
        <v>84</v>
      </c>
      <c r="I5314">
        <v>0</v>
      </c>
      <c r="J5314">
        <v>11.99</v>
      </c>
      <c r="K5314">
        <v>0</v>
      </c>
    </row>
    <row r="5315" spans="1:11" x14ac:dyDescent="0.2">
      <c r="A5315">
        <v>38424</v>
      </c>
      <c r="B5315">
        <v>300346</v>
      </c>
      <c r="C5315" t="s">
        <v>8714</v>
      </c>
      <c r="D5315">
        <v>10</v>
      </c>
      <c r="E5315">
        <v>15</v>
      </c>
      <c r="F5315">
        <v>2</v>
      </c>
      <c r="G5315">
        <v>30</v>
      </c>
      <c r="H5315">
        <v>72</v>
      </c>
      <c r="I5315">
        <v>0</v>
      </c>
      <c r="J5315">
        <v>1</v>
      </c>
      <c r="K5315">
        <v>30</v>
      </c>
    </row>
    <row r="5316" spans="1:11" x14ac:dyDescent="0.2">
      <c r="A5316">
        <v>51070</v>
      </c>
      <c r="B5316">
        <v>300354</v>
      </c>
      <c r="C5316" t="s">
        <v>7584</v>
      </c>
      <c r="D5316">
        <v>10</v>
      </c>
      <c r="E5316">
        <v>4</v>
      </c>
      <c r="F5316">
        <v>46</v>
      </c>
      <c r="G5316">
        <v>184</v>
      </c>
      <c r="H5316">
        <v>124</v>
      </c>
      <c r="I5316">
        <v>0.4</v>
      </c>
      <c r="J5316">
        <v>9.99</v>
      </c>
      <c r="K5316">
        <v>1838.16</v>
      </c>
    </row>
    <row r="5317" spans="1:11" x14ac:dyDescent="0.2">
      <c r="A5317">
        <v>50385</v>
      </c>
      <c r="B5317">
        <v>300359</v>
      </c>
      <c r="C5317" t="s">
        <v>8715</v>
      </c>
      <c r="D5317">
        <v>10</v>
      </c>
      <c r="E5317">
        <v>1</v>
      </c>
      <c r="F5317">
        <v>0</v>
      </c>
      <c r="G5317">
        <v>0</v>
      </c>
      <c r="H5317">
        <v>50</v>
      </c>
      <c r="I5317">
        <v>0</v>
      </c>
      <c r="J5317">
        <v>39.99</v>
      </c>
      <c r="K5317">
        <v>0</v>
      </c>
    </row>
    <row r="5318" spans="1:11" x14ac:dyDescent="0.2">
      <c r="A5318">
        <v>38860</v>
      </c>
      <c r="B5318">
        <v>300362</v>
      </c>
      <c r="C5318" t="s">
        <v>8716</v>
      </c>
      <c r="D5318">
        <v>10</v>
      </c>
      <c r="E5318">
        <v>8</v>
      </c>
      <c r="F5318">
        <v>0</v>
      </c>
      <c r="G5318">
        <v>0</v>
      </c>
      <c r="H5318">
        <v>220</v>
      </c>
      <c r="I5318">
        <v>0</v>
      </c>
      <c r="J5318">
        <v>9.99</v>
      </c>
      <c r="K5318">
        <v>0</v>
      </c>
    </row>
    <row r="5319" spans="1:11" x14ac:dyDescent="0.2">
      <c r="A5319">
        <v>36814</v>
      </c>
      <c r="B5319">
        <v>300363</v>
      </c>
      <c r="C5319" t="s">
        <v>8717</v>
      </c>
      <c r="D5319">
        <v>10</v>
      </c>
      <c r="E5319">
        <v>6</v>
      </c>
      <c r="F5319">
        <v>0</v>
      </c>
      <c r="G5319">
        <v>0</v>
      </c>
      <c r="H5319">
        <v>9</v>
      </c>
      <c r="I5319">
        <v>0</v>
      </c>
      <c r="J5319">
        <v>21.99</v>
      </c>
      <c r="K5319">
        <v>0</v>
      </c>
    </row>
    <row r="5320" spans="1:11" x14ac:dyDescent="0.2">
      <c r="A5320">
        <v>31827</v>
      </c>
      <c r="B5320">
        <v>300364</v>
      </c>
      <c r="C5320" t="s">
        <v>8718</v>
      </c>
      <c r="D5320">
        <v>10</v>
      </c>
      <c r="E5320">
        <v>6</v>
      </c>
      <c r="F5320">
        <v>0</v>
      </c>
      <c r="G5320">
        <v>0</v>
      </c>
      <c r="H5320">
        <v>25</v>
      </c>
      <c r="I5320">
        <v>0</v>
      </c>
      <c r="J5320">
        <v>11.99</v>
      </c>
      <c r="K5320">
        <v>0</v>
      </c>
    </row>
    <row r="5321" spans="1:11" x14ac:dyDescent="0.2">
      <c r="A5321">
        <v>40907</v>
      </c>
      <c r="B5321">
        <v>300366</v>
      </c>
      <c r="C5321" t="s">
        <v>8719</v>
      </c>
      <c r="D5321">
        <v>10</v>
      </c>
      <c r="E5321">
        <v>40</v>
      </c>
      <c r="F5321">
        <v>0</v>
      </c>
      <c r="G5321">
        <v>0</v>
      </c>
      <c r="H5321">
        <v>18</v>
      </c>
      <c r="I5321">
        <v>0</v>
      </c>
      <c r="J5321">
        <v>1</v>
      </c>
      <c r="K5321">
        <v>0</v>
      </c>
    </row>
    <row r="5322" spans="1:11" x14ac:dyDescent="0.2">
      <c r="A5322">
        <v>50018</v>
      </c>
      <c r="B5322">
        <v>300367</v>
      </c>
      <c r="C5322" t="s">
        <v>8720</v>
      </c>
      <c r="D5322">
        <v>10</v>
      </c>
      <c r="E5322">
        <v>12</v>
      </c>
      <c r="F5322">
        <v>0</v>
      </c>
      <c r="G5322">
        <v>0</v>
      </c>
      <c r="H5322">
        <v>40</v>
      </c>
      <c r="I5322">
        <v>0</v>
      </c>
      <c r="J5322">
        <v>2.99</v>
      </c>
      <c r="K5322">
        <v>0</v>
      </c>
    </row>
    <row r="5323" spans="1:11" x14ac:dyDescent="0.2">
      <c r="A5323">
        <v>42829</v>
      </c>
      <c r="B5323">
        <v>300368</v>
      </c>
      <c r="C5323" t="s">
        <v>8721</v>
      </c>
      <c r="D5323">
        <v>10</v>
      </c>
      <c r="E5323">
        <v>20</v>
      </c>
      <c r="F5323">
        <v>0</v>
      </c>
      <c r="G5323">
        <v>0</v>
      </c>
      <c r="H5323">
        <v>72</v>
      </c>
      <c r="I5323">
        <v>0</v>
      </c>
      <c r="J5323">
        <v>6.99</v>
      </c>
      <c r="K5323">
        <v>0</v>
      </c>
    </row>
    <row r="5324" spans="1:11" x14ac:dyDescent="0.2">
      <c r="A5324">
        <v>43939</v>
      </c>
      <c r="B5324">
        <v>300370</v>
      </c>
      <c r="C5324" t="s">
        <v>8722</v>
      </c>
      <c r="D5324">
        <v>10</v>
      </c>
      <c r="E5324">
        <v>20</v>
      </c>
      <c r="F5324">
        <v>0</v>
      </c>
      <c r="G5324">
        <v>0</v>
      </c>
      <c r="H5324">
        <v>360</v>
      </c>
      <c r="I5324">
        <v>0</v>
      </c>
      <c r="J5324">
        <v>1</v>
      </c>
      <c r="K5324">
        <v>0</v>
      </c>
    </row>
    <row r="5325" spans="1:11" x14ac:dyDescent="0.2">
      <c r="A5325">
        <v>31828</v>
      </c>
      <c r="B5325">
        <v>300378</v>
      </c>
      <c r="C5325" t="s">
        <v>8723</v>
      </c>
      <c r="D5325">
        <v>10</v>
      </c>
      <c r="E5325">
        <v>32</v>
      </c>
      <c r="F5325">
        <v>0</v>
      </c>
      <c r="G5325">
        <v>0</v>
      </c>
      <c r="H5325">
        <v>45</v>
      </c>
      <c r="I5325">
        <v>0</v>
      </c>
      <c r="J5325">
        <v>2.4900000000000002</v>
      </c>
      <c r="K5325">
        <v>0</v>
      </c>
    </row>
    <row r="5326" spans="1:11" x14ac:dyDescent="0.2">
      <c r="A5326">
        <v>2271</v>
      </c>
      <c r="B5326">
        <v>300379</v>
      </c>
      <c r="C5326" t="s">
        <v>8724</v>
      </c>
      <c r="D5326">
        <v>10</v>
      </c>
      <c r="E5326">
        <v>6</v>
      </c>
      <c r="F5326">
        <v>256</v>
      </c>
      <c r="G5326">
        <v>1536</v>
      </c>
      <c r="H5326">
        <v>224</v>
      </c>
      <c r="I5326">
        <v>1.1000000000000001</v>
      </c>
      <c r="J5326">
        <v>9.99</v>
      </c>
      <c r="K5326">
        <v>15344.64</v>
      </c>
    </row>
    <row r="5327" spans="1:11" x14ac:dyDescent="0.2">
      <c r="A5327">
        <v>41842</v>
      </c>
      <c r="B5327">
        <v>300383</v>
      </c>
      <c r="C5327" t="s">
        <v>8725</v>
      </c>
      <c r="D5327">
        <v>10</v>
      </c>
      <c r="E5327">
        <v>4</v>
      </c>
      <c r="F5327">
        <v>0</v>
      </c>
      <c r="G5327">
        <v>0</v>
      </c>
      <c r="H5327">
        <v>24</v>
      </c>
      <c r="I5327">
        <v>0</v>
      </c>
      <c r="J5327">
        <v>9.99</v>
      </c>
      <c r="K5327">
        <v>0</v>
      </c>
    </row>
    <row r="5328" spans="1:11" x14ac:dyDescent="0.2">
      <c r="A5328">
        <v>42830</v>
      </c>
      <c r="B5328">
        <v>300389</v>
      </c>
      <c r="C5328" t="s">
        <v>8726</v>
      </c>
      <c r="D5328">
        <v>10</v>
      </c>
      <c r="E5328">
        <v>12</v>
      </c>
      <c r="F5328">
        <v>1</v>
      </c>
      <c r="G5328">
        <v>12</v>
      </c>
      <c r="H5328">
        <v>132</v>
      </c>
      <c r="I5328">
        <v>0</v>
      </c>
      <c r="J5328">
        <v>4.49</v>
      </c>
      <c r="K5328">
        <v>53.88</v>
      </c>
    </row>
    <row r="5329" spans="1:11" x14ac:dyDescent="0.2">
      <c r="A5329">
        <v>42831</v>
      </c>
      <c r="B5329">
        <v>300395</v>
      </c>
      <c r="C5329" t="s">
        <v>8727</v>
      </c>
      <c r="D5329">
        <v>10</v>
      </c>
      <c r="E5329">
        <v>3</v>
      </c>
      <c r="F5329">
        <v>4</v>
      </c>
      <c r="G5329">
        <v>12</v>
      </c>
      <c r="H5329">
        <v>32</v>
      </c>
      <c r="I5329">
        <v>0.1</v>
      </c>
      <c r="J5329">
        <v>12.99</v>
      </c>
      <c r="K5329">
        <v>155.88</v>
      </c>
    </row>
    <row r="5330" spans="1:11" x14ac:dyDescent="0.2">
      <c r="A5330">
        <v>42832</v>
      </c>
      <c r="B5330">
        <v>300397</v>
      </c>
      <c r="C5330" t="s">
        <v>7641</v>
      </c>
      <c r="D5330">
        <v>10</v>
      </c>
      <c r="E5330">
        <v>4</v>
      </c>
      <c r="F5330">
        <v>3</v>
      </c>
      <c r="G5330">
        <v>12</v>
      </c>
      <c r="H5330">
        <v>60</v>
      </c>
      <c r="I5330">
        <v>0.1</v>
      </c>
      <c r="J5330">
        <v>17.989999999999998</v>
      </c>
      <c r="K5330">
        <v>215.88</v>
      </c>
    </row>
    <row r="5331" spans="1:11" x14ac:dyDescent="0.2">
      <c r="A5331">
        <v>50019</v>
      </c>
      <c r="B5331">
        <v>300398</v>
      </c>
      <c r="C5331" t="s">
        <v>8728</v>
      </c>
      <c r="D5331">
        <v>10</v>
      </c>
      <c r="E5331">
        <v>16</v>
      </c>
      <c r="F5331">
        <v>0</v>
      </c>
      <c r="G5331">
        <v>0</v>
      </c>
      <c r="H5331">
        <v>100</v>
      </c>
      <c r="I5331">
        <v>0</v>
      </c>
      <c r="J5331">
        <v>11.99</v>
      </c>
      <c r="K5331">
        <v>0</v>
      </c>
    </row>
    <row r="5332" spans="1:11" x14ac:dyDescent="0.2">
      <c r="A5332">
        <v>47811</v>
      </c>
      <c r="B5332">
        <v>300405</v>
      </c>
      <c r="C5332" t="s">
        <v>8729</v>
      </c>
      <c r="D5332">
        <v>10</v>
      </c>
      <c r="E5332">
        <v>2</v>
      </c>
      <c r="F5332">
        <v>0</v>
      </c>
      <c r="G5332">
        <v>0</v>
      </c>
      <c r="H5332">
        <v>18</v>
      </c>
      <c r="I5332">
        <v>0</v>
      </c>
      <c r="J5332">
        <v>34.99</v>
      </c>
      <c r="K5332">
        <v>0</v>
      </c>
    </row>
    <row r="5333" spans="1:11" x14ac:dyDescent="0.2">
      <c r="A5333">
        <v>50386</v>
      </c>
      <c r="B5333">
        <v>300406</v>
      </c>
      <c r="C5333" t="s">
        <v>8730</v>
      </c>
      <c r="D5333">
        <v>10</v>
      </c>
      <c r="E5333">
        <v>3</v>
      </c>
      <c r="F5333">
        <v>0</v>
      </c>
      <c r="G5333">
        <v>0</v>
      </c>
      <c r="H5333">
        <v>54</v>
      </c>
      <c r="I5333">
        <v>0</v>
      </c>
      <c r="J5333">
        <v>29.99</v>
      </c>
      <c r="K5333">
        <v>0</v>
      </c>
    </row>
    <row r="5334" spans="1:11" x14ac:dyDescent="0.2">
      <c r="A5334">
        <v>32831</v>
      </c>
      <c r="B5334">
        <v>300407</v>
      </c>
      <c r="C5334" t="s">
        <v>8731</v>
      </c>
      <c r="D5334">
        <v>10</v>
      </c>
      <c r="E5334">
        <v>8</v>
      </c>
      <c r="F5334">
        <v>0</v>
      </c>
      <c r="G5334">
        <v>0</v>
      </c>
      <c r="H5334">
        <v>12</v>
      </c>
      <c r="I5334">
        <v>0</v>
      </c>
      <c r="J5334">
        <v>8.99</v>
      </c>
      <c r="K5334">
        <v>0</v>
      </c>
    </row>
    <row r="5335" spans="1:11" x14ac:dyDescent="0.2">
      <c r="A5335">
        <v>50000</v>
      </c>
      <c r="B5335">
        <v>300409</v>
      </c>
      <c r="C5335" t="s">
        <v>8732</v>
      </c>
      <c r="D5335">
        <v>10</v>
      </c>
      <c r="E5335">
        <v>14</v>
      </c>
      <c r="F5335">
        <v>0</v>
      </c>
      <c r="G5335">
        <v>0</v>
      </c>
      <c r="H5335">
        <v>40</v>
      </c>
      <c r="I5335">
        <v>0</v>
      </c>
      <c r="J5335">
        <v>7.99</v>
      </c>
      <c r="K5335">
        <v>0</v>
      </c>
    </row>
    <row r="5336" spans="1:11" x14ac:dyDescent="0.2">
      <c r="A5336">
        <v>32832</v>
      </c>
      <c r="B5336">
        <v>300410</v>
      </c>
      <c r="C5336" t="s">
        <v>7628</v>
      </c>
      <c r="D5336">
        <v>10</v>
      </c>
      <c r="E5336">
        <v>4</v>
      </c>
      <c r="F5336">
        <v>0</v>
      </c>
      <c r="G5336">
        <v>0</v>
      </c>
      <c r="H5336">
        <v>48</v>
      </c>
      <c r="I5336">
        <v>0</v>
      </c>
      <c r="J5336">
        <v>12.99</v>
      </c>
      <c r="K5336">
        <v>0</v>
      </c>
    </row>
    <row r="5337" spans="1:11" x14ac:dyDescent="0.2">
      <c r="A5337">
        <v>33835</v>
      </c>
      <c r="B5337">
        <v>300413</v>
      </c>
      <c r="C5337" t="s">
        <v>7679</v>
      </c>
      <c r="D5337">
        <v>10</v>
      </c>
      <c r="E5337">
        <v>1</v>
      </c>
      <c r="F5337">
        <v>0</v>
      </c>
      <c r="G5337">
        <v>0</v>
      </c>
      <c r="H5337">
        <v>28</v>
      </c>
      <c r="I5337">
        <v>0</v>
      </c>
      <c r="J5337">
        <v>99</v>
      </c>
      <c r="K5337">
        <v>0</v>
      </c>
    </row>
    <row r="5338" spans="1:11" x14ac:dyDescent="0.2">
      <c r="A5338">
        <v>50020</v>
      </c>
      <c r="B5338">
        <v>300415</v>
      </c>
      <c r="C5338" t="s">
        <v>8733</v>
      </c>
      <c r="D5338">
        <v>10</v>
      </c>
      <c r="E5338">
        <v>2</v>
      </c>
      <c r="F5338">
        <v>0</v>
      </c>
      <c r="G5338">
        <v>0</v>
      </c>
      <c r="H5338">
        <v>30</v>
      </c>
      <c r="I5338">
        <v>0</v>
      </c>
      <c r="J5338">
        <v>29.99</v>
      </c>
      <c r="K5338">
        <v>0</v>
      </c>
    </row>
    <row r="5339" spans="1:11" x14ac:dyDescent="0.2">
      <c r="A5339">
        <v>42833</v>
      </c>
      <c r="B5339">
        <v>300416</v>
      </c>
      <c r="C5339" t="s">
        <v>8734</v>
      </c>
      <c r="D5339">
        <v>10</v>
      </c>
      <c r="E5339">
        <v>4</v>
      </c>
      <c r="F5339">
        <v>-1</v>
      </c>
      <c r="G5339">
        <v>-4</v>
      </c>
      <c r="H5339">
        <v>120</v>
      </c>
      <c r="I5339">
        <v>0</v>
      </c>
      <c r="J5339">
        <v>26.99</v>
      </c>
      <c r="K5339">
        <v>-107.96</v>
      </c>
    </row>
    <row r="5340" spans="1:11" x14ac:dyDescent="0.2">
      <c r="A5340">
        <v>42834</v>
      </c>
      <c r="B5340">
        <v>300418</v>
      </c>
      <c r="C5340" t="s">
        <v>8735</v>
      </c>
      <c r="D5340">
        <v>10</v>
      </c>
      <c r="E5340">
        <v>12</v>
      </c>
      <c r="F5340">
        <v>0</v>
      </c>
      <c r="G5340">
        <v>0</v>
      </c>
      <c r="H5340">
        <v>152</v>
      </c>
      <c r="I5340">
        <v>0</v>
      </c>
      <c r="J5340">
        <v>6.99</v>
      </c>
      <c r="K5340">
        <v>0</v>
      </c>
    </row>
    <row r="5341" spans="1:11" x14ac:dyDescent="0.2">
      <c r="A5341">
        <v>41843</v>
      </c>
      <c r="B5341">
        <v>300419</v>
      </c>
      <c r="C5341" t="s">
        <v>8736</v>
      </c>
      <c r="D5341">
        <v>10</v>
      </c>
      <c r="E5341">
        <v>6</v>
      </c>
      <c r="F5341">
        <v>0</v>
      </c>
      <c r="G5341">
        <v>0</v>
      </c>
      <c r="H5341">
        <v>60</v>
      </c>
      <c r="I5341">
        <v>0</v>
      </c>
      <c r="J5341">
        <v>9.99</v>
      </c>
      <c r="K5341">
        <v>0</v>
      </c>
    </row>
    <row r="5342" spans="1:11" x14ac:dyDescent="0.2">
      <c r="A5342">
        <v>32833</v>
      </c>
      <c r="B5342">
        <v>300421</v>
      </c>
      <c r="C5342" t="s">
        <v>8737</v>
      </c>
      <c r="D5342">
        <v>10</v>
      </c>
      <c r="E5342">
        <v>1</v>
      </c>
      <c r="F5342">
        <v>0</v>
      </c>
      <c r="G5342">
        <v>0</v>
      </c>
      <c r="H5342">
        <v>28</v>
      </c>
      <c r="I5342">
        <v>0</v>
      </c>
      <c r="J5342">
        <v>39.99</v>
      </c>
      <c r="K5342">
        <v>0</v>
      </c>
    </row>
    <row r="5343" spans="1:11" x14ac:dyDescent="0.2">
      <c r="A5343">
        <v>48819</v>
      </c>
      <c r="B5343">
        <v>300422</v>
      </c>
      <c r="C5343" t="s">
        <v>8738</v>
      </c>
      <c r="D5343">
        <v>10</v>
      </c>
      <c r="E5343">
        <v>6</v>
      </c>
      <c r="F5343">
        <v>0</v>
      </c>
      <c r="G5343">
        <v>0</v>
      </c>
      <c r="H5343">
        <v>56</v>
      </c>
      <c r="I5343">
        <v>0</v>
      </c>
      <c r="J5343">
        <v>9.99</v>
      </c>
      <c r="K5343">
        <v>0</v>
      </c>
    </row>
    <row r="5344" spans="1:11" x14ac:dyDescent="0.2">
      <c r="A5344">
        <v>34828</v>
      </c>
      <c r="B5344">
        <v>300423</v>
      </c>
      <c r="C5344" t="s">
        <v>8739</v>
      </c>
      <c r="D5344">
        <v>10</v>
      </c>
      <c r="E5344">
        <v>6</v>
      </c>
      <c r="F5344">
        <v>0</v>
      </c>
      <c r="G5344">
        <v>0</v>
      </c>
      <c r="H5344">
        <v>48</v>
      </c>
      <c r="I5344">
        <v>0</v>
      </c>
      <c r="J5344">
        <v>16.989999999999998</v>
      </c>
      <c r="K5344">
        <v>0</v>
      </c>
    </row>
    <row r="5345" spans="1:11" x14ac:dyDescent="0.2">
      <c r="A5345">
        <v>39405</v>
      </c>
      <c r="B5345">
        <v>300427</v>
      </c>
      <c r="C5345" t="s">
        <v>8740</v>
      </c>
      <c r="D5345">
        <v>10</v>
      </c>
      <c r="E5345">
        <v>27</v>
      </c>
      <c r="F5345">
        <v>1</v>
      </c>
      <c r="G5345">
        <v>27</v>
      </c>
      <c r="H5345">
        <v>31</v>
      </c>
      <c r="I5345">
        <v>0</v>
      </c>
      <c r="J5345">
        <v>1</v>
      </c>
      <c r="K5345">
        <v>27</v>
      </c>
    </row>
    <row r="5346" spans="1:11" x14ac:dyDescent="0.2">
      <c r="A5346">
        <v>47905</v>
      </c>
      <c r="B5346">
        <v>300433</v>
      </c>
      <c r="C5346" t="s">
        <v>8741</v>
      </c>
      <c r="D5346">
        <v>10</v>
      </c>
      <c r="E5346">
        <v>12</v>
      </c>
      <c r="F5346">
        <v>0</v>
      </c>
      <c r="G5346">
        <v>0</v>
      </c>
      <c r="H5346">
        <v>130</v>
      </c>
      <c r="I5346">
        <v>0</v>
      </c>
      <c r="J5346">
        <v>1</v>
      </c>
      <c r="K5346">
        <v>0</v>
      </c>
    </row>
    <row r="5347" spans="1:11" x14ac:dyDescent="0.2">
      <c r="A5347">
        <v>41421</v>
      </c>
      <c r="B5347">
        <v>300435</v>
      </c>
      <c r="C5347" t="s">
        <v>8275</v>
      </c>
      <c r="D5347">
        <v>10</v>
      </c>
      <c r="E5347">
        <v>14</v>
      </c>
      <c r="F5347">
        <v>0</v>
      </c>
      <c r="G5347">
        <v>6</v>
      </c>
      <c r="H5347">
        <v>77</v>
      </c>
      <c r="I5347">
        <v>0</v>
      </c>
      <c r="J5347">
        <v>1</v>
      </c>
      <c r="K5347">
        <v>6</v>
      </c>
    </row>
    <row r="5348" spans="1:11" x14ac:dyDescent="0.2">
      <c r="A5348">
        <v>49027</v>
      </c>
      <c r="B5348">
        <v>300444</v>
      </c>
      <c r="C5348" t="s">
        <v>8742</v>
      </c>
      <c r="D5348">
        <v>10</v>
      </c>
      <c r="E5348">
        <v>2</v>
      </c>
      <c r="F5348">
        <v>0</v>
      </c>
      <c r="G5348">
        <v>0</v>
      </c>
      <c r="H5348">
        <v>49</v>
      </c>
      <c r="I5348">
        <v>0</v>
      </c>
      <c r="J5348">
        <v>44.99</v>
      </c>
      <c r="K5348">
        <v>0</v>
      </c>
    </row>
    <row r="5349" spans="1:11" x14ac:dyDescent="0.2">
      <c r="A5349">
        <v>43940</v>
      </c>
      <c r="B5349">
        <v>300449</v>
      </c>
      <c r="C5349" t="s">
        <v>7811</v>
      </c>
      <c r="D5349">
        <v>10</v>
      </c>
      <c r="E5349">
        <v>20</v>
      </c>
      <c r="F5349">
        <v>0</v>
      </c>
      <c r="G5349">
        <v>0</v>
      </c>
      <c r="H5349">
        <v>100</v>
      </c>
      <c r="I5349">
        <v>0</v>
      </c>
      <c r="J5349">
        <v>1</v>
      </c>
      <c r="K5349">
        <v>0</v>
      </c>
    </row>
    <row r="5350" spans="1:11" x14ac:dyDescent="0.2">
      <c r="A5350">
        <v>35974</v>
      </c>
      <c r="B5350">
        <v>300454</v>
      </c>
      <c r="C5350" t="s">
        <v>8743</v>
      </c>
      <c r="D5350">
        <v>10</v>
      </c>
      <c r="E5350">
        <v>1</v>
      </c>
      <c r="F5350">
        <v>0</v>
      </c>
      <c r="G5350">
        <v>0</v>
      </c>
      <c r="H5350">
        <v>20</v>
      </c>
      <c r="I5350">
        <v>0</v>
      </c>
      <c r="J5350">
        <v>39.99</v>
      </c>
      <c r="K5350">
        <v>0</v>
      </c>
    </row>
    <row r="5351" spans="1:11" x14ac:dyDescent="0.2">
      <c r="A5351">
        <v>43941</v>
      </c>
      <c r="B5351">
        <v>300456</v>
      </c>
      <c r="C5351" t="s">
        <v>8744</v>
      </c>
      <c r="D5351">
        <v>10</v>
      </c>
      <c r="E5351">
        <v>24</v>
      </c>
      <c r="F5351">
        <v>0</v>
      </c>
      <c r="G5351">
        <v>0</v>
      </c>
      <c r="H5351">
        <v>56</v>
      </c>
      <c r="I5351">
        <v>0</v>
      </c>
      <c r="J5351">
        <v>0.5</v>
      </c>
      <c r="K5351">
        <v>0</v>
      </c>
    </row>
    <row r="5352" spans="1:11" x14ac:dyDescent="0.2">
      <c r="A5352">
        <v>33837</v>
      </c>
      <c r="B5352">
        <v>300461</v>
      </c>
      <c r="C5352" t="s">
        <v>8745</v>
      </c>
      <c r="D5352">
        <v>10</v>
      </c>
      <c r="E5352">
        <v>2</v>
      </c>
      <c r="F5352">
        <v>0</v>
      </c>
      <c r="G5352">
        <v>0</v>
      </c>
      <c r="H5352">
        <v>12</v>
      </c>
      <c r="I5352">
        <v>0</v>
      </c>
      <c r="J5352">
        <v>34.99</v>
      </c>
      <c r="K5352">
        <v>0</v>
      </c>
    </row>
    <row r="5353" spans="1:11" x14ac:dyDescent="0.2">
      <c r="A5353">
        <v>43942</v>
      </c>
      <c r="B5353">
        <v>300467</v>
      </c>
      <c r="C5353" t="s">
        <v>8746</v>
      </c>
      <c r="D5353">
        <v>10</v>
      </c>
      <c r="E5353">
        <v>26</v>
      </c>
      <c r="F5353">
        <v>0</v>
      </c>
      <c r="G5353">
        <v>0</v>
      </c>
      <c r="H5353">
        <v>54</v>
      </c>
      <c r="I5353">
        <v>0</v>
      </c>
      <c r="J5353">
        <v>1</v>
      </c>
      <c r="K5353">
        <v>0</v>
      </c>
    </row>
    <row r="5354" spans="1:11" x14ac:dyDescent="0.2">
      <c r="A5354">
        <v>47906</v>
      </c>
      <c r="B5354">
        <v>300468</v>
      </c>
      <c r="C5354" t="s">
        <v>8747</v>
      </c>
      <c r="D5354">
        <v>10</v>
      </c>
      <c r="E5354">
        <v>12</v>
      </c>
      <c r="F5354">
        <v>0</v>
      </c>
      <c r="G5354">
        <v>0</v>
      </c>
      <c r="H5354">
        <v>100</v>
      </c>
      <c r="I5354">
        <v>0</v>
      </c>
      <c r="J5354">
        <v>1</v>
      </c>
      <c r="K5354">
        <v>0</v>
      </c>
    </row>
    <row r="5355" spans="1:11" x14ac:dyDescent="0.2">
      <c r="A5355">
        <v>47431</v>
      </c>
      <c r="B5355">
        <v>300472</v>
      </c>
      <c r="C5355" t="s">
        <v>8008</v>
      </c>
      <c r="D5355">
        <v>10</v>
      </c>
      <c r="E5355">
        <v>16</v>
      </c>
      <c r="F5355">
        <v>0</v>
      </c>
      <c r="G5355">
        <v>0</v>
      </c>
      <c r="H5355">
        <v>100</v>
      </c>
      <c r="I5355">
        <v>0</v>
      </c>
      <c r="J5355">
        <v>5.99</v>
      </c>
      <c r="K5355">
        <v>0</v>
      </c>
    </row>
    <row r="5356" spans="1:11" x14ac:dyDescent="0.2">
      <c r="A5356">
        <v>39824</v>
      </c>
      <c r="B5356">
        <v>300474</v>
      </c>
      <c r="C5356" t="s">
        <v>8748</v>
      </c>
      <c r="D5356">
        <v>10</v>
      </c>
      <c r="E5356">
        <v>10</v>
      </c>
      <c r="F5356">
        <v>0</v>
      </c>
      <c r="G5356">
        <v>0</v>
      </c>
      <c r="H5356">
        <v>48</v>
      </c>
      <c r="I5356">
        <v>0</v>
      </c>
      <c r="J5356">
        <v>5.99</v>
      </c>
      <c r="K5356">
        <v>0</v>
      </c>
    </row>
    <row r="5357" spans="1:11" x14ac:dyDescent="0.2">
      <c r="A5357">
        <v>50005</v>
      </c>
      <c r="B5357">
        <v>300477</v>
      </c>
      <c r="C5357" t="s">
        <v>8749</v>
      </c>
      <c r="D5357">
        <v>10</v>
      </c>
      <c r="E5357">
        <v>30</v>
      </c>
      <c r="F5357">
        <v>0</v>
      </c>
      <c r="G5357">
        <v>0</v>
      </c>
      <c r="H5357">
        <v>96</v>
      </c>
      <c r="I5357">
        <v>0</v>
      </c>
      <c r="J5357">
        <v>1.99</v>
      </c>
      <c r="K5357">
        <v>0</v>
      </c>
    </row>
    <row r="5358" spans="1:11" x14ac:dyDescent="0.2">
      <c r="A5358">
        <v>49115</v>
      </c>
      <c r="B5358">
        <v>300478</v>
      </c>
      <c r="C5358" t="s">
        <v>8700</v>
      </c>
      <c r="D5358">
        <v>10</v>
      </c>
      <c r="E5358">
        <v>30</v>
      </c>
      <c r="F5358">
        <v>0</v>
      </c>
      <c r="G5358">
        <v>13</v>
      </c>
      <c r="H5358">
        <v>16</v>
      </c>
      <c r="I5358">
        <v>0</v>
      </c>
      <c r="J5358">
        <v>2.4900000000000002</v>
      </c>
      <c r="K5358">
        <v>32.369999999999997</v>
      </c>
    </row>
    <row r="5359" spans="1:11" x14ac:dyDescent="0.2">
      <c r="A5359">
        <v>42835</v>
      </c>
      <c r="B5359">
        <v>300483</v>
      </c>
      <c r="C5359" t="s">
        <v>8750</v>
      </c>
      <c r="D5359">
        <v>10</v>
      </c>
      <c r="E5359">
        <v>12</v>
      </c>
      <c r="F5359">
        <v>0</v>
      </c>
      <c r="G5359">
        <v>0</v>
      </c>
      <c r="H5359">
        <v>122</v>
      </c>
      <c r="I5359">
        <v>0</v>
      </c>
      <c r="J5359">
        <v>7.99</v>
      </c>
      <c r="K5359">
        <v>0</v>
      </c>
    </row>
    <row r="5360" spans="1:11" x14ac:dyDescent="0.2">
      <c r="A5360">
        <v>40828</v>
      </c>
      <c r="B5360">
        <v>300484</v>
      </c>
      <c r="C5360" t="s">
        <v>8751</v>
      </c>
      <c r="D5360">
        <v>10</v>
      </c>
      <c r="E5360">
        <v>8</v>
      </c>
      <c r="F5360">
        <v>0</v>
      </c>
      <c r="G5360">
        <v>0</v>
      </c>
      <c r="H5360">
        <v>100</v>
      </c>
      <c r="I5360">
        <v>0</v>
      </c>
      <c r="J5360">
        <v>13.99</v>
      </c>
      <c r="K5360">
        <v>0</v>
      </c>
    </row>
    <row r="5361" spans="1:11" x14ac:dyDescent="0.2">
      <c r="A5361">
        <v>41844</v>
      </c>
      <c r="B5361">
        <v>300488</v>
      </c>
      <c r="C5361" t="s">
        <v>8752</v>
      </c>
      <c r="D5361">
        <v>10</v>
      </c>
      <c r="E5361">
        <v>4</v>
      </c>
      <c r="F5361">
        <v>0</v>
      </c>
      <c r="G5361">
        <v>0</v>
      </c>
      <c r="H5361">
        <v>84</v>
      </c>
      <c r="I5361">
        <v>0</v>
      </c>
      <c r="J5361">
        <v>14.99</v>
      </c>
      <c r="K5361">
        <v>0</v>
      </c>
    </row>
    <row r="5362" spans="1:11" x14ac:dyDescent="0.2">
      <c r="A5362">
        <v>38861</v>
      </c>
      <c r="B5362">
        <v>300493</v>
      </c>
      <c r="C5362" t="s">
        <v>8753</v>
      </c>
      <c r="D5362">
        <v>10</v>
      </c>
      <c r="E5362">
        <v>10</v>
      </c>
      <c r="F5362">
        <v>0</v>
      </c>
      <c r="G5362">
        <v>0</v>
      </c>
      <c r="H5362">
        <v>70</v>
      </c>
      <c r="I5362">
        <v>0</v>
      </c>
      <c r="J5362">
        <v>2.99</v>
      </c>
      <c r="K5362">
        <v>0</v>
      </c>
    </row>
    <row r="5363" spans="1:11" x14ac:dyDescent="0.2">
      <c r="A5363">
        <v>43832</v>
      </c>
      <c r="B5363">
        <v>300494</v>
      </c>
      <c r="C5363" t="s">
        <v>8754</v>
      </c>
      <c r="D5363">
        <v>10</v>
      </c>
      <c r="E5363">
        <v>6</v>
      </c>
      <c r="F5363">
        <v>-1</v>
      </c>
      <c r="G5363">
        <v>-6</v>
      </c>
      <c r="H5363">
        <v>240</v>
      </c>
      <c r="I5363">
        <v>0</v>
      </c>
      <c r="J5363">
        <v>16.989999999999998</v>
      </c>
      <c r="K5363">
        <v>-101.94</v>
      </c>
    </row>
    <row r="5364" spans="1:11" x14ac:dyDescent="0.2">
      <c r="A5364">
        <v>39825</v>
      </c>
      <c r="B5364">
        <v>300495</v>
      </c>
      <c r="C5364" t="s">
        <v>8755</v>
      </c>
      <c r="D5364">
        <v>10</v>
      </c>
      <c r="E5364">
        <v>6</v>
      </c>
      <c r="F5364">
        <v>2</v>
      </c>
      <c r="G5364">
        <v>12</v>
      </c>
      <c r="H5364">
        <v>100</v>
      </c>
      <c r="I5364">
        <v>0</v>
      </c>
      <c r="J5364">
        <v>13.99</v>
      </c>
      <c r="K5364">
        <v>167.88</v>
      </c>
    </row>
    <row r="5365" spans="1:11" x14ac:dyDescent="0.2">
      <c r="A5365">
        <v>45432</v>
      </c>
      <c r="B5365">
        <v>300496</v>
      </c>
      <c r="C5365" t="s">
        <v>8732</v>
      </c>
      <c r="D5365">
        <v>10</v>
      </c>
      <c r="E5365">
        <v>14</v>
      </c>
      <c r="F5365">
        <v>0</v>
      </c>
      <c r="G5365">
        <v>0</v>
      </c>
      <c r="H5365">
        <v>36</v>
      </c>
      <c r="I5365">
        <v>0</v>
      </c>
      <c r="J5365">
        <v>3.99</v>
      </c>
      <c r="K5365">
        <v>0</v>
      </c>
    </row>
    <row r="5366" spans="1:11" x14ac:dyDescent="0.2">
      <c r="A5366">
        <v>40908</v>
      </c>
      <c r="B5366">
        <v>300498</v>
      </c>
      <c r="C5366" t="s">
        <v>8002</v>
      </c>
      <c r="D5366">
        <v>10</v>
      </c>
      <c r="E5366">
        <v>44</v>
      </c>
      <c r="F5366">
        <v>0</v>
      </c>
      <c r="G5366">
        <v>0</v>
      </c>
      <c r="H5366">
        <v>35</v>
      </c>
      <c r="I5366">
        <v>0</v>
      </c>
      <c r="J5366">
        <v>1</v>
      </c>
      <c r="K5366">
        <v>0</v>
      </c>
    </row>
    <row r="5367" spans="1:11" x14ac:dyDescent="0.2">
      <c r="A5367">
        <v>37829</v>
      </c>
      <c r="B5367">
        <v>300499</v>
      </c>
      <c r="C5367" t="s">
        <v>8756</v>
      </c>
      <c r="D5367">
        <v>10</v>
      </c>
      <c r="E5367">
        <v>8</v>
      </c>
      <c r="F5367">
        <v>0</v>
      </c>
      <c r="G5367">
        <v>0</v>
      </c>
      <c r="H5367">
        <v>136</v>
      </c>
      <c r="I5367">
        <v>0</v>
      </c>
      <c r="J5367">
        <v>9.99</v>
      </c>
      <c r="K5367">
        <v>0</v>
      </c>
    </row>
    <row r="5368" spans="1:11" x14ac:dyDescent="0.2">
      <c r="A5368">
        <v>39826</v>
      </c>
      <c r="B5368">
        <v>300501</v>
      </c>
      <c r="C5368" t="s">
        <v>8757</v>
      </c>
      <c r="D5368">
        <v>10</v>
      </c>
      <c r="E5368">
        <v>12</v>
      </c>
      <c r="F5368">
        <v>0</v>
      </c>
      <c r="G5368">
        <v>1</v>
      </c>
      <c r="H5368">
        <v>40</v>
      </c>
      <c r="I5368">
        <v>0</v>
      </c>
      <c r="J5368">
        <v>9.99</v>
      </c>
      <c r="K5368">
        <v>9.99</v>
      </c>
    </row>
    <row r="5369" spans="1:11" x14ac:dyDescent="0.2">
      <c r="A5369">
        <v>41425</v>
      </c>
      <c r="B5369">
        <v>300502</v>
      </c>
      <c r="C5369" t="s">
        <v>8291</v>
      </c>
      <c r="D5369">
        <v>10</v>
      </c>
      <c r="E5369">
        <v>16</v>
      </c>
      <c r="F5369">
        <v>0</v>
      </c>
      <c r="G5369">
        <v>0</v>
      </c>
      <c r="H5369">
        <v>84</v>
      </c>
      <c r="I5369">
        <v>0</v>
      </c>
      <c r="J5369">
        <v>1</v>
      </c>
      <c r="K5369">
        <v>0</v>
      </c>
    </row>
    <row r="5370" spans="1:11" x14ac:dyDescent="0.2">
      <c r="A5370">
        <v>34829</v>
      </c>
      <c r="B5370">
        <v>300503</v>
      </c>
      <c r="C5370" t="s">
        <v>8758</v>
      </c>
      <c r="D5370">
        <v>10</v>
      </c>
      <c r="E5370">
        <v>2</v>
      </c>
      <c r="F5370">
        <v>0</v>
      </c>
      <c r="G5370">
        <v>0</v>
      </c>
      <c r="H5370">
        <v>90</v>
      </c>
      <c r="I5370">
        <v>0</v>
      </c>
      <c r="J5370">
        <v>29.99</v>
      </c>
      <c r="K5370">
        <v>0</v>
      </c>
    </row>
    <row r="5371" spans="1:11" x14ac:dyDescent="0.2">
      <c r="A5371">
        <v>41845</v>
      </c>
      <c r="B5371">
        <v>300506</v>
      </c>
      <c r="C5371" t="s">
        <v>8759</v>
      </c>
      <c r="D5371">
        <v>10</v>
      </c>
      <c r="E5371">
        <v>1</v>
      </c>
      <c r="F5371">
        <v>0</v>
      </c>
      <c r="G5371">
        <v>0</v>
      </c>
      <c r="H5371">
        <v>80</v>
      </c>
      <c r="I5371">
        <v>0</v>
      </c>
      <c r="J5371">
        <v>8.99</v>
      </c>
      <c r="K5371">
        <v>0</v>
      </c>
    </row>
    <row r="5372" spans="1:11" x14ac:dyDescent="0.2">
      <c r="A5372">
        <v>47812</v>
      </c>
      <c r="B5372">
        <v>300509</v>
      </c>
      <c r="C5372" t="s">
        <v>8007</v>
      </c>
      <c r="D5372">
        <v>10</v>
      </c>
      <c r="E5372">
        <v>16</v>
      </c>
      <c r="F5372">
        <v>2</v>
      </c>
      <c r="G5372">
        <v>32</v>
      </c>
      <c r="H5372">
        <v>40</v>
      </c>
      <c r="I5372">
        <v>0.1</v>
      </c>
      <c r="J5372">
        <v>5.99</v>
      </c>
      <c r="K5372">
        <v>191.68</v>
      </c>
    </row>
    <row r="5373" spans="1:11" x14ac:dyDescent="0.2">
      <c r="A5373">
        <v>40829</v>
      </c>
      <c r="B5373">
        <v>300510</v>
      </c>
      <c r="C5373" t="s">
        <v>8760</v>
      </c>
      <c r="D5373">
        <v>10</v>
      </c>
      <c r="E5373">
        <v>8</v>
      </c>
      <c r="F5373">
        <v>0</v>
      </c>
      <c r="G5373">
        <v>0</v>
      </c>
      <c r="H5373">
        <v>100</v>
      </c>
      <c r="I5373">
        <v>0</v>
      </c>
      <c r="J5373">
        <v>7.99</v>
      </c>
      <c r="K5373">
        <v>0</v>
      </c>
    </row>
    <row r="5374" spans="1:11" x14ac:dyDescent="0.2">
      <c r="A5374">
        <v>33838</v>
      </c>
      <c r="B5374">
        <v>300513</v>
      </c>
      <c r="C5374" t="s">
        <v>8761</v>
      </c>
      <c r="D5374">
        <v>10</v>
      </c>
      <c r="E5374">
        <v>12</v>
      </c>
      <c r="F5374">
        <v>0</v>
      </c>
      <c r="G5374">
        <v>0</v>
      </c>
      <c r="H5374">
        <v>48</v>
      </c>
      <c r="I5374">
        <v>0</v>
      </c>
      <c r="J5374">
        <v>5.99</v>
      </c>
      <c r="K5374">
        <v>0</v>
      </c>
    </row>
    <row r="5375" spans="1:11" x14ac:dyDescent="0.2">
      <c r="A5375">
        <v>41434</v>
      </c>
      <c r="B5375">
        <v>300516</v>
      </c>
      <c r="C5375" t="s">
        <v>8762</v>
      </c>
      <c r="D5375">
        <v>10</v>
      </c>
      <c r="E5375">
        <v>16</v>
      </c>
      <c r="F5375">
        <v>-1</v>
      </c>
      <c r="G5375">
        <v>-16</v>
      </c>
      <c r="H5375">
        <v>64</v>
      </c>
      <c r="I5375">
        <v>0</v>
      </c>
      <c r="J5375">
        <v>1</v>
      </c>
      <c r="K5375">
        <v>-16</v>
      </c>
    </row>
    <row r="5376" spans="1:11" x14ac:dyDescent="0.2">
      <c r="A5376">
        <v>35976</v>
      </c>
      <c r="B5376">
        <v>300522</v>
      </c>
      <c r="C5376" t="s">
        <v>8763</v>
      </c>
      <c r="D5376">
        <v>10</v>
      </c>
      <c r="E5376">
        <v>6</v>
      </c>
      <c r="F5376">
        <v>0</v>
      </c>
      <c r="G5376">
        <v>0</v>
      </c>
      <c r="H5376">
        <v>30</v>
      </c>
      <c r="I5376">
        <v>0</v>
      </c>
      <c r="J5376">
        <v>14.99</v>
      </c>
      <c r="K5376">
        <v>0</v>
      </c>
    </row>
    <row r="5377" spans="1:11" x14ac:dyDescent="0.2">
      <c r="A5377">
        <v>42836</v>
      </c>
      <c r="B5377">
        <v>300526</v>
      </c>
      <c r="C5377" t="s">
        <v>8764</v>
      </c>
      <c r="D5377">
        <v>10</v>
      </c>
      <c r="E5377">
        <v>4</v>
      </c>
      <c r="F5377">
        <v>-2</v>
      </c>
      <c r="G5377">
        <v>-8</v>
      </c>
      <c r="H5377">
        <v>152</v>
      </c>
      <c r="I5377">
        <v>0</v>
      </c>
      <c r="J5377">
        <v>13.99</v>
      </c>
      <c r="K5377">
        <v>-111.92</v>
      </c>
    </row>
    <row r="5378" spans="1:11" x14ac:dyDescent="0.2">
      <c r="A5378">
        <v>41846</v>
      </c>
      <c r="B5378">
        <v>300527</v>
      </c>
      <c r="C5378" t="s">
        <v>8765</v>
      </c>
      <c r="D5378">
        <v>6</v>
      </c>
      <c r="E5378">
        <v>6</v>
      </c>
      <c r="F5378">
        <v>0</v>
      </c>
      <c r="G5378">
        <v>0</v>
      </c>
      <c r="H5378">
        <v>16</v>
      </c>
      <c r="I5378">
        <v>0</v>
      </c>
      <c r="J5378">
        <v>9.99</v>
      </c>
      <c r="K5378">
        <v>0</v>
      </c>
    </row>
    <row r="5379" spans="1:11" x14ac:dyDescent="0.2">
      <c r="A5379">
        <v>34830</v>
      </c>
      <c r="B5379">
        <v>300531</v>
      </c>
      <c r="C5379" t="s">
        <v>8766</v>
      </c>
      <c r="D5379">
        <v>10</v>
      </c>
      <c r="E5379">
        <v>14</v>
      </c>
      <c r="F5379">
        <v>0</v>
      </c>
      <c r="G5379">
        <v>0</v>
      </c>
      <c r="H5379">
        <v>20</v>
      </c>
      <c r="I5379">
        <v>0</v>
      </c>
      <c r="J5379">
        <v>4.99</v>
      </c>
      <c r="K5379">
        <v>0</v>
      </c>
    </row>
    <row r="5380" spans="1:11" x14ac:dyDescent="0.2">
      <c r="A5380">
        <v>40432</v>
      </c>
      <c r="B5380">
        <v>300533</v>
      </c>
      <c r="C5380" t="s">
        <v>8767</v>
      </c>
      <c r="D5380">
        <v>10</v>
      </c>
      <c r="E5380">
        <v>32</v>
      </c>
      <c r="F5380">
        <v>448</v>
      </c>
      <c r="G5380">
        <v>14336</v>
      </c>
      <c r="H5380">
        <v>28</v>
      </c>
      <c r="I5380">
        <v>16</v>
      </c>
      <c r="J5380">
        <v>3.99</v>
      </c>
      <c r="K5380">
        <v>57200.639999999999</v>
      </c>
    </row>
    <row r="5381" spans="1:11" x14ac:dyDescent="0.2">
      <c r="A5381">
        <v>34831</v>
      </c>
      <c r="B5381">
        <v>300534</v>
      </c>
      <c r="C5381" t="s">
        <v>7961</v>
      </c>
      <c r="D5381">
        <v>10</v>
      </c>
      <c r="E5381">
        <v>10</v>
      </c>
      <c r="F5381">
        <v>0</v>
      </c>
      <c r="G5381">
        <v>0</v>
      </c>
      <c r="H5381">
        <v>35</v>
      </c>
      <c r="I5381">
        <v>0</v>
      </c>
      <c r="J5381">
        <v>11.99</v>
      </c>
      <c r="K5381">
        <v>0</v>
      </c>
    </row>
    <row r="5382" spans="1:11" x14ac:dyDescent="0.2">
      <c r="A5382">
        <v>38862</v>
      </c>
      <c r="B5382">
        <v>300535</v>
      </c>
      <c r="C5382" t="s">
        <v>8768</v>
      </c>
      <c r="D5382">
        <v>10</v>
      </c>
      <c r="E5382">
        <v>14</v>
      </c>
      <c r="F5382">
        <v>0</v>
      </c>
      <c r="G5382">
        <v>0</v>
      </c>
      <c r="H5382">
        <v>32</v>
      </c>
      <c r="I5382">
        <v>0</v>
      </c>
      <c r="J5382">
        <v>4.99</v>
      </c>
      <c r="K5382">
        <v>0</v>
      </c>
    </row>
    <row r="5383" spans="1:11" x14ac:dyDescent="0.2">
      <c r="A5383">
        <v>41847</v>
      </c>
      <c r="B5383">
        <v>300536</v>
      </c>
      <c r="C5383" t="s">
        <v>8769</v>
      </c>
      <c r="D5383">
        <v>10</v>
      </c>
      <c r="E5383">
        <v>2</v>
      </c>
      <c r="F5383">
        <v>0</v>
      </c>
      <c r="G5383">
        <v>0</v>
      </c>
      <c r="H5383">
        <v>100</v>
      </c>
      <c r="I5383">
        <v>0</v>
      </c>
      <c r="J5383">
        <v>24.99</v>
      </c>
      <c r="K5383">
        <v>0</v>
      </c>
    </row>
    <row r="5384" spans="1:11" x14ac:dyDescent="0.2">
      <c r="A5384">
        <v>43943</v>
      </c>
      <c r="B5384">
        <v>300540</v>
      </c>
      <c r="C5384" t="s">
        <v>8770</v>
      </c>
      <c r="D5384">
        <v>10</v>
      </c>
      <c r="E5384">
        <v>24</v>
      </c>
      <c r="F5384">
        <v>0</v>
      </c>
      <c r="G5384">
        <v>0</v>
      </c>
      <c r="H5384">
        <v>168</v>
      </c>
      <c r="I5384">
        <v>0</v>
      </c>
      <c r="J5384">
        <v>1</v>
      </c>
      <c r="K5384">
        <v>0</v>
      </c>
    </row>
    <row r="5385" spans="1:11" x14ac:dyDescent="0.2">
      <c r="A5385">
        <v>43833</v>
      </c>
      <c r="B5385">
        <v>300542</v>
      </c>
      <c r="C5385" t="s">
        <v>8771</v>
      </c>
      <c r="D5385">
        <v>10</v>
      </c>
      <c r="E5385">
        <v>12</v>
      </c>
      <c r="F5385">
        <v>1</v>
      </c>
      <c r="G5385">
        <v>12</v>
      </c>
      <c r="H5385">
        <v>21</v>
      </c>
      <c r="I5385">
        <v>0</v>
      </c>
      <c r="J5385">
        <v>14.99</v>
      </c>
      <c r="K5385">
        <v>179.88</v>
      </c>
    </row>
    <row r="5386" spans="1:11" x14ac:dyDescent="0.2">
      <c r="A5386">
        <v>40830</v>
      </c>
      <c r="B5386">
        <v>300544</v>
      </c>
      <c r="C5386" t="s">
        <v>7634</v>
      </c>
      <c r="D5386">
        <v>10</v>
      </c>
      <c r="E5386">
        <v>2</v>
      </c>
      <c r="F5386">
        <v>0</v>
      </c>
      <c r="G5386">
        <v>0</v>
      </c>
      <c r="H5386">
        <v>14</v>
      </c>
      <c r="I5386">
        <v>0</v>
      </c>
      <c r="J5386">
        <v>64.989999999999995</v>
      </c>
      <c r="K5386">
        <v>0</v>
      </c>
    </row>
    <row r="5387" spans="1:11" x14ac:dyDescent="0.2">
      <c r="A5387">
        <v>50808</v>
      </c>
      <c r="B5387">
        <v>300553</v>
      </c>
      <c r="C5387" t="s">
        <v>7631</v>
      </c>
      <c r="D5387">
        <v>10</v>
      </c>
      <c r="E5387">
        <v>1</v>
      </c>
      <c r="F5387">
        <v>0</v>
      </c>
      <c r="G5387">
        <v>0</v>
      </c>
      <c r="H5387">
        <v>60</v>
      </c>
      <c r="I5387">
        <v>0</v>
      </c>
      <c r="J5387">
        <v>89.99</v>
      </c>
      <c r="K5387">
        <v>0</v>
      </c>
    </row>
    <row r="5388" spans="1:11" x14ac:dyDescent="0.2">
      <c r="A5388">
        <v>41426</v>
      </c>
      <c r="B5388">
        <v>300571</v>
      </c>
      <c r="C5388" t="s">
        <v>7965</v>
      </c>
      <c r="D5388">
        <v>10</v>
      </c>
      <c r="E5388">
        <v>16</v>
      </c>
      <c r="F5388">
        <v>0</v>
      </c>
      <c r="G5388">
        <v>0</v>
      </c>
      <c r="H5388">
        <v>99</v>
      </c>
      <c r="I5388">
        <v>0</v>
      </c>
      <c r="J5388">
        <v>1</v>
      </c>
      <c r="K5388">
        <v>0</v>
      </c>
    </row>
    <row r="5389" spans="1:11" x14ac:dyDescent="0.2">
      <c r="A5389">
        <v>41848</v>
      </c>
      <c r="B5389">
        <v>300573</v>
      </c>
      <c r="C5389" t="s">
        <v>8772</v>
      </c>
      <c r="D5389">
        <v>10</v>
      </c>
      <c r="E5389">
        <v>12</v>
      </c>
      <c r="F5389">
        <v>0</v>
      </c>
      <c r="G5389">
        <v>0</v>
      </c>
      <c r="H5389">
        <v>72</v>
      </c>
      <c r="I5389">
        <v>0</v>
      </c>
      <c r="J5389">
        <v>5.99</v>
      </c>
      <c r="K5389">
        <v>0</v>
      </c>
    </row>
    <row r="5390" spans="1:11" x14ac:dyDescent="0.2">
      <c r="A5390">
        <v>41435</v>
      </c>
      <c r="B5390">
        <v>300587</v>
      </c>
      <c r="C5390" t="s">
        <v>8773</v>
      </c>
      <c r="D5390">
        <v>10</v>
      </c>
      <c r="E5390">
        <v>16</v>
      </c>
      <c r="F5390">
        <v>1</v>
      </c>
      <c r="G5390">
        <v>16</v>
      </c>
      <c r="H5390">
        <v>40</v>
      </c>
      <c r="I5390">
        <v>0</v>
      </c>
      <c r="J5390">
        <v>1</v>
      </c>
      <c r="K5390">
        <v>16</v>
      </c>
    </row>
    <row r="5391" spans="1:11" x14ac:dyDescent="0.2">
      <c r="A5391">
        <v>33840</v>
      </c>
      <c r="B5391">
        <v>300601</v>
      </c>
      <c r="C5391" t="s">
        <v>8774</v>
      </c>
      <c r="D5391">
        <v>10</v>
      </c>
      <c r="E5391">
        <v>6</v>
      </c>
      <c r="F5391">
        <v>0</v>
      </c>
      <c r="G5391">
        <v>0</v>
      </c>
      <c r="H5391">
        <v>35</v>
      </c>
      <c r="I5391">
        <v>0</v>
      </c>
      <c r="J5391">
        <v>11.99</v>
      </c>
      <c r="K5391">
        <v>0</v>
      </c>
    </row>
    <row r="5392" spans="1:11" x14ac:dyDescent="0.2">
      <c r="A5392">
        <v>40952</v>
      </c>
      <c r="B5392">
        <v>300622</v>
      </c>
      <c r="C5392" t="s">
        <v>8775</v>
      </c>
      <c r="D5392">
        <v>10</v>
      </c>
      <c r="E5392">
        <v>40</v>
      </c>
      <c r="F5392">
        <v>0</v>
      </c>
      <c r="G5392">
        <v>0</v>
      </c>
      <c r="H5392">
        <v>30</v>
      </c>
      <c r="I5392">
        <v>0</v>
      </c>
      <c r="J5392">
        <v>1.99</v>
      </c>
      <c r="K5392">
        <v>0</v>
      </c>
    </row>
    <row r="5393" spans="1:11" x14ac:dyDescent="0.2">
      <c r="A5393">
        <v>40953</v>
      </c>
      <c r="B5393">
        <v>300681</v>
      </c>
      <c r="C5393" t="s">
        <v>8776</v>
      </c>
      <c r="D5393">
        <v>10</v>
      </c>
      <c r="E5393">
        <v>14</v>
      </c>
      <c r="F5393">
        <v>0</v>
      </c>
      <c r="G5393">
        <v>0</v>
      </c>
      <c r="H5393">
        <v>70</v>
      </c>
      <c r="I5393">
        <v>0</v>
      </c>
      <c r="J5393">
        <v>1</v>
      </c>
      <c r="K5393">
        <v>0</v>
      </c>
    </row>
    <row r="5394" spans="1:11" x14ac:dyDescent="0.2">
      <c r="A5394">
        <v>40954</v>
      </c>
      <c r="B5394">
        <v>300682</v>
      </c>
      <c r="C5394" t="s">
        <v>8777</v>
      </c>
      <c r="D5394">
        <v>10</v>
      </c>
      <c r="E5394">
        <v>14</v>
      </c>
      <c r="F5394">
        <v>0</v>
      </c>
      <c r="G5394">
        <v>0</v>
      </c>
      <c r="H5394">
        <v>80</v>
      </c>
      <c r="I5394">
        <v>0</v>
      </c>
      <c r="J5394">
        <v>1</v>
      </c>
      <c r="K5394">
        <v>0</v>
      </c>
    </row>
    <row r="5395" spans="1:11" x14ac:dyDescent="0.2">
      <c r="A5395">
        <v>41427</v>
      </c>
      <c r="B5395">
        <v>300683</v>
      </c>
      <c r="C5395" t="s">
        <v>8778</v>
      </c>
      <c r="D5395">
        <v>10</v>
      </c>
      <c r="E5395">
        <v>14</v>
      </c>
      <c r="F5395">
        <v>0</v>
      </c>
      <c r="G5395">
        <v>0</v>
      </c>
      <c r="H5395">
        <v>176</v>
      </c>
      <c r="I5395">
        <v>0</v>
      </c>
      <c r="J5395">
        <v>1</v>
      </c>
      <c r="K5395">
        <v>0</v>
      </c>
    </row>
    <row r="5396" spans="1:11" x14ac:dyDescent="0.2">
      <c r="A5396">
        <v>47929</v>
      </c>
      <c r="B5396">
        <v>300697</v>
      </c>
      <c r="C5396" t="s">
        <v>8225</v>
      </c>
      <c r="D5396">
        <v>10</v>
      </c>
      <c r="E5396">
        <v>14</v>
      </c>
      <c r="F5396">
        <v>0</v>
      </c>
      <c r="G5396">
        <v>0</v>
      </c>
      <c r="H5396">
        <v>120</v>
      </c>
      <c r="I5396">
        <v>0</v>
      </c>
      <c r="J5396">
        <v>1</v>
      </c>
      <c r="K5396">
        <v>0</v>
      </c>
    </row>
    <row r="5397" spans="1:11" x14ac:dyDescent="0.2">
      <c r="A5397">
        <v>47930</v>
      </c>
      <c r="B5397">
        <v>300698</v>
      </c>
      <c r="C5397" t="s">
        <v>8224</v>
      </c>
      <c r="D5397">
        <v>10</v>
      </c>
      <c r="E5397">
        <v>14</v>
      </c>
      <c r="F5397">
        <v>0</v>
      </c>
      <c r="G5397">
        <v>0</v>
      </c>
      <c r="H5397">
        <v>96</v>
      </c>
      <c r="I5397">
        <v>0</v>
      </c>
      <c r="J5397">
        <v>1</v>
      </c>
      <c r="K5397">
        <v>0</v>
      </c>
    </row>
    <row r="5398" spans="1:11" x14ac:dyDescent="0.2">
      <c r="A5398">
        <v>47931</v>
      </c>
      <c r="B5398">
        <v>300701</v>
      </c>
      <c r="C5398" t="s">
        <v>8226</v>
      </c>
      <c r="D5398">
        <v>10</v>
      </c>
      <c r="E5398">
        <v>16</v>
      </c>
      <c r="F5398">
        <v>0</v>
      </c>
      <c r="G5398">
        <v>0</v>
      </c>
      <c r="H5398">
        <v>104</v>
      </c>
      <c r="I5398">
        <v>0</v>
      </c>
      <c r="J5398">
        <v>1</v>
      </c>
      <c r="K5398">
        <v>0</v>
      </c>
    </row>
    <row r="5399" spans="1:11" x14ac:dyDescent="0.2">
      <c r="A5399">
        <v>36816</v>
      </c>
      <c r="B5399">
        <v>300713</v>
      </c>
      <c r="C5399" t="s">
        <v>8779</v>
      </c>
      <c r="D5399">
        <v>10</v>
      </c>
      <c r="E5399">
        <v>14</v>
      </c>
      <c r="F5399">
        <v>0</v>
      </c>
      <c r="G5399">
        <v>0</v>
      </c>
      <c r="H5399">
        <v>24</v>
      </c>
      <c r="I5399">
        <v>0</v>
      </c>
      <c r="J5399">
        <v>14.99</v>
      </c>
      <c r="K5399">
        <v>0</v>
      </c>
    </row>
    <row r="5400" spans="1:11" x14ac:dyDescent="0.2">
      <c r="A5400">
        <v>36817</v>
      </c>
      <c r="B5400">
        <v>300715</v>
      </c>
      <c r="C5400" t="s">
        <v>8780</v>
      </c>
      <c r="D5400">
        <v>10</v>
      </c>
      <c r="E5400">
        <v>12</v>
      </c>
      <c r="F5400">
        <v>0</v>
      </c>
      <c r="G5400">
        <v>0</v>
      </c>
      <c r="H5400">
        <v>50</v>
      </c>
      <c r="I5400">
        <v>0</v>
      </c>
      <c r="J5400">
        <v>9.99</v>
      </c>
      <c r="K5400">
        <v>0</v>
      </c>
    </row>
    <row r="5401" spans="1:11" x14ac:dyDescent="0.2">
      <c r="A5401">
        <v>43949</v>
      </c>
      <c r="B5401">
        <v>300717</v>
      </c>
      <c r="C5401" t="s">
        <v>8781</v>
      </c>
      <c r="D5401">
        <v>10</v>
      </c>
      <c r="E5401">
        <v>14</v>
      </c>
      <c r="F5401">
        <v>0</v>
      </c>
      <c r="G5401">
        <v>0</v>
      </c>
      <c r="H5401">
        <v>48</v>
      </c>
      <c r="I5401">
        <v>0</v>
      </c>
      <c r="J5401">
        <v>1</v>
      </c>
      <c r="K5401">
        <v>0</v>
      </c>
    </row>
    <row r="5402" spans="1:11" x14ac:dyDescent="0.2">
      <c r="A5402">
        <v>43950</v>
      </c>
      <c r="B5402">
        <v>300718</v>
      </c>
      <c r="C5402" t="s">
        <v>7820</v>
      </c>
      <c r="D5402">
        <v>10</v>
      </c>
      <c r="E5402">
        <v>16</v>
      </c>
      <c r="F5402">
        <v>0</v>
      </c>
      <c r="G5402">
        <v>0</v>
      </c>
      <c r="H5402">
        <v>48</v>
      </c>
      <c r="I5402">
        <v>0</v>
      </c>
      <c r="J5402">
        <v>1</v>
      </c>
      <c r="K5402">
        <v>0</v>
      </c>
    </row>
    <row r="5403" spans="1:11" x14ac:dyDescent="0.2">
      <c r="A5403">
        <v>39406</v>
      </c>
      <c r="B5403">
        <v>300737</v>
      </c>
      <c r="C5403" t="s">
        <v>7828</v>
      </c>
      <c r="D5403">
        <v>10</v>
      </c>
      <c r="E5403">
        <v>14</v>
      </c>
      <c r="F5403">
        <v>0</v>
      </c>
      <c r="G5403">
        <v>0</v>
      </c>
      <c r="H5403">
        <v>40</v>
      </c>
      <c r="I5403">
        <v>0</v>
      </c>
      <c r="J5403">
        <v>1</v>
      </c>
      <c r="K5403">
        <v>0</v>
      </c>
    </row>
    <row r="5404" spans="1:11" x14ac:dyDescent="0.2">
      <c r="A5404">
        <v>40955</v>
      </c>
      <c r="B5404">
        <v>300738</v>
      </c>
      <c r="C5404" t="s">
        <v>8782</v>
      </c>
      <c r="D5404">
        <v>10</v>
      </c>
      <c r="E5404">
        <v>16</v>
      </c>
      <c r="F5404">
        <v>0</v>
      </c>
      <c r="G5404">
        <v>0</v>
      </c>
      <c r="H5404">
        <v>42</v>
      </c>
      <c r="I5404">
        <v>0</v>
      </c>
      <c r="J5404">
        <v>1</v>
      </c>
      <c r="K5404">
        <v>0</v>
      </c>
    </row>
    <row r="5405" spans="1:11" x14ac:dyDescent="0.2">
      <c r="A5405">
        <v>40956</v>
      </c>
      <c r="B5405">
        <v>300739</v>
      </c>
      <c r="C5405" t="s">
        <v>8265</v>
      </c>
      <c r="D5405">
        <v>10</v>
      </c>
      <c r="E5405">
        <v>14</v>
      </c>
      <c r="F5405">
        <v>0</v>
      </c>
      <c r="G5405">
        <v>0</v>
      </c>
      <c r="H5405">
        <v>119</v>
      </c>
      <c r="I5405">
        <v>0</v>
      </c>
      <c r="J5405">
        <v>1</v>
      </c>
      <c r="K5405">
        <v>0</v>
      </c>
    </row>
    <row r="5406" spans="1:11" x14ac:dyDescent="0.2">
      <c r="A5406">
        <v>40957</v>
      </c>
      <c r="B5406">
        <v>300741</v>
      </c>
      <c r="C5406" t="s">
        <v>8783</v>
      </c>
      <c r="D5406">
        <v>10</v>
      </c>
      <c r="E5406">
        <v>16</v>
      </c>
      <c r="F5406">
        <v>0</v>
      </c>
      <c r="G5406">
        <v>0</v>
      </c>
      <c r="H5406">
        <v>84</v>
      </c>
      <c r="I5406">
        <v>0</v>
      </c>
      <c r="J5406">
        <v>1</v>
      </c>
      <c r="K5406">
        <v>0</v>
      </c>
    </row>
    <row r="5407" spans="1:11" x14ac:dyDescent="0.2">
      <c r="A5407">
        <v>40958</v>
      </c>
      <c r="B5407">
        <v>300742</v>
      </c>
      <c r="C5407" t="s">
        <v>8784</v>
      </c>
      <c r="D5407">
        <v>10</v>
      </c>
      <c r="E5407">
        <v>16</v>
      </c>
      <c r="F5407">
        <v>0</v>
      </c>
      <c r="G5407">
        <v>0</v>
      </c>
      <c r="H5407">
        <v>60</v>
      </c>
      <c r="I5407">
        <v>0</v>
      </c>
      <c r="J5407">
        <v>1</v>
      </c>
      <c r="K5407">
        <v>0</v>
      </c>
    </row>
    <row r="5408" spans="1:11" x14ac:dyDescent="0.2">
      <c r="A5408">
        <v>40959</v>
      </c>
      <c r="B5408">
        <v>300744</v>
      </c>
      <c r="C5408" t="s">
        <v>8785</v>
      </c>
      <c r="D5408">
        <v>10</v>
      </c>
      <c r="E5408">
        <v>14</v>
      </c>
      <c r="F5408">
        <v>0</v>
      </c>
      <c r="G5408">
        <v>0</v>
      </c>
      <c r="H5408">
        <v>40</v>
      </c>
      <c r="I5408">
        <v>0</v>
      </c>
      <c r="J5408">
        <v>1</v>
      </c>
      <c r="K5408">
        <v>0</v>
      </c>
    </row>
    <row r="5409" spans="1:12" x14ac:dyDescent="0.2">
      <c r="A5409">
        <v>40960</v>
      </c>
      <c r="B5409">
        <v>300745</v>
      </c>
      <c r="C5409" t="s">
        <v>8293</v>
      </c>
      <c r="D5409">
        <v>10</v>
      </c>
      <c r="E5409">
        <v>16</v>
      </c>
      <c r="F5409">
        <v>0</v>
      </c>
      <c r="G5409">
        <v>0</v>
      </c>
      <c r="H5409">
        <v>72</v>
      </c>
      <c r="I5409">
        <v>0</v>
      </c>
      <c r="J5409">
        <v>1</v>
      </c>
      <c r="K5409">
        <v>0</v>
      </c>
    </row>
    <row r="5410" spans="1:12" x14ac:dyDescent="0.2">
      <c r="A5410">
        <v>40961</v>
      </c>
      <c r="B5410">
        <v>300746</v>
      </c>
      <c r="C5410" t="s">
        <v>8264</v>
      </c>
      <c r="D5410">
        <v>10</v>
      </c>
      <c r="E5410">
        <v>14</v>
      </c>
      <c r="F5410">
        <v>0</v>
      </c>
      <c r="G5410">
        <v>0</v>
      </c>
      <c r="H5410">
        <v>90</v>
      </c>
      <c r="I5410">
        <v>0</v>
      </c>
      <c r="J5410">
        <v>1</v>
      </c>
      <c r="K5410">
        <v>0</v>
      </c>
    </row>
    <row r="5411" spans="1:12" x14ac:dyDescent="0.2">
      <c r="A5411">
        <v>40962</v>
      </c>
      <c r="B5411">
        <v>300747</v>
      </c>
      <c r="C5411" t="s">
        <v>8156</v>
      </c>
      <c r="D5411">
        <v>10</v>
      </c>
      <c r="E5411">
        <v>14</v>
      </c>
      <c r="F5411">
        <v>0</v>
      </c>
      <c r="G5411">
        <v>0</v>
      </c>
      <c r="H5411">
        <v>90</v>
      </c>
      <c r="I5411">
        <v>0</v>
      </c>
      <c r="J5411">
        <v>1</v>
      </c>
      <c r="K5411">
        <v>0</v>
      </c>
    </row>
    <row r="5412" spans="1:12" x14ac:dyDescent="0.2">
      <c r="A5412">
        <v>40963</v>
      </c>
      <c r="B5412">
        <v>300749</v>
      </c>
      <c r="C5412" t="s">
        <v>8786</v>
      </c>
      <c r="D5412">
        <v>10</v>
      </c>
      <c r="E5412">
        <v>14</v>
      </c>
      <c r="F5412">
        <v>0</v>
      </c>
      <c r="G5412">
        <v>0</v>
      </c>
      <c r="H5412">
        <v>90</v>
      </c>
      <c r="I5412">
        <v>0</v>
      </c>
      <c r="J5412">
        <v>1</v>
      </c>
      <c r="K5412">
        <v>0</v>
      </c>
    </row>
    <row r="5413" spans="1:12" x14ac:dyDescent="0.2">
      <c r="A5413">
        <v>43951</v>
      </c>
      <c r="B5413">
        <v>300760</v>
      </c>
      <c r="C5413" t="s">
        <v>8787</v>
      </c>
      <c r="D5413">
        <v>10</v>
      </c>
      <c r="E5413">
        <v>14</v>
      </c>
      <c r="F5413">
        <v>0</v>
      </c>
      <c r="G5413">
        <v>0</v>
      </c>
      <c r="H5413">
        <v>88</v>
      </c>
      <c r="I5413">
        <v>0</v>
      </c>
      <c r="J5413">
        <v>1</v>
      </c>
      <c r="K5413">
        <v>0</v>
      </c>
    </row>
    <row r="5414" spans="1:12" x14ac:dyDescent="0.2">
      <c r="A5414">
        <v>43952</v>
      </c>
      <c r="B5414">
        <v>300762</v>
      </c>
      <c r="C5414" t="s">
        <v>8242</v>
      </c>
      <c r="D5414">
        <v>10</v>
      </c>
      <c r="E5414">
        <v>14</v>
      </c>
      <c r="F5414">
        <v>0</v>
      </c>
      <c r="G5414">
        <v>0</v>
      </c>
      <c r="H5414">
        <v>45</v>
      </c>
      <c r="I5414">
        <v>0</v>
      </c>
      <c r="J5414">
        <v>1</v>
      </c>
      <c r="K5414">
        <v>0</v>
      </c>
    </row>
    <row r="5415" spans="1:12" x14ac:dyDescent="0.2">
      <c r="A5415">
        <v>43953</v>
      </c>
      <c r="B5415">
        <v>300763</v>
      </c>
      <c r="C5415" t="s">
        <v>8788</v>
      </c>
      <c r="D5415">
        <v>10</v>
      </c>
      <c r="E5415">
        <v>14</v>
      </c>
      <c r="F5415">
        <v>0</v>
      </c>
      <c r="G5415">
        <v>0</v>
      </c>
      <c r="H5415">
        <v>104</v>
      </c>
      <c r="I5415">
        <v>0</v>
      </c>
      <c r="J5415">
        <v>1</v>
      </c>
      <c r="K5415">
        <v>0</v>
      </c>
    </row>
    <row r="5416" spans="1:12" x14ac:dyDescent="0.2">
      <c r="A5416">
        <v>43954</v>
      </c>
      <c r="B5416">
        <v>300764</v>
      </c>
      <c r="C5416" t="s">
        <v>8789</v>
      </c>
      <c r="D5416">
        <v>10</v>
      </c>
      <c r="E5416">
        <v>14</v>
      </c>
      <c r="F5416">
        <v>0</v>
      </c>
      <c r="G5416">
        <v>0</v>
      </c>
      <c r="H5416">
        <v>108</v>
      </c>
      <c r="I5416">
        <v>0</v>
      </c>
      <c r="J5416">
        <v>1</v>
      </c>
      <c r="K5416">
        <v>0</v>
      </c>
    </row>
    <row r="5417" spans="1:12" x14ac:dyDescent="0.2">
      <c r="A5417">
        <v>43955</v>
      </c>
      <c r="B5417">
        <v>300765</v>
      </c>
      <c r="C5417" t="s">
        <v>7807</v>
      </c>
      <c r="D5417">
        <v>10</v>
      </c>
      <c r="E5417">
        <v>16</v>
      </c>
      <c r="F5417">
        <v>0</v>
      </c>
      <c r="G5417">
        <v>0</v>
      </c>
      <c r="H5417">
        <v>56</v>
      </c>
      <c r="I5417">
        <v>0</v>
      </c>
      <c r="J5417">
        <v>1</v>
      </c>
      <c r="K5417">
        <v>0</v>
      </c>
    </row>
    <row r="5418" spans="1:12" x14ac:dyDescent="0.2">
      <c r="A5418">
        <v>43956</v>
      </c>
      <c r="B5418">
        <v>300767</v>
      </c>
      <c r="C5418" t="s">
        <v>6479</v>
      </c>
      <c r="D5418">
        <v>10</v>
      </c>
      <c r="E5418">
        <v>14</v>
      </c>
      <c r="F5418">
        <v>0</v>
      </c>
      <c r="G5418">
        <v>0</v>
      </c>
      <c r="H5418">
        <v>60</v>
      </c>
      <c r="I5418">
        <v>0</v>
      </c>
      <c r="J5418">
        <v>1</v>
      </c>
      <c r="K5418">
        <v>0</v>
      </c>
    </row>
    <row r="5419" spans="1:12" x14ac:dyDescent="0.2">
      <c r="A5419">
        <v>43957</v>
      </c>
      <c r="B5419">
        <v>300770</v>
      </c>
      <c r="C5419" t="s">
        <v>8790</v>
      </c>
      <c r="D5419">
        <v>10</v>
      </c>
      <c r="E5419">
        <v>12</v>
      </c>
      <c r="F5419">
        <v>0</v>
      </c>
      <c r="G5419">
        <v>0</v>
      </c>
      <c r="H5419">
        <v>120</v>
      </c>
      <c r="I5419">
        <v>0</v>
      </c>
      <c r="J5419">
        <v>1</v>
      </c>
      <c r="K5419">
        <v>0</v>
      </c>
    </row>
    <row r="5420" spans="1:12" x14ac:dyDescent="0.2">
      <c r="A5420">
        <v>43958</v>
      </c>
      <c r="B5420">
        <v>300772</v>
      </c>
      <c r="C5420" t="s">
        <v>8264</v>
      </c>
      <c r="D5420">
        <v>10</v>
      </c>
      <c r="E5420">
        <v>16</v>
      </c>
      <c r="F5420">
        <v>0</v>
      </c>
      <c r="G5420">
        <v>0</v>
      </c>
      <c r="H5420">
        <v>162</v>
      </c>
      <c r="I5420">
        <v>0</v>
      </c>
      <c r="J5420">
        <v>1</v>
      </c>
      <c r="K5420">
        <v>0</v>
      </c>
    </row>
    <row r="5421" spans="1:12" x14ac:dyDescent="0.2">
      <c r="A5421">
        <v>47932</v>
      </c>
      <c r="B5421">
        <v>300787</v>
      </c>
      <c r="C5421" t="s">
        <v>8791</v>
      </c>
      <c r="D5421">
        <v>10</v>
      </c>
      <c r="E5421">
        <v>18</v>
      </c>
      <c r="F5421">
        <v>0</v>
      </c>
      <c r="G5421">
        <v>0</v>
      </c>
      <c r="H5421">
        <v>30</v>
      </c>
      <c r="I5421">
        <v>0</v>
      </c>
      <c r="J5421">
        <v>1</v>
      </c>
      <c r="K5421">
        <v>0</v>
      </c>
    </row>
    <row r="5422" spans="1:12" x14ac:dyDescent="0.2">
      <c r="A5422">
        <v>47933</v>
      </c>
      <c r="B5422">
        <v>300788</v>
      </c>
      <c r="C5422" t="s">
        <v>8792</v>
      </c>
      <c r="D5422">
        <v>10</v>
      </c>
      <c r="E5422">
        <v>18</v>
      </c>
      <c r="F5422">
        <v>0</v>
      </c>
      <c r="G5422">
        <v>0</v>
      </c>
      <c r="H5422">
        <v>40</v>
      </c>
      <c r="I5422">
        <v>0</v>
      </c>
      <c r="J5422">
        <v>1</v>
      </c>
      <c r="K5422">
        <v>0</v>
      </c>
    </row>
    <row r="5423" spans="1:12" x14ac:dyDescent="0.2">
      <c r="A5423">
        <v>35977</v>
      </c>
      <c r="B5423">
        <v>300789</v>
      </c>
      <c r="C5423" t="s">
        <v>8780</v>
      </c>
      <c r="D5423">
        <v>11</v>
      </c>
      <c r="E5423">
        <v>18</v>
      </c>
      <c r="F5423">
        <v>0</v>
      </c>
      <c r="G5423">
        <v>0</v>
      </c>
      <c r="H5423">
        <v>45</v>
      </c>
      <c r="I5423">
        <v>0</v>
      </c>
      <c r="J5423">
        <v>9.99</v>
      </c>
      <c r="K5423">
        <v>0</v>
      </c>
      <c r="L5423" t="s">
        <v>3699</v>
      </c>
    </row>
    <row r="5424" spans="1:12" x14ac:dyDescent="0.2">
      <c r="A5424">
        <v>47934</v>
      </c>
      <c r="B5424">
        <v>300790</v>
      </c>
      <c r="C5424" t="s">
        <v>7829</v>
      </c>
      <c r="D5424">
        <v>10</v>
      </c>
      <c r="E5424">
        <v>16</v>
      </c>
      <c r="F5424">
        <v>0</v>
      </c>
      <c r="G5424">
        <v>0</v>
      </c>
      <c r="H5424">
        <v>77</v>
      </c>
      <c r="I5424">
        <v>0</v>
      </c>
      <c r="J5424">
        <v>1</v>
      </c>
      <c r="K5424">
        <v>0</v>
      </c>
    </row>
    <row r="5425" spans="1:11" x14ac:dyDescent="0.2">
      <c r="A5425">
        <v>47935</v>
      </c>
      <c r="B5425">
        <v>300792</v>
      </c>
      <c r="C5425" t="s">
        <v>8793</v>
      </c>
      <c r="D5425">
        <v>10</v>
      </c>
      <c r="E5425">
        <v>18</v>
      </c>
      <c r="F5425">
        <v>0</v>
      </c>
      <c r="G5425">
        <v>0</v>
      </c>
      <c r="H5425">
        <v>48</v>
      </c>
      <c r="I5425">
        <v>0</v>
      </c>
      <c r="J5425">
        <v>1</v>
      </c>
      <c r="K5425">
        <v>0</v>
      </c>
    </row>
    <row r="5426" spans="1:11" x14ac:dyDescent="0.2">
      <c r="A5426">
        <v>36818</v>
      </c>
      <c r="B5426">
        <v>300793</v>
      </c>
      <c r="C5426" t="s">
        <v>8289</v>
      </c>
      <c r="D5426">
        <v>10</v>
      </c>
      <c r="E5426">
        <v>20</v>
      </c>
      <c r="F5426">
        <v>0</v>
      </c>
      <c r="G5426">
        <v>0</v>
      </c>
      <c r="H5426">
        <v>40</v>
      </c>
      <c r="I5426">
        <v>0</v>
      </c>
      <c r="J5426">
        <v>11.99</v>
      </c>
      <c r="K5426">
        <v>0</v>
      </c>
    </row>
    <row r="5427" spans="1:11" x14ac:dyDescent="0.2">
      <c r="A5427">
        <v>40964</v>
      </c>
      <c r="B5427">
        <v>300798</v>
      </c>
      <c r="C5427" t="s">
        <v>8275</v>
      </c>
      <c r="D5427">
        <v>10</v>
      </c>
      <c r="E5427">
        <v>18</v>
      </c>
      <c r="F5427">
        <v>0</v>
      </c>
      <c r="G5427">
        <v>0</v>
      </c>
      <c r="H5427">
        <v>60</v>
      </c>
      <c r="I5427">
        <v>0</v>
      </c>
      <c r="J5427">
        <v>1</v>
      </c>
      <c r="K5427">
        <v>0</v>
      </c>
    </row>
    <row r="5428" spans="1:11" x14ac:dyDescent="0.2">
      <c r="A5428">
        <v>40965</v>
      </c>
      <c r="B5428">
        <v>300800</v>
      </c>
      <c r="C5428" t="s">
        <v>8291</v>
      </c>
      <c r="D5428">
        <v>10</v>
      </c>
      <c r="E5428">
        <v>16</v>
      </c>
      <c r="F5428">
        <v>0</v>
      </c>
      <c r="G5428">
        <v>0</v>
      </c>
      <c r="H5428">
        <v>80</v>
      </c>
      <c r="I5428">
        <v>0</v>
      </c>
      <c r="J5428">
        <v>1</v>
      </c>
      <c r="K5428">
        <v>0</v>
      </c>
    </row>
    <row r="5429" spans="1:11" x14ac:dyDescent="0.2">
      <c r="A5429">
        <v>40966</v>
      </c>
      <c r="B5429">
        <v>300815</v>
      </c>
      <c r="C5429" t="s">
        <v>7965</v>
      </c>
      <c r="D5429">
        <v>10</v>
      </c>
      <c r="E5429">
        <v>16</v>
      </c>
      <c r="F5429">
        <v>0</v>
      </c>
      <c r="G5429">
        <v>0</v>
      </c>
      <c r="H5429">
        <v>108</v>
      </c>
      <c r="I5429">
        <v>0</v>
      </c>
      <c r="J5429">
        <v>1</v>
      </c>
      <c r="K5429">
        <v>0</v>
      </c>
    </row>
    <row r="5430" spans="1:11" x14ac:dyDescent="0.2">
      <c r="A5430">
        <v>40967</v>
      </c>
      <c r="B5430">
        <v>300816</v>
      </c>
      <c r="C5430" t="s">
        <v>8773</v>
      </c>
      <c r="D5430">
        <v>10</v>
      </c>
      <c r="E5430">
        <v>16</v>
      </c>
      <c r="F5430">
        <v>0</v>
      </c>
      <c r="G5430">
        <v>0</v>
      </c>
      <c r="H5430">
        <v>32</v>
      </c>
      <c r="I5430">
        <v>0</v>
      </c>
      <c r="J5430">
        <v>1</v>
      </c>
      <c r="K5430">
        <v>0</v>
      </c>
    </row>
    <row r="5431" spans="1:11" x14ac:dyDescent="0.2">
      <c r="A5431">
        <v>40968</v>
      </c>
      <c r="B5431">
        <v>300818</v>
      </c>
      <c r="C5431" t="s">
        <v>8086</v>
      </c>
      <c r="D5431">
        <v>10</v>
      </c>
      <c r="E5431">
        <v>14</v>
      </c>
      <c r="F5431">
        <v>0</v>
      </c>
      <c r="G5431">
        <v>0</v>
      </c>
      <c r="H5431">
        <v>168</v>
      </c>
      <c r="I5431">
        <v>0</v>
      </c>
      <c r="J5431">
        <v>1</v>
      </c>
      <c r="K5431">
        <v>0</v>
      </c>
    </row>
    <row r="5432" spans="1:11" x14ac:dyDescent="0.2">
      <c r="A5432">
        <v>40969</v>
      </c>
      <c r="B5432">
        <v>300826</v>
      </c>
      <c r="C5432" t="s">
        <v>8794</v>
      </c>
      <c r="D5432">
        <v>10</v>
      </c>
      <c r="E5432">
        <v>16</v>
      </c>
      <c r="F5432">
        <v>0</v>
      </c>
      <c r="G5432">
        <v>0</v>
      </c>
      <c r="H5432">
        <v>28</v>
      </c>
      <c r="I5432">
        <v>0</v>
      </c>
      <c r="J5432">
        <v>1</v>
      </c>
      <c r="K5432">
        <v>0</v>
      </c>
    </row>
    <row r="5433" spans="1:11" x14ac:dyDescent="0.2">
      <c r="A5433">
        <v>40970</v>
      </c>
      <c r="B5433">
        <v>300827</v>
      </c>
      <c r="C5433" t="s">
        <v>8795</v>
      </c>
      <c r="D5433">
        <v>10</v>
      </c>
      <c r="E5433">
        <v>14</v>
      </c>
      <c r="F5433">
        <v>0</v>
      </c>
      <c r="G5433">
        <v>0</v>
      </c>
      <c r="H5433">
        <v>134</v>
      </c>
      <c r="I5433">
        <v>0</v>
      </c>
      <c r="J5433">
        <v>1</v>
      </c>
      <c r="K5433">
        <v>0</v>
      </c>
    </row>
    <row r="5434" spans="1:11" x14ac:dyDescent="0.2">
      <c r="A5434">
        <v>40971</v>
      </c>
      <c r="B5434">
        <v>300829</v>
      </c>
      <c r="C5434" t="s">
        <v>8291</v>
      </c>
      <c r="D5434">
        <v>10</v>
      </c>
      <c r="E5434">
        <v>16</v>
      </c>
      <c r="F5434">
        <v>0</v>
      </c>
      <c r="G5434">
        <v>0</v>
      </c>
      <c r="H5434">
        <v>96</v>
      </c>
      <c r="I5434">
        <v>0</v>
      </c>
      <c r="J5434">
        <v>1</v>
      </c>
      <c r="K5434">
        <v>0</v>
      </c>
    </row>
    <row r="5435" spans="1:11" x14ac:dyDescent="0.2">
      <c r="A5435">
        <v>47409</v>
      </c>
      <c r="B5435">
        <v>300831</v>
      </c>
      <c r="C5435" t="s">
        <v>6287</v>
      </c>
      <c r="D5435">
        <v>10</v>
      </c>
      <c r="E5435">
        <v>14</v>
      </c>
      <c r="F5435">
        <v>1</v>
      </c>
      <c r="G5435">
        <v>14</v>
      </c>
      <c r="H5435">
        <v>42</v>
      </c>
      <c r="I5435">
        <v>0</v>
      </c>
      <c r="J5435">
        <v>7.99</v>
      </c>
      <c r="K5435">
        <v>111.86</v>
      </c>
    </row>
    <row r="5436" spans="1:11" x14ac:dyDescent="0.2">
      <c r="A5436">
        <v>39827</v>
      </c>
      <c r="B5436">
        <v>300854</v>
      </c>
      <c r="C5436" t="s">
        <v>8289</v>
      </c>
      <c r="D5436">
        <v>10</v>
      </c>
      <c r="E5436">
        <v>14</v>
      </c>
      <c r="F5436">
        <v>0</v>
      </c>
      <c r="G5436">
        <v>0</v>
      </c>
      <c r="H5436">
        <v>56</v>
      </c>
      <c r="I5436">
        <v>0</v>
      </c>
      <c r="J5436">
        <v>11.99</v>
      </c>
      <c r="K5436">
        <v>0</v>
      </c>
    </row>
    <row r="5437" spans="1:11" x14ac:dyDescent="0.2">
      <c r="A5437">
        <v>47936</v>
      </c>
      <c r="B5437">
        <v>300855</v>
      </c>
      <c r="C5437" t="s">
        <v>7823</v>
      </c>
      <c r="D5437">
        <v>10</v>
      </c>
      <c r="E5437">
        <v>14</v>
      </c>
      <c r="F5437">
        <v>0</v>
      </c>
      <c r="G5437">
        <v>0</v>
      </c>
      <c r="H5437">
        <v>45</v>
      </c>
      <c r="I5437">
        <v>0</v>
      </c>
      <c r="J5437">
        <v>1</v>
      </c>
      <c r="K5437">
        <v>0</v>
      </c>
    </row>
    <row r="5438" spans="1:11" x14ac:dyDescent="0.2">
      <c r="A5438">
        <v>47937</v>
      </c>
      <c r="B5438">
        <v>300856</v>
      </c>
      <c r="C5438" t="s">
        <v>8796</v>
      </c>
      <c r="D5438">
        <v>10</v>
      </c>
      <c r="E5438">
        <v>16</v>
      </c>
      <c r="F5438">
        <v>0</v>
      </c>
      <c r="G5438">
        <v>0</v>
      </c>
      <c r="H5438">
        <v>80</v>
      </c>
      <c r="I5438">
        <v>0</v>
      </c>
      <c r="J5438">
        <v>1</v>
      </c>
      <c r="K5438">
        <v>0</v>
      </c>
    </row>
    <row r="5439" spans="1:11" x14ac:dyDescent="0.2">
      <c r="A5439">
        <v>36436</v>
      </c>
      <c r="B5439">
        <v>300858</v>
      </c>
      <c r="C5439" t="s">
        <v>6479</v>
      </c>
      <c r="D5439">
        <v>10</v>
      </c>
      <c r="E5439">
        <v>14</v>
      </c>
      <c r="F5439">
        <v>0</v>
      </c>
      <c r="G5439">
        <v>0</v>
      </c>
      <c r="H5439">
        <v>100</v>
      </c>
      <c r="I5439">
        <v>0</v>
      </c>
      <c r="J5439">
        <v>1</v>
      </c>
      <c r="K5439">
        <v>0</v>
      </c>
    </row>
    <row r="5440" spans="1:11" x14ac:dyDescent="0.2">
      <c r="A5440">
        <v>36437</v>
      </c>
      <c r="B5440">
        <v>300859</v>
      </c>
      <c r="C5440" t="s">
        <v>8797</v>
      </c>
      <c r="D5440">
        <v>10</v>
      </c>
      <c r="E5440">
        <v>14</v>
      </c>
      <c r="F5440">
        <v>0</v>
      </c>
      <c r="G5440">
        <v>2</v>
      </c>
      <c r="H5440">
        <v>25</v>
      </c>
      <c r="I5440">
        <v>0</v>
      </c>
      <c r="J5440">
        <v>1</v>
      </c>
      <c r="K5440">
        <v>2</v>
      </c>
    </row>
    <row r="5441" spans="1:11" x14ac:dyDescent="0.2">
      <c r="A5441">
        <v>48031</v>
      </c>
      <c r="B5441">
        <v>300863</v>
      </c>
      <c r="C5441" t="s">
        <v>8798</v>
      </c>
      <c r="D5441">
        <v>10</v>
      </c>
      <c r="E5441">
        <v>14</v>
      </c>
      <c r="F5441">
        <v>0</v>
      </c>
      <c r="G5441">
        <v>0</v>
      </c>
      <c r="H5441">
        <v>30</v>
      </c>
      <c r="I5441">
        <v>0</v>
      </c>
      <c r="J5441">
        <v>3.99</v>
      </c>
      <c r="K5441">
        <v>0</v>
      </c>
    </row>
    <row r="5442" spans="1:11" x14ac:dyDescent="0.2">
      <c r="A5442">
        <v>36438</v>
      </c>
      <c r="B5442">
        <v>300866</v>
      </c>
      <c r="C5442" t="s">
        <v>8799</v>
      </c>
      <c r="D5442">
        <v>10</v>
      </c>
      <c r="E5442">
        <v>16</v>
      </c>
      <c r="F5442">
        <v>0</v>
      </c>
      <c r="G5442">
        <v>0</v>
      </c>
      <c r="H5442">
        <v>50</v>
      </c>
      <c r="I5442">
        <v>0</v>
      </c>
      <c r="J5442">
        <v>1</v>
      </c>
      <c r="K5442">
        <v>0</v>
      </c>
    </row>
    <row r="5443" spans="1:11" x14ac:dyDescent="0.2">
      <c r="A5443">
        <v>39407</v>
      </c>
      <c r="B5443">
        <v>300890</v>
      </c>
      <c r="C5443" t="s">
        <v>8800</v>
      </c>
      <c r="D5443">
        <v>10</v>
      </c>
      <c r="E5443">
        <v>14</v>
      </c>
      <c r="F5443">
        <v>2</v>
      </c>
      <c r="G5443">
        <v>28</v>
      </c>
      <c r="H5443">
        <v>45</v>
      </c>
      <c r="I5443">
        <v>0</v>
      </c>
      <c r="J5443">
        <v>1</v>
      </c>
      <c r="K5443">
        <v>28</v>
      </c>
    </row>
    <row r="5444" spans="1:11" x14ac:dyDescent="0.2">
      <c r="A5444">
        <v>42837</v>
      </c>
      <c r="B5444">
        <v>300891</v>
      </c>
      <c r="C5444" t="s">
        <v>8289</v>
      </c>
      <c r="D5444">
        <v>10</v>
      </c>
      <c r="E5444">
        <v>14</v>
      </c>
      <c r="F5444">
        <v>0</v>
      </c>
      <c r="G5444">
        <v>0</v>
      </c>
      <c r="H5444">
        <v>56</v>
      </c>
      <c r="I5444">
        <v>0</v>
      </c>
      <c r="J5444">
        <v>11.99</v>
      </c>
      <c r="K5444">
        <v>0</v>
      </c>
    </row>
    <row r="5445" spans="1:11" x14ac:dyDescent="0.2">
      <c r="A5445">
        <v>39408</v>
      </c>
      <c r="B5445">
        <v>300895</v>
      </c>
      <c r="C5445" t="s">
        <v>8801</v>
      </c>
      <c r="D5445">
        <v>10</v>
      </c>
      <c r="E5445">
        <v>10</v>
      </c>
      <c r="F5445">
        <v>1</v>
      </c>
      <c r="G5445">
        <v>10</v>
      </c>
      <c r="H5445">
        <v>50</v>
      </c>
      <c r="I5445">
        <v>0</v>
      </c>
      <c r="J5445">
        <v>1</v>
      </c>
      <c r="K5445">
        <v>10</v>
      </c>
    </row>
    <row r="5446" spans="1:11" x14ac:dyDescent="0.2">
      <c r="A5446">
        <v>39409</v>
      </c>
      <c r="B5446">
        <v>300897</v>
      </c>
      <c r="C5446" t="s">
        <v>8802</v>
      </c>
      <c r="D5446">
        <v>10</v>
      </c>
      <c r="E5446">
        <v>14</v>
      </c>
      <c r="F5446">
        <v>0</v>
      </c>
      <c r="G5446">
        <v>0</v>
      </c>
      <c r="H5446">
        <v>8</v>
      </c>
      <c r="I5446">
        <v>0</v>
      </c>
      <c r="J5446">
        <v>6.99</v>
      </c>
      <c r="K5446">
        <v>0</v>
      </c>
    </row>
    <row r="5447" spans="1:11" x14ac:dyDescent="0.2">
      <c r="A5447">
        <v>52101</v>
      </c>
      <c r="B5447">
        <v>300898</v>
      </c>
      <c r="C5447" t="s">
        <v>8803</v>
      </c>
      <c r="D5447">
        <v>10</v>
      </c>
      <c r="E5447">
        <v>14</v>
      </c>
      <c r="F5447">
        <v>255</v>
      </c>
      <c r="G5447">
        <v>3570</v>
      </c>
      <c r="H5447">
        <v>30</v>
      </c>
      <c r="I5447">
        <v>8.5</v>
      </c>
      <c r="J5447">
        <v>11.99</v>
      </c>
      <c r="K5447">
        <v>42804.3</v>
      </c>
    </row>
    <row r="5448" spans="1:11" x14ac:dyDescent="0.2">
      <c r="A5448">
        <v>40400</v>
      </c>
      <c r="B5448">
        <v>300900</v>
      </c>
      <c r="C5448" t="s">
        <v>8804</v>
      </c>
      <c r="D5448">
        <v>10</v>
      </c>
      <c r="E5448">
        <v>18</v>
      </c>
      <c r="F5448">
        <v>0</v>
      </c>
      <c r="G5448">
        <v>0</v>
      </c>
      <c r="H5448">
        <v>16</v>
      </c>
      <c r="I5448">
        <v>0</v>
      </c>
      <c r="J5448">
        <v>12.99</v>
      </c>
      <c r="K5448">
        <v>0</v>
      </c>
    </row>
    <row r="5449" spans="1:11" x14ac:dyDescent="0.2">
      <c r="A5449">
        <v>43959</v>
      </c>
      <c r="B5449">
        <v>300927</v>
      </c>
      <c r="C5449" t="s">
        <v>8275</v>
      </c>
      <c r="D5449">
        <v>10</v>
      </c>
      <c r="E5449">
        <v>18</v>
      </c>
      <c r="F5449">
        <v>0</v>
      </c>
      <c r="G5449">
        <v>0</v>
      </c>
      <c r="H5449">
        <v>60</v>
      </c>
      <c r="I5449">
        <v>0</v>
      </c>
      <c r="J5449">
        <v>1</v>
      </c>
      <c r="K5449">
        <v>0</v>
      </c>
    </row>
    <row r="5450" spans="1:11" x14ac:dyDescent="0.2">
      <c r="A5450">
        <v>43960</v>
      </c>
      <c r="B5450">
        <v>300929</v>
      </c>
      <c r="C5450" t="s">
        <v>8291</v>
      </c>
      <c r="D5450">
        <v>10</v>
      </c>
      <c r="E5450">
        <v>16</v>
      </c>
      <c r="F5450">
        <v>0</v>
      </c>
      <c r="G5450">
        <v>0</v>
      </c>
      <c r="H5450">
        <v>84</v>
      </c>
      <c r="I5450">
        <v>0</v>
      </c>
      <c r="J5450">
        <v>1</v>
      </c>
      <c r="K5450">
        <v>0</v>
      </c>
    </row>
    <row r="5451" spans="1:11" x14ac:dyDescent="0.2">
      <c r="A5451">
        <v>43961</v>
      </c>
      <c r="B5451">
        <v>300930</v>
      </c>
      <c r="C5451" t="s">
        <v>8805</v>
      </c>
      <c r="D5451">
        <v>10</v>
      </c>
      <c r="E5451">
        <v>16</v>
      </c>
      <c r="F5451">
        <v>0</v>
      </c>
      <c r="G5451">
        <v>0</v>
      </c>
      <c r="H5451">
        <v>50</v>
      </c>
      <c r="I5451">
        <v>0</v>
      </c>
      <c r="J5451">
        <v>1</v>
      </c>
      <c r="K5451">
        <v>0</v>
      </c>
    </row>
    <row r="5452" spans="1:11" x14ac:dyDescent="0.2">
      <c r="A5452">
        <v>43962</v>
      </c>
      <c r="B5452">
        <v>300936</v>
      </c>
      <c r="C5452" t="s">
        <v>8306</v>
      </c>
      <c r="D5452">
        <v>10</v>
      </c>
      <c r="E5452">
        <v>24</v>
      </c>
      <c r="F5452">
        <v>0</v>
      </c>
      <c r="G5452">
        <v>0</v>
      </c>
      <c r="H5452">
        <v>21</v>
      </c>
      <c r="I5452">
        <v>0</v>
      </c>
      <c r="J5452">
        <v>1</v>
      </c>
      <c r="K5452">
        <v>0</v>
      </c>
    </row>
    <row r="5453" spans="1:11" x14ac:dyDescent="0.2">
      <c r="A5453">
        <v>43963</v>
      </c>
      <c r="B5453">
        <v>300939</v>
      </c>
      <c r="C5453" t="s">
        <v>8806</v>
      </c>
      <c r="D5453">
        <v>10</v>
      </c>
      <c r="E5453">
        <v>14</v>
      </c>
      <c r="F5453">
        <v>0</v>
      </c>
      <c r="G5453">
        <v>0</v>
      </c>
      <c r="H5453">
        <v>132</v>
      </c>
      <c r="I5453">
        <v>0</v>
      </c>
      <c r="J5453">
        <v>1</v>
      </c>
      <c r="K5453">
        <v>0</v>
      </c>
    </row>
    <row r="5454" spans="1:11" x14ac:dyDescent="0.2">
      <c r="A5454">
        <v>43964</v>
      </c>
      <c r="B5454">
        <v>300945</v>
      </c>
      <c r="C5454" t="s">
        <v>8807</v>
      </c>
      <c r="D5454">
        <v>10</v>
      </c>
      <c r="E5454">
        <v>14</v>
      </c>
      <c r="F5454">
        <v>0</v>
      </c>
      <c r="G5454">
        <v>0</v>
      </c>
      <c r="H5454">
        <v>110</v>
      </c>
      <c r="I5454">
        <v>0</v>
      </c>
      <c r="J5454">
        <v>1</v>
      </c>
      <c r="K5454">
        <v>0</v>
      </c>
    </row>
    <row r="5455" spans="1:11" x14ac:dyDescent="0.2">
      <c r="A5455">
        <v>47938</v>
      </c>
      <c r="B5455">
        <v>300979</v>
      </c>
      <c r="C5455" t="s">
        <v>8808</v>
      </c>
      <c r="D5455">
        <v>10</v>
      </c>
      <c r="E5455">
        <v>18</v>
      </c>
      <c r="F5455">
        <v>0</v>
      </c>
      <c r="G5455">
        <v>0</v>
      </c>
      <c r="H5455">
        <v>48</v>
      </c>
      <c r="I5455">
        <v>0</v>
      </c>
      <c r="J5455">
        <v>1</v>
      </c>
      <c r="K5455">
        <v>0</v>
      </c>
    </row>
    <row r="5456" spans="1:11" x14ac:dyDescent="0.2">
      <c r="A5456">
        <v>47939</v>
      </c>
      <c r="B5456">
        <v>300980</v>
      </c>
      <c r="C5456" t="s">
        <v>8809</v>
      </c>
      <c r="D5456">
        <v>10</v>
      </c>
      <c r="E5456">
        <v>20</v>
      </c>
      <c r="F5456">
        <v>0</v>
      </c>
      <c r="G5456">
        <v>0</v>
      </c>
      <c r="H5456">
        <v>100</v>
      </c>
      <c r="I5456">
        <v>0</v>
      </c>
      <c r="J5456">
        <v>1</v>
      </c>
      <c r="K5456">
        <v>0</v>
      </c>
    </row>
    <row r="5457" spans="1:11" x14ac:dyDescent="0.2">
      <c r="A5457">
        <v>47940</v>
      </c>
      <c r="B5457">
        <v>300981</v>
      </c>
      <c r="C5457" t="s">
        <v>7864</v>
      </c>
      <c r="D5457">
        <v>10</v>
      </c>
      <c r="E5457">
        <v>16</v>
      </c>
      <c r="F5457">
        <v>0</v>
      </c>
      <c r="G5457">
        <v>0</v>
      </c>
      <c r="H5457">
        <v>100</v>
      </c>
      <c r="I5457">
        <v>0</v>
      </c>
      <c r="J5457">
        <v>1</v>
      </c>
      <c r="K5457">
        <v>0</v>
      </c>
    </row>
    <row r="5458" spans="1:11" x14ac:dyDescent="0.2">
      <c r="A5458">
        <v>40972</v>
      </c>
      <c r="B5458">
        <v>301002</v>
      </c>
      <c r="C5458" t="s">
        <v>8810</v>
      </c>
      <c r="D5458">
        <v>10</v>
      </c>
      <c r="E5458">
        <v>16</v>
      </c>
      <c r="F5458">
        <v>0</v>
      </c>
      <c r="G5458">
        <v>0</v>
      </c>
      <c r="H5458">
        <v>48</v>
      </c>
      <c r="I5458">
        <v>0</v>
      </c>
      <c r="J5458">
        <v>1</v>
      </c>
      <c r="K5458">
        <v>0</v>
      </c>
    </row>
    <row r="5459" spans="1:11" x14ac:dyDescent="0.2">
      <c r="A5459">
        <v>40973</v>
      </c>
      <c r="B5459">
        <v>301003</v>
      </c>
      <c r="C5459" t="s">
        <v>8811</v>
      </c>
      <c r="D5459">
        <v>10</v>
      </c>
      <c r="E5459">
        <v>16</v>
      </c>
      <c r="F5459">
        <v>0</v>
      </c>
      <c r="G5459">
        <v>0</v>
      </c>
      <c r="H5459">
        <v>48</v>
      </c>
      <c r="I5459">
        <v>0</v>
      </c>
      <c r="J5459">
        <v>1</v>
      </c>
      <c r="K5459">
        <v>0</v>
      </c>
    </row>
    <row r="5460" spans="1:11" x14ac:dyDescent="0.2">
      <c r="A5460">
        <v>40974</v>
      </c>
      <c r="B5460">
        <v>301004</v>
      </c>
      <c r="C5460" t="s">
        <v>8812</v>
      </c>
      <c r="D5460">
        <v>10</v>
      </c>
      <c r="E5460">
        <v>14</v>
      </c>
      <c r="F5460">
        <v>0</v>
      </c>
      <c r="G5460">
        <v>0</v>
      </c>
      <c r="H5460">
        <v>48</v>
      </c>
      <c r="I5460">
        <v>0</v>
      </c>
      <c r="J5460">
        <v>1</v>
      </c>
      <c r="K5460">
        <v>0</v>
      </c>
    </row>
    <row r="5461" spans="1:11" x14ac:dyDescent="0.2">
      <c r="A5461">
        <v>40975</v>
      </c>
      <c r="B5461">
        <v>301007</v>
      </c>
      <c r="C5461" t="s">
        <v>8269</v>
      </c>
      <c r="D5461">
        <v>10</v>
      </c>
      <c r="E5461">
        <v>16</v>
      </c>
      <c r="F5461">
        <v>0</v>
      </c>
      <c r="G5461">
        <v>0</v>
      </c>
      <c r="H5461">
        <v>36</v>
      </c>
      <c r="I5461">
        <v>0</v>
      </c>
      <c r="J5461">
        <v>1</v>
      </c>
      <c r="K5461">
        <v>0</v>
      </c>
    </row>
    <row r="5462" spans="1:11" x14ac:dyDescent="0.2">
      <c r="A5462">
        <v>40976</v>
      </c>
      <c r="B5462">
        <v>301008</v>
      </c>
      <c r="C5462" t="s">
        <v>8007</v>
      </c>
      <c r="D5462">
        <v>10</v>
      </c>
      <c r="E5462">
        <v>14</v>
      </c>
      <c r="F5462">
        <v>0</v>
      </c>
      <c r="G5462">
        <v>0</v>
      </c>
      <c r="H5462">
        <v>45</v>
      </c>
      <c r="I5462">
        <v>0</v>
      </c>
      <c r="J5462">
        <v>1</v>
      </c>
      <c r="K5462">
        <v>0</v>
      </c>
    </row>
    <row r="5463" spans="1:11" x14ac:dyDescent="0.2">
      <c r="A5463">
        <v>40977</v>
      </c>
      <c r="B5463">
        <v>301009</v>
      </c>
      <c r="C5463" t="s">
        <v>8275</v>
      </c>
      <c r="D5463">
        <v>10</v>
      </c>
      <c r="E5463">
        <v>14</v>
      </c>
      <c r="F5463">
        <v>0</v>
      </c>
      <c r="G5463">
        <v>0</v>
      </c>
      <c r="H5463">
        <v>66</v>
      </c>
      <c r="I5463">
        <v>0</v>
      </c>
      <c r="J5463">
        <v>1</v>
      </c>
      <c r="K5463">
        <v>0</v>
      </c>
    </row>
    <row r="5464" spans="1:11" x14ac:dyDescent="0.2">
      <c r="A5464">
        <v>40978</v>
      </c>
      <c r="B5464">
        <v>301010</v>
      </c>
      <c r="C5464" t="s">
        <v>8813</v>
      </c>
      <c r="D5464">
        <v>10</v>
      </c>
      <c r="E5464">
        <v>14</v>
      </c>
      <c r="F5464">
        <v>0</v>
      </c>
      <c r="G5464">
        <v>0</v>
      </c>
      <c r="H5464">
        <v>42</v>
      </c>
      <c r="I5464">
        <v>0</v>
      </c>
      <c r="J5464">
        <v>1</v>
      </c>
      <c r="K5464">
        <v>0</v>
      </c>
    </row>
    <row r="5465" spans="1:11" x14ac:dyDescent="0.2">
      <c r="A5465">
        <v>40979</v>
      </c>
      <c r="B5465">
        <v>301011</v>
      </c>
      <c r="C5465" t="s">
        <v>7419</v>
      </c>
      <c r="D5465">
        <v>10</v>
      </c>
      <c r="E5465">
        <v>14</v>
      </c>
      <c r="F5465">
        <v>0</v>
      </c>
      <c r="G5465">
        <v>0</v>
      </c>
      <c r="H5465">
        <v>63</v>
      </c>
      <c r="I5465">
        <v>0</v>
      </c>
      <c r="J5465">
        <v>1</v>
      </c>
      <c r="K5465">
        <v>0</v>
      </c>
    </row>
    <row r="5466" spans="1:11" x14ac:dyDescent="0.2">
      <c r="A5466">
        <v>49116</v>
      </c>
      <c r="B5466">
        <v>301012</v>
      </c>
      <c r="C5466" t="s">
        <v>7999</v>
      </c>
      <c r="D5466">
        <v>10</v>
      </c>
      <c r="E5466">
        <v>10</v>
      </c>
      <c r="F5466">
        <v>1</v>
      </c>
      <c r="G5466">
        <v>10</v>
      </c>
      <c r="H5466">
        <v>60</v>
      </c>
      <c r="I5466">
        <v>0</v>
      </c>
      <c r="J5466">
        <v>12.99</v>
      </c>
      <c r="K5466">
        <v>129.9</v>
      </c>
    </row>
    <row r="5467" spans="1:11" x14ac:dyDescent="0.2">
      <c r="A5467">
        <v>40980</v>
      </c>
      <c r="B5467">
        <v>301013</v>
      </c>
      <c r="C5467" t="s">
        <v>8317</v>
      </c>
      <c r="D5467">
        <v>10</v>
      </c>
      <c r="E5467">
        <v>12</v>
      </c>
      <c r="F5467">
        <v>0</v>
      </c>
      <c r="G5467">
        <v>0</v>
      </c>
      <c r="H5467">
        <v>42</v>
      </c>
      <c r="I5467">
        <v>0</v>
      </c>
      <c r="J5467">
        <v>1</v>
      </c>
      <c r="K5467">
        <v>0</v>
      </c>
    </row>
    <row r="5468" spans="1:11" x14ac:dyDescent="0.2">
      <c r="A5468">
        <v>31832</v>
      </c>
      <c r="B5468">
        <v>301014</v>
      </c>
      <c r="C5468" t="s">
        <v>8814</v>
      </c>
      <c r="D5468">
        <v>10</v>
      </c>
      <c r="E5468">
        <v>10</v>
      </c>
      <c r="F5468">
        <v>0</v>
      </c>
      <c r="G5468">
        <v>0</v>
      </c>
      <c r="H5468">
        <v>80</v>
      </c>
      <c r="I5468">
        <v>0</v>
      </c>
      <c r="J5468">
        <v>9.99</v>
      </c>
      <c r="K5468">
        <v>0</v>
      </c>
    </row>
    <row r="5469" spans="1:11" x14ac:dyDescent="0.2">
      <c r="A5469">
        <v>2259</v>
      </c>
      <c r="B5469">
        <v>301016</v>
      </c>
      <c r="C5469" t="s">
        <v>8815</v>
      </c>
      <c r="D5469">
        <v>10</v>
      </c>
      <c r="E5469">
        <v>10</v>
      </c>
      <c r="F5469">
        <v>64</v>
      </c>
      <c r="G5469">
        <v>640</v>
      </c>
      <c r="H5469">
        <v>168</v>
      </c>
      <c r="I5469">
        <v>0.4</v>
      </c>
      <c r="J5469">
        <v>7.49</v>
      </c>
      <c r="K5469">
        <v>4793.6000000000004</v>
      </c>
    </row>
    <row r="5470" spans="1:11" x14ac:dyDescent="0.2">
      <c r="A5470">
        <v>36819</v>
      </c>
      <c r="B5470">
        <v>301030</v>
      </c>
      <c r="C5470" t="s">
        <v>8816</v>
      </c>
      <c r="D5470">
        <v>10</v>
      </c>
      <c r="E5470">
        <v>12</v>
      </c>
      <c r="F5470">
        <v>0</v>
      </c>
      <c r="G5470">
        <v>0</v>
      </c>
      <c r="H5470">
        <v>240</v>
      </c>
      <c r="I5470">
        <v>0</v>
      </c>
      <c r="J5470">
        <v>6.99</v>
      </c>
      <c r="K5470">
        <v>0</v>
      </c>
    </row>
    <row r="5471" spans="1:11" x14ac:dyDescent="0.2">
      <c r="A5471">
        <v>43965</v>
      </c>
      <c r="B5471">
        <v>301031</v>
      </c>
      <c r="C5471" t="s">
        <v>8491</v>
      </c>
      <c r="D5471">
        <v>10</v>
      </c>
      <c r="E5471">
        <v>14</v>
      </c>
      <c r="F5471">
        <v>0</v>
      </c>
      <c r="G5471">
        <v>0</v>
      </c>
      <c r="H5471">
        <v>20</v>
      </c>
      <c r="I5471">
        <v>0</v>
      </c>
      <c r="J5471">
        <v>1</v>
      </c>
      <c r="K5471">
        <v>0</v>
      </c>
    </row>
    <row r="5472" spans="1:11" x14ac:dyDescent="0.2">
      <c r="A5472">
        <v>43966</v>
      </c>
      <c r="B5472">
        <v>301032</v>
      </c>
      <c r="C5472" t="s">
        <v>8008</v>
      </c>
      <c r="D5472">
        <v>10</v>
      </c>
      <c r="E5472">
        <v>16</v>
      </c>
      <c r="F5472">
        <v>0</v>
      </c>
      <c r="G5472">
        <v>0</v>
      </c>
      <c r="H5472">
        <v>48</v>
      </c>
      <c r="I5472">
        <v>0</v>
      </c>
      <c r="J5472">
        <v>1</v>
      </c>
      <c r="K5472">
        <v>0</v>
      </c>
    </row>
    <row r="5473" spans="1:11" x14ac:dyDescent="0.2">
      <c r="A5473">
        <v>43967</v>
      </c>
      <c r="B5473">
        <v>301034</v>
      </c>
      <c r="C5473" t="s">
        <v>8275</v>
      </c>
      <c r="D5473">
        <v>10</v>
      </c>
      <c r="E5473">
        <v>14</v>
      </c>
      <c r="F5473">
        <v>0</v>
      </c>
      <c r="G5473">
        <v>0</v>
      </c>
      <c r="H5473">
        <v>66</v>
      </c>
      <c r="I5473">
        <v>0</v>
      </c>
      <c r="J5473">
        <v>1</v>
      </c>
      <c r="K5473">
        <v>0</v>
      </c>
    </row>
    <row r="5474" spans="1:11" x14ac:dyDescent="0.2">
      <c r="A5474">
        <v>43968</v>
      </c>
      <c r="B5474">
        <v>301035</v>
      </c>
      <c r="C5474" t="s">
        <v>8475</v>
      </c>
      <c r="D5474">
        <v>10</v>
      </c>
      <c r="E5474">
        <v>14</v>
      </c>
      <c r="F5474">
        <v>0</v>
      </c>
      <c r="G5474">
        <v>0</v>
      </c>
      <c r="H5474">
        <v>40</v>
      </c>
      <c r="I5474">
        <v>0</v>
      </c>
      <c r="J5474">
        <v>1</v>
      </c>
      <c r="K5474">
        <v>0</v>
      </c>
    </row>
    <row r="5475" spans="1:11" x14ac:dyDescent="0.2">
      <c r="A5475">
        <v>47941</v>
      </c>
      <c r="B5475">
        <v>301036</v>
      </c>
      <c r="C5475" t="s">
        <v>8633</v>
      </c>
      <c r="D5475">
        <v>10</v>
      </c>
      <c r="E5475">
        <v>14</v>
      </c>
      <c r="F5475">
        <v>0</v>
      </c>
      <c r="G5475">
        <v>0</v>
      </c>
      <c r="H5475">
        <v>77</v>
      </c>
      <c r="I5475">
        <v>0</v>
      </c>
      <c r="J5475">
        <v>1</v>
      </c>
      <c r="K5475">
        <v>0</v>
      </c>
    </row>
    <row r="5476" spans="1:11" x14ac:dyDescent="0.2">
      <c r="A5476">
        <v>47942</v>
      </c>
      <c r="B5476">
        <v>301038</v>
      </c>
      <c r="C5476" t="s">
        <v>8632</v>
      </c>
      <c r="D5476">
        <v>10</v>
      </c>
      <c r="E5476">
        <v>14</v>
      </c>
      <c r="F5476">
        <v>0</v>
      </c>
      <c r="G5476">
        <v>0</v>
      </c>
      <c r="H5476">
        <v>60</v>
      </c>
      <c r="I5476">
        <v>0</v>
      </c>
      <c r="J5476">
        <v>1</v>
      </c>
      <c r="K5476">
        <v>0</v>
      </c>
    </row>
    <row r="5477" spans="1:11" x14ac:dyDescent="0.2">
      <c r="A5477">
        <v>47943</v>
      </c>
      <c r="B5477">
        <v>301039</v>
      </c>
      <c r="C5477" t="s">
        <v>8270</v>
      </c>
      <c r="D5477">
        <v>10</v>
      </c>
      <c r="E5477">
        <v>14</v>
      </c>
      <c r="F5477">
        <v>0</v>
      </c>
      <c r="G5477">
        <v>0</v>
      </c>
      <c r="H5477">
        <v>70</v>
      </c>
      <c r="I5477">
        <v>0</v>
      </c>
      <c r="J5477">
        <v>1</v>
      </c>
      <c r="K5477">
        <v>0</v>
      </c>
    </row>
    <row r="5478" spans="1:11" x14ac:dyDescent="0.2">
      <c r="A5478">
        <v>47944</v>
      </c>
      <c r="B5478">
        <v>301042</v>
      </c>
      <c r="C5478" t="s">
        <v>6287</v>
      </c>
      <c r="D5478">
        <v>10</v>
      </c>
      <c r="E5478">
        <v>12</v>
      </c>
      <c r="F5478">
        <v>0</v>
      </c>
      <c r="G5478">
        <v>0</v>
      </c>
      <c r="H5478">
        <v>45</v>
      </c>
      <c r="I5478">
        <v>0</v>
      </c>
      <c r="J5478">
        <v>1</v>
      </c>
      <c r="K5478">
        <v>0</v>
      </c>
    </row>
    <row r="5479" spans="1:11" x14ac:dyDescent="0.2">
      <c r="A5479">
        <v>43969</v>
      </c>
      <c r="B5479">
        <v>301045</v>
      </c>
      <c r="C5479" t="s">
        <v>7705</v>
      </c>
      <c r="D5479">
        <v>6</v>
      </c>
      <c r="E5479">
        <v>14</v>
      </c>
      <c r="F5479">
        <v>0</v>
      </c>
      <c r="G5479">
        <v>0</v>
      </c>
      <c r="H5479">
        <v>36</v>
      </c>
      <c r="I5479">
        <v>0</v>
      </c>
      <c r="J5479">
        <v>1</v>
      </c>
      <c r="K5479">
        <v>0</v>
      </c>
    </row>
    <row r="5480" spans="1:11" x14ac:dyDescent="0.2">
      <c r="A5480">
        <v>43970</v>
      </c>
      <c r="B5480">
        <v>301046</v>
      </c>
      <c r="C5480" t="s">
        <v>8008</v>
      </c>
      <c r="D5480">
        <v>6</v>
      </c>
      <c r="E5480">
        <v>16</v>
      </c>
      <c r="F5480">
        <v>0</v>
      </c>
      <c r="G5480">
        <v>0</v>
      </c>
      <c r="H5480">
        <v>40</v>
      </c>
      <c r="I5480">
        <v>0</v>
      </c>
      <c r="J5480">
        <v>1</v>
      </c>
      <c r="K5480">
        <v>0</v>
      </c>
    </row>
    <row r="5481" spans="1:11" x14ac:dyDescent="0.2">
      <c r="A5481">
        <v>43971</v>
      </c>
      <c r="B5481">
        <v>301047</v>
      </c>
      <c r="C5481" t="s">
        <v>8817</v>
      </c>
      <c r="D5481">
        <v>6</v>
      </c>
      <c r="E5481">
        <v>14</v>
      </c>
      <c r="F5481">
        <v>0</v>
      </c>
      <c r="G5481">
        <v>0</v>
      </c>
      <c r="H5481">
        <v>36</v>
      </c>
      <c r="I5481">
        <v>0</v>
      </c>
      <c r="J5481">
        <v>1</v>
      </c>
      <c r="K5481">
        <v>0</v>
      </c>
    </row>
    <row r="5482" spans="1:11" x14ac:dyDescent="0.2">
      <c r="A5482">
        <v>34832</v>
      </c>
      <c r="B5482">
        <v>301062</v>
      </c>
      <c r="C5482" t="s">
        <v>8818</v>
      </c>
      <c r="D5482">
        <v>10</v>
      </c>
      <c r="E5482">
        <v>10</v>
      </c>
      <c r="F5482">
        <v>0</v>
      </c>
      <c r="G5482">
        <v>0</v>
      </c>
      <c r="H5482">
        <v>247</v>
      </c>
      <c r="I5482">
        <v>0</v>
      </c>
      <c r="J5482">
        <v>5.99</v>
      </c>
      <c r="K5482">
        <v>0</v>
      </c>
    </row>
    <row r="5483" spans="1:11" x14ac:dyDescent="0.2">
      <c r="A5483">
        <v>47945</v>
      </c>
      <c r="B5483">
        <v>301091</v>
      </c>
      <c r="C5483" t="s">
        <v>8732</v>
      </c>
      <c r="D5483">
        <v>10</v>
      </c>
      <c r="E5483">
        <v>18</v>
      </c>
      <c r="F5483">
        <v>0</v>
      </c>
      <c r="G5483">
        <v>0</v>
      </c>
      <c r="H5483">
        <v>30</v>
      </c>
      <c r="I5483">
        <v>0</v>
      </c>
      <c r="J5483">
        <v>1</v>
      </c>
      <c r="K5483">
        <v>0</v>
      </c>
    </row>
    <row r="5484" spans="1:11" x14ac:dyDescent="0.2">
      <c r="A5484">
        <v>47946</v>
      </c>
      <c r="B5484">
        <v>301093</v>
      </c>
      <c r="C5484" t="s">
        <v>8008</v>
      </c>
      <c r="D5484">
        <v>10</v>
      </c>
      <c r="E5484">
        <v>18</v>
      </c>
      <c r="F5484">
        <v>0</v>
      </c>
      <c r="G5484">
        <v>0</v>
      </c>
      <c r="H5484">
        <v>100</v>
      </c>
      <c r="I5484">
        <v>0</v>
      </c>
      <c r="J5484">
        <v>1</v>
      </c>
      <c r="K5484">
        <v>0</v>
      </c>
    </row>
    <row r="5485" spans="1:11" x14ac:dyDescent="0.2">
      <c r="A5485">
        <v>47947</v>
      </c>
      <c r="B5485">
        <v>301096</v>
      </c>
      <c r="C5485" t="s">
        <v>7705</v>
      </c>
      <c r="D5485">
        <v>10</v>
      </c>
      <c r="E5485">
        <v>18</v>
      </c>
      <c r="F5485">
        <v>0</v>
      </c>
      <c r="G5485">
        <v>0</v>
      </c>
      <c r="H5485">
        <v>35</v>
      </c>
      <c r="I5485">
        <v>0</v>
      </c>
      <c r="J5485">
        <v>1</v>
      </c>
      <c r="K5485">
        <v>0</v>
      </c>
    </row>
    <row r="5486" spans="1:11" x14ac:dyDescent="0.2">
      <c r="A5486">
        <v>47948</v>
      </c>
      <c r="B5486">
        <v>301097</v>
      </c>
      <c r="C5486" t="s">
        <v>8819</v>
      </c>
      <c r="D5486">
        <v>10</v>
      </c>
      <c r="E5486">
        <v>16</v>
      </c>
      <c r="F5486">
        <v>0</v>
      </c>
      <c r="G5486">
        <v>0</v>
      </c>
      <c r="H5486">
        <v>84</v>
      </c>
      <c r="I5486">
        <v>0</v>
      </c>
      <c r="J5486">
        <v>1</v>
      </c>
      <c r="K5486">
        <v>0</v>
      </c>
    </row>
    <row r="5487" spans="1:11" x14ac:dyDescent="0.2">
      <c r="A5487">
        <v>47949</v>
      </c>
      <c r="B5487">
        <v>301101</v>
      </c>
      <c r="C5487" t="s">
        <v>8820</v>
      </c>
      <c r="D5487">
        <v>10</v>
      </c>
      <c r="E5487">
        <v>15</v>
      </c>
      <c r="F5487">
        <v>0</v>
      </c>
      <c r="G5487">
        <v>0</v>
      </c>
      <c r="H5487">
        <v>240</v>
      </c>
      <c r="I5487">
        <v>0</v>
      </c>
      <c r="J5487">
        <v>1</v>
      </c>
      <c r="K5487">
        <v>0</v>
      </c>
    </row>
    <row r="5488" spans="1:11" x14ac:dyDescent="0.2">
      <c r="B5488">
        <v>301103</v>
      </c>
      <c r="C5488" t="s">
        <v>8004</v>
      </c>
      <c r="D5488">
        <v>10</v>
      </c>
      <c r="E5488">
        <v>16</v>
      </c>
      <c r="F5488">
        <v>0</v>
      </c>
      <c r="G5488">
        <v>0</v>
      </c>
      <c r="H5488">
        <v>100</v>
      </c>
      <c r="I5488">
        <v>0</v>
      </c>
      <c r="J5488">
        <v>11.99</v>
      </c>
      <c r="K5488">
        <v>0</v>
      </c>
    </row>
    <row r="5489" spans="1:11" x14ac:dyDescent="0.2">
      <c r="A5489">
        <v>47950</v>
      </c>
      <c r="B5489">
        <v>301105</v>
      </c>
      <c r="C5489" t="s">
        <v>7983</v>
      </c>
      <c r="D5489">
        <v>10</v>
      </c>
      <c r="E5489">
        <v>8</v>
      </c>
      <c r="F5489">
        <v>0</v>
      </c>
      <c r="G5489">
        <v>0</v>
      </c>
      <c r="H5489">
        <v>84</v>
      </c>
      <c r="I5489">
        <v>0</v>
      </c>
      <c r="J5489">
        <v>1</v>
      </c>
      <c r="K5489">
        <v>0</v>
      </c>
    </row>
    <row r="5490" spans="1:11" x14ac:dyDescent="0.2">
      <c r="A5490">
        <v>47951</v>
      </c>
      <c r="B5490">
        <v>301108</v>
      </c>
      <c r="C5490" t="s">
        <v>8491</v>
      </c>
      <c r="D5490">
        <v>10</v>
      </c>
      <c r="E5490">
        <v>12</v>
      </c>
      <c r="F5490">
        <v>0</v>
      </c>
      <c r="G5490">
        <v>0</v>
      </c>
      <c r="H5490">
        <v>30</v>
      </c>
      <c r="I5490">
        <v>0</v>
      </c>
      <c r="J5490">
        <v>3.99</v>
      </c>
      <c r="K5490">
        <v>0</v>
      </c>
    </row>
    <row r="5491" spans="1:11" x14ac:dyDescent="0.2">
      <c r="A5491">
        <v>47952</v>
      </c>
      <c r="B5491">
        <v>301111</v>
      </c>
      <c r="C5491" t="s">
        <v>8821</v>
      </c>
      <c r="D5491">
        <v>10</v>
      </c>
      <c r="E5491">
        <v>14</v>
      </c>
      <c r="F5491">
        <v>0</v>
      </c>
      <c r="G5491">
        <v>0</v>
      </c>
      <c r="H5491">
        <v>40</v>
      </c>
      <c r="I5491">
        <v>0</v>
      </c>
      <c r="J5491">
        <v>1</v>
      </c>
      <c r="K5491">
        <v>0</v>
      </c>
    </row>
    <row r="5492" spans="1:11" x14ac:dyDescent="0.2">
      <c r="A5492">
        <v>47953</v>
      </c>
      <c r="B5492">
        <v>301113</v>
      </c>
      <c r="C5492" t="s">
        <v>8822</v>
      </c>
      <c r="D5492">
        <v>10</v>
      </c>
      <c r="E5492">
        <v>12</v>
      </c>
      <c r="F5492">
        <v>0</v>
      </c>
      <c r="G5492">
        <v>0</v>
      </c>
      <c r="H5492">
        <v>15</v>
      </c>
      <c r="I5492">
        <v>0</v>
      </c>
      <c r="J5492">
        <v>1</v>
      </c>
      <c r="K5492">
        <v>0</v>
      </c>
    </row>
    <row r="5493" spans="1:11" x14ac:dyDescent="0.2">
      <c r="A5493">
        <v>43972</v>
      </c>
      <c r="B5493">
        <v>301128</v>
      </c>
      <c r="C5493" t="s">
        <v>8823</v>
      </c>
      <c r="D5493">
        <v>10</v>
      </c>
      <c r="E5493">
        <v>16</v>
      </c>
      <c r="F5493">
        <v>0</v>
      </c>
      <c r="G5493">
        <v>0</v>
      </c>
      <c r="H5493">
        <v>112</v>
      </c>
      <c r="I5493">
        <v>0</v>
      </c>
      <c r="J5493">
        <v>1</v>
      </c>
      <c r="K5493">
        <v>0</v>
      </c>
    </row>
    <row r="5494" spans="1:11" x14ac:dyDescent="0.2">
      <c r="A5494">
        <v>43973</v>
      </c>
      <c r="B5494">
        <v>301130</v>
      </c>
      <c r="C5494" t="s">
        <v>8824</v>
      </c>
      <c r="D5494">
        <v>10</v>
      </c>
      <c r="E5494">
        <v>14</v>
      </c>
      <c r="F5494">
        <v>0</v>
      </c>
      <c r="G5494">
        <v>0</v>
      </c>
      <c r="H5494">
        <v>135</v>
      </c>
      <c r="I5494">
        <v>0</v>
      </c>
      <c r="J5494">
        <v>1</v>
      </c>
      <c r="K5494">
        <v>0</v>
      </c>
    </row>
    <row r="5495" spans="1:11" x14ac:dyDescent="0.2">
      <c r="A5495">
        <v>40831</v>
      </c>
      <c r="B5495">
        <v>301146</v>
      </c>
      <c r="C5495" t="s">
        <v>7983</v>
      </c>
      <c r="D5495">
        <v>6</v>
      </c>
      <c r="E5495">
        <v>14</v>
      </c>
      <c r="F5495">
        <v>0</v>
      </c>
      <c r="G5495">
        <v>0</v>
      </c>
      <c r="H5495">
        <v>77</v>
      </c>
      <c r="I5495">
        <v>0</v>
      </c>
      <c r="J5495">
        <v>5.99</v>
      </c>
      <c r="K5495">
        <v>0</v>
      </c>
    </row>
    <row r="5496" spans="1:11" x14ac:dyDescent="0.2">
      <c r="A5496">
        <v>40832</v>
      </c>
      <c r="B5496">
        <v>301148</v>
      </c>
      <c r="C5496" t="s">
        <v>8278</v>
      </c>
      <c r="D5496">
        <v>6</v>
      </c>
      <c r="E5496">
        <v>16</v>
      </c>
      <c r="F5496">
        <v>0</v>
      </c>
      <c r="G5496">
        <v>0</v>
      </c>
      <c r="H5496">
        <v>36</v>
      </c>
      <c r="I5496">
        <v>0</v>
      </c>
      <c r="J5496">
        <v>9.99</v>
      </c>
      <c r="K5496">
        <v>0</v>
      </c>
    </row>
    <row r="5497" spans="1:11" x14ac:dyDescent="0.2">
      <c r="A5497">
        <v>40833</v>
      </c>
      <c r="B5497">
        <v>301149</v>
      </c>
      <c r="C5497" t="s">
        <v>8825</v>
      </c>
      <c r="D5497">
        <v>6</v>
      </c>
      <c r="E5497">
        <v>14</v>
      </c>
      <c r="F5497">
        <v>0</v>
      </c>
      <c r="G5497">
        <v>0</v>
      </c>
      <c r="H5497">
        <v>28</v>
      </c>
      <c r="I5497">
        <v>0</v>
      </c>
      <c r="J5497">
        <v>8.99</v>
      </c>
      <c r="K5497">
        <v>0</v>
      </c>
    </row>
    <row r="5498" spans="1:11" x14ac:dyDescent="0.2">
      <c r="A5498">
        <v>40834</v>
      </c>
      <c r="B5498">
        <v>301150</v>
      </c>
      <c r="C5498" t="s">
        <v>8826</v>
      </c>
      <c r="D5498">
        <v>6</v>
      </c>
      <c r="E5498">
        <v>10</v>
      </c>
      <c r="F5498">
        <v>0</v>
      </c>
      <c r="G5498">
        <v>0</v>
      </c>
      <c r="H5498">
        <v>35</v>
      </c>
      <c r="I5498">
        <v>0</v>
      </c>
      <c r="J5498">
        <v>17.989999999999998</v>
      </c>
      <c r="K5498">
        <v>0</v>
      </c>
    </row>
    <row r="5499" spans="1:11" x14ac:dyDescent="0.2">
      <c r="A5499">
        <v>42838</v>
      </c>
      <c r="B5499">
        <v>301153</v>
      </c>
      <c r="C5499" t="s">
        <v>6287</v>
      </c>
      <c r="D5499">
        <v>10</v>
      </c>
      <c r="E5499">
        <v>14</v>
      </c>
      <c r="F5499">
        <v>-2</v>
      </c>
      <c r="G5499">
        <v>-28</v>
      </c>
      <c r="H5499">
        <v>36</v>
      </c>
      <c r="I5499">
        <v>-0.1</v>
      </c>
      <c r="J5499">
        <v>9.99</v>
      </c>
      <c r="K5499">
        <v>-279.72000000000003</v>
      </c>
    </row>
    <row r="5500" spans="1:11" x14ac:dyDescent="0.2">
      <c r="A5500">
        <v>40401</v>
      </c>
      <c r="B5500">
        <v>301154</v>
      </c>
      <c r="C5500" t="s">
        <v>8827</v>
      </c>
      <c r="D5500">
        <v>10</v>
      </c>
      <c r="E5500">
        <v>18</v>
      </c>
      <c r="F5500">
        <v>1</v>
      </c>
      <c r="G5500">
        <v>18</v>
      </c>
      <c r="H5500">
        <v>16</v>
      </c>
      <c r="I5500">
        <v>0.1</v>
      </c>
      <c r="J5500">
        <v>12.99</v>
      </c>
      <c r="K5500">
        <v>233.82</v>
      </c>
    </row>
    <row r="5501" spans="1:11" x14ac:dyDescent="0.2">
      <c r="A5501">
        <v>50021</v>
      </c>
      <c r="B5501">
        <v>301172</v>
      </c>
      <c r="C5501" t="s">
        <v>8828</v>
      </c>
      <c r="D5501">
        <v>10</v>
      </c>
      <c r="E5501">
        <v>16</v>
      </c>
      <c r="F5501">
        <v>0</v>
      </c>
      <c r="G5501">
        <v>0</v>
      </c>
      <c r="H5501">
        <v>98</v>
      </c>
      <c r="I5501">
        <v>0</v>
      </c>
      <c r="J5501">
        <v>4.99</v>
      </c>
      <c r="K5501">
        <v>0</v>
      </c>
    </row>
    <row r="5502" spans="1:11" x14ac:dyDescent="0.2">
      <c r="A5502">
        <v>50022</v>
      </c>
      <c r="B5502">
        <v>301173</v>
      </c>
      <c r="C5502" t="s">
        <v>7864</v>
      </c>
      <c r="D5502">
        <v>10</v>
      </c>
      <c r="E5502">
        <v>14</v>
      </c>
      <c r="F5502">
        <v>-1</v>
      </c>
      <c r="G5502">
        <v>-14</v>
      </c>
      <c r="H5502">
        <v>153</v>
      </c>
      <c r="I5502">
        <v>0</v>
      </c>
      <c r="J5502">
        <v>3.99</v>
      </c>
      <c r="K5502">
        <v>-55.86</v>
      </c>
    </row>
    <row r="5503" spans="1:11" x14ac:dyDescent="0.2">
      <c r="A5503">
        <v>50023</v>
      </c>
      <c r="B5503">
        <v>301192</v>
      </c>
      <c r="C5503" t="s">
        <v>8829</v>
      </c>
      <c r="D5503">
        <v>10</v>
      </c>
      <c r="E5503">
        <v>16</v>
      </c>
      <c r="F5503">
        <v>0</v>
      </c>
      <c r="G5503">
        <v>0</v>
      </c>
      <c r="H5503">
        <v>78</v>
      </c>
      <c r="I5503">
        <v>0</v>
      </c>
      <c r="J5503">
        <v>2.99</v>
      </c>
      <c r="K5503">
        <v>0</v>
      </c>
    </row>
    <row r="5504" spans="1:11" x14ac:dyDescent="0.2">
      <c r="A5504">
        <v>50024</v>
      </c>
      <c r="B5504">
        <v>301193</v>
      </c>
      <c r="C5504" t="s">
        <v>8830</v>
      </c>
      <c r="D5504">
        <v>10</v>
      </c>
      <c r="E5504">
        <v>16</v>
      </c>
      <c r="F5504">
        <v>1</v>
      </c>
      <c r="G5504">
        <v>16</v>
      </c>
      <c r="H5504">
        <v>45</v>
      </c>
      <c r="I5504">
        <v>0</v>
      </c>
      <c r="J5504">
        <v>5.99</v>
      </c>
      <c r="K5504">
        <v>95.84</v>
      </c>
    </row>
    <row r="5505" spans="1:11" x14ac:dyDescent="0.2">
      <c r="A5505">
        <v>37410</v>
      </c>
      <c r="B5505">
        <v>301199</v>
      </c>
      <c r="C5505" t="s">
        <v>8317</v>
      </c>
      <c r="D5505">
        <v>10</v>
      </c>
      <c r="E5505">
        <v>18</v>
      </c>
      <c r="F5505">
        <v>0</v>
      </c>
      <c r="G5505">
        <v>0</v>
      </c>
      <c r="H5505">
        <v>24</v>
      </c>
      <c r="I5505">
        <v>0</v>
      </c>
      <c r="J5505">
        <v>1</v>
      </c>
      <c r="K5505">
        <v>0</v>
      </c>
    </row>
    <row r="5506" spans="1:11" x14ac:dyDescent="0.2">
      <c r="A5506">
        <v>37411</v>
      </c>
      <c r="B5506">
        <v>301200</v>
      </c>
      <c r="C5506" t="s">
        <v>8320</v>
      </c>
      <c r="D5506">
        <v>10</v>
      </c>
      <c r="E5506">
        <v>16</v>
      </c>
      <c r="F5506">
        <v>0</v>
      </c>
      <c r="G5506">
        <v>0</v>
      </c>
      <c r="H5506">
        <v>56</v>
      </c>
      <c r="I5506">
        <v>0</v>
      </c>
      <c r="J5506">
        <v>1</v>
      </c>
      <c r="K5506">
        <v>0</v>
      </c>
    </row>
    <row r="5507" spans="1:11" x14ac:dyDescent="0.2">
      <c r="A5507">
        <v>47954</v>
      </c>
      <c r="B5507">
        <v>301208</v>
      </c>
      <c r="C5507" t="s">
        <v>8340</v>
      </c>
      <c r="D5507">
        <v>10</v>
      </c>
      <c r="E5507">
        <v>16</v>
      </c>
      <c r="F5507">
        <v>0</v>
      </c>
      <c r="G5507">
        <v>0</v>
      </c>
      <c r="H5507">
        <v>60</v>
      </c>
      <c r="I5507">
        <v>0</v>
      </c>
      <c r="J5507">
        <v>1</v>
      </c>
      <c r="K5507">
        <v>0</v>
      </c>
    </row>
    <row r="5508" spans="1:11" x14ac:dyDescent="0.2">
      <c r="A5508">
        <v>44821</v>
      </c>
      <c r="B5508">
        <v>301210</v>
      </c>
      <c r="C5508" t="s">
        <v>8831</v>
      </c>
      <c r="D5508">
        <v>10</v>
      </c>
      <c r="E5508">
        <v>16</v>
      </c>
      <c r="F5508">
        <v>0</v>
      </c>
      <c r="G5508">
        <v>3</v>
      </c>
      <c r="H5508">
        <v>30</v>
      </c>
      <c r="I5508">
        <v>0</v>
      </c>
      <c r="J5508">
        <v>8.99</v>
      </c>
      <c r="K5508">
        <v>26.97</v>
      </c>
    </row>
    <row r="5509" spans="1:11" x14ac:dyDescent="0.2">
      <c r="A5509">
        <v>47955</v>
      </c>
      <c r="B5509">
        <v>301213</v>
      </c>
      <c r="C5509" t="s">
        <v>8346</v>
      </c>
      <c r="D5509">
        <v>10</v>
      </c>
      <c r="E5509">
        <v>14</v>
      </c>
      <c r="F5509">
        <v>0</v>
      </c>
      <c r="G5509">
        <v>0</v>
      </c>
      <c r="H5509">
        <v>105</v>
      </c>
      <c r="I5509">
        <v>0</v>
      </c>
      <c r="J5509">
        <v>1</v>
      </c>
      <c r="K5509">
        <v>0</v>
      </c>
    </row>
    <row r="5510" spans="1:11" x14ac:dyDescent="0.2">
      <c r="A5510">
        <v>51812</v>
      </c>
      <c r="B5510">
        <v>301225</v>
      </c>
      <c r="C5510" t="s">
        <v>7691</v>
      </c>
      <c r="D5510">
        <v>10</v>
      </c>
      <c r="E5510">
        <v>12</v>
      </c>
      <c r="F5510">
        <v>52</v>
      </c>
      <c r="G5510">
        <v>629</v>
      </c>
      <c r="H5510">
        <v>66</v>
      </c>
      <c r="I5510">
        <v>0.8</v>
      </c>
      <c r="J5510">
        <v>5.99</v>
      </c>
      <c r="K5510">
        <v>3767.71</v>
      </c>
    </row>
    <row r="5511" spans="1:11" x14ac:dyDescent="0.2">
      <c r="A5511">
        <v>51813</v>
      </c>
      <c r="B5511">
        <v>301227</v>
      </c>
      <c r="C5511" t="s">
        <v>8832</v>
      </c>
      <c r="D5511">
        <v>10</v>
      </c>
      <c r="E5511">
        <v>12</v>
      </c>
      <c r="F5511">
        <v>96</v>
      </c>
      <c r="G5511">
        <v>1152</v>
      </c>
      <c r="H5511">
        <v>12</v>
      </c>
      <c r="I5511">
        <v>8</v>
      </c>
      <c r="J5511">
        <v>11.99</v>
      </c>
      <c r="K5511">
        <v>13812.48</v>
      </c>
    </row>
    <row r="5512" spans="1:11" x14ac:dyDescent="0.2">
      <c r="A5512">
        <v>39829</v>
      </c>
      <c r="B5512">
        <v>301233</v>
      </c>
      <c r="C5512" t="s">
        <v>8833</v>
      </c>
      <c r="D5512">
        <v>10</v>
      </c>
      <c r="E5512">
        <v>16</v>
      </c>
      <c r="F5512">
        <v>0</v>
      </c>
      <c r="G5512">
        <v>0</v>
      </c>
      <c r="H5512">
        <v>64</v>
      </c>
      <c r="I5512">
        <v>0</v>
      </c>
      <c r="J5512">
        <v>4.99</v>
      </c>
      <c r="K5512">
        <v>0</v>
      </c>
    </row>
    <row r="5513" spans="1:11" x14ac:dyDescent="0.2">
      <c r="A5513">
        <v>40981</v>
      </c>
      <c r="B5513">
        <v>301258</v>
      </c>
      <c r="C5513" t="s">
        <v>8364</v>
      </c>
      <c r="D5513">
        <v>10</v>
      </c>
      <c r="E5513">
        <v>20</v>
      </c>
      <c r="F5513">
        <v>0</v>
      </c>
      <c r="G5513">
        <v>0</v>
      </c>
      <c r="H5513">
        <v>310</v>
      </c>
      <c r="I5513">
        <v>0</v>
      </c>
      <c r="J5513">
        <v>1</v>
      </c>
      <c r="K5513">
        <v>0</v>
      </c>
    </row>
    <row r="5514" spans="1:11" x14ac:dyDescent="0.2">
      <c r="A5514">
        <v>40982</v>
      </c>
      <c r="B5514">
        <v>301260</v>
      </c>
      <c r="C5514" t="s">
        <v>8834</v>
      </c>
      <c r="D5514">
        <v>10</v>
      </c>
      <c r="E5514">
        <v>20</v>
      </c>
      <c r="F5514">
        <v>0</v>
      </c>
      <c r="G5514">
        <v>0</v>
      </c>
      <c r="H5514">
        <v>96</v>
      </c>
      <c r="I5514">
        <v>0</v>
      </c>
      <c r="J5514">
        <v>1</v>
      </c>
      <c r="K5514">
        <v>0</v>
      </c>
    </row>
    <row r="5515" spans="1:11" x14ac:dyDescent="0.2">
      <c r="A5515">
        <v>40983</v>
      </c>
      <c r="B5515">
        <v>301261</v>
      </c>
      <c r="C5515" t="s">
        <v>8835</v>
      </c>
      <c r="D5515">
        <v>10</v>
      </c>
      <c r="E5515">
        <v>20</v>
      </c>
      <c r="F5515">
        <v>0</v>
      </c>
      <c r="G5515">
        <v>0</v>
      </c>
      <c r="H5515">
        <v>84</v>
      </c>
      <c r="I5515">
        <v>0</v>
      </c>
      <c r="J5515">
        <v>1</v>
      </c>
      <c r="K5515">
        <v>0</v>
      </c>
    </row>
    <row r="5516" spans="1:11" x14ac:dyDescent="0.2">
      <c r="A5516">
        <v>40984</v>
      </c>
      <c r="B5516">
        <v>301264</v>
      </c>
      <c r="C5516" t="s">
        <v>8836</v>
      </c>
      <c r="D5516">
        <v>10</v>
      </c>
      <c r="E5516">
        <v>20</v>
      </c>
      <c r="F5516">
        <v>0</v>
      </c>
      <c r="G5516">
        <v>0</v>
      </c>
      <c r="H5516">
        <v>100</v>
      </c>
      <c r="I5516">
        <v>0</v>
      </c>
      <c r="J5516">
        <v>1</v>
      </c>
      <c r="K5516">
        <v>0</v>
      </c>
    </row>
    <row r="5517" spans="1:11" x14ac:dyDescent="0.2">
      <c r="A5517">
        <v>40985</v>
      </c>
      <c r="B5517">
        <v>301265</v>
      </c>
      <c r="C5517" t="s">
        <v>8837</v>
      </c>
      <c r="D5517">
        <v>10</v>
      </c>
      <c r="E5517">
        <v>20</v>
      </c>
      <c r="F5517">
        <v>0</v>
      </c>
      <c r="G5517">
        <v>0</v>
      </c>
      <c r="H5517">
        <v>100</v>
      </c>
      <c r="I5517">
        <v>0</v>
      </c>
      <c r="J5517">
        <v>1</v>
      </c>
      <c r="K5517">
        <v>0</v>
      </c>
    </row>
    <row r="5518" spans="1:11" x14ac:dyDescent="0.2">
      <c r="A5518">
        <v>40986</v>
      </c>
      <c r="B5518">
        <v>301267</v>
      </c>
      <c r="C5518" t="s">
        <v>8838</v>
      </c>
      <c r="D5518">
        <v>10</v>
      </c>
      <c r="E5518">
        <v>20</v>
      </c>
      <c r="F5518">
        <v>0</v>
      </c>
      <c r="G5518">
        <v>0</v>
      </c>
      <c r="H5518">
        <v>80</v>
      </c>
      <c r="I5518">
        <v>0</v>
      </c>
      <c r="J5518">
        <v>1</v>
      </c>
      <c r="K5518">
        <v>0</v>
      </c>
    </row>
    <row r="5519" spans="1:11" x14ac:dyDescent="0.2">
      <c r="A5519">
        <v>43974</v>
      </c>
      <c r="B5519">
        <v>301291</v>
      </c>
      <c r="C5519" t="s">
        <v>8839</v>
      </c>
      <c r="D5519">
        <v>10</v>
      </c>
      <c r="E5519">
        <v>20</v>
      </c>
      <c r="F5519">
        <v>0</v>
      </c>
      <c r="G5519">
        <v>0</v>
      </c>
      <c r="H5519">
        <v>120</v>
      </c>
      <c r="I5519">
        <v>0</v>
      </c>
      <c r="J5519">
        <v>1</v>
      </c>
      <c r="K5519">
        <v>0</v>
      </c>
    </row>
    <row r="5520" spans="1:11" x14ac:dyDescent="0.2">
      <c r="A5520">
        <v>43975</v>
      </c>
      <c r="B5520">
        <v>301292</v>
      </c>
      <c r="C5520" t="s">
        <v>8349</v>
      </c>
      <c r="D5520">
        <v>10</v>
      </c>
      <c r="E5520">
        <v>20</v>
      </c>
      <c r="F5520">
        <v>0</v>
      </c>
      <c r="G5520">
        <v>0</v>
      </c>
      <c r="H5520">
        <v>120</v>
      </c>
      <c r="I5520">
        <v>0</v>
      </c>
      <c r="J5520">
        <v>1</v>
      </c>
      <c r="K5520">
        <v>0</v>
      </c>
    </row>
    <row r="5521" spans="1:11" x14ac:dyDescent="0.2">
      <c r="A5521">
        <v>47956</v>
      </c>
      <c r="B5521">
        <v>301315</v>
      </c>
      <c r="C5521" t="s">
        <v>8840</v>
      </c>
      <c r="D5521">
        <v>10</v>
      </c>
      <c r="E5521">
        <v>20</v>
      </c>
      <c r="F5521">
        <v>0</v>
      </c>
      <c r="G5521">
        <v>0</v>
      </c>
      <c r="H5521">
        <v>77</v>
      </c>
      <c r="I5521">
        <v>0</v>
      </c>
      <c r="J5521">
        <v>1</v>
      </c>
      <c r="K5521">
        <v>0</v>
      </c>
    </row>
    <row r="5522" spans="1:11" x14ac:dyDescent="0.2">
      <c r="A5522">
        <v>47957</v>
      </c>
      <c r="B5522">
        <v>301317</v>
      </c>
      <c r="C5522" t="s">
        <v>8841</v>
      </c>
      <c r="D5522">
        <v>10</v>
      </c>
      <c r="E5522">
        <v>20</v>
      </c>
      <c r="F5522">
        <v>0</v>
      </c>
      <c r="G5522">
        <v>0</v>
      </c>
      <c r="H5522">
        <v>77</v>
      </c>
      <c r="I5522">
        <v>0</v>
      </c>
      <c r="J5522">
        <v>1</v>
      </c>
      <c r="K5522">
        <v>0</v>
      </c>
    </row>
    <row r="5523" spans="1:11" x14ac:dyDescent="0.2">
      <c r="A5523">
        <v>47958</v>
      </c>
      <c r="B5523">
        <v>301318</v>
      </c>
      <c r="C5523" t="s">
        <v>8842</v>
      </c>
      <c r="D5523">
        <v>10</v>
      </c>
      <c r="E5523">
        <v>16</v>
      </c>
      <c r="F5523">
        <v>0</v>
      </c>
      <c r="G5523">
        <v>0</v>
      </c>
      <c r="H5523">
        <v>188</v>
      </c>
      <c r="I5523">
        <v>0</v>
      </c>
      <c r="J5523">
        <v>1</v>
      </c>
      <c r="K5523">
        <v>0</v>
      </c>
    </row>
    <row r="5524" spans="1:11" x14ac:dyDescent="0.2">
      <c r="A5524">
        <v>47959</v>
      </c>
      <c r="B5524">
        <v>301323</v>
      </c>
      <c r="C5524" t="s">
        <v>8843</v>
      </c>
      <c r="D5524">
        <v>10</v>
      </c>
      <c r="E5524">
        <v>20</v>
      </c>
      <c r="F5524">
        <v>0</v>
      </c>
      <c r="G5524">
        <v>0</v>
      </c>
      <c r="H5524">
        <v>130</v>
      </c>
      <c r="I5524">
        <v>0</v>
      </c>
      <c r="J5524">
        <v>1</v>
      </c>
      <c r="K5524">
        <v>0</v>
      </c>
    </row>
    <row r="5525" spans="1:11" x14ac:dyDescent="0.2">
      <c r="A5525">
        <v>47960</v>
      </c>
      <c r="B5525">
        <v>301325</v>
      </c>
      <c r="C5525" t="s">
        <v>8844</v>
      </c>
      <c r="D5525">
        <v>10</v>
      </c>
      <c r="E5525">
        <v>20</v>
      </c>
      <c r="F5525">
        <v>0</v>
      </c>
      <c r="G5525">
        <v>0</v>
      </c>
      <c r="H5525">
        <v>70</v>
      </c>
      <c r="I5525">
        <v>0</v>
      </c>
      <c r="J5525">
        <v>1</v>
      </c>
      <c r="K5525">
        <v>0</v>
      </c>
    </row>
    <row r="5526" spans="1:11" x14ac:dyDescent="0.2">
      <c r="A5526">
        <v>47961</v>
      </c>
      <c r="B5526">
        <v>301327</v>
      </c>
      <c r="C5526" t="s">
        <v>8845</v>
      </c>
      <c r="D5526">
        <v>10</v>
      </c>
      <c r="E5526">
        <v>20</v>
      </c>
      <c r="F5526">
        <v>0</v>
      </c>
      <c r="G5526">
        <v>0</v>
      </c>
      <c r="H5526">
        <v>77</v>
      </c>
      <c r="I5526">
        <v>0</v>
      </c>
      <c r="J5526">
        <v>1</v>
      </c>
      <c r="K5526">
        <v>0</v>
      </c>
    </row>
    <row r="5527" spans="1:11" x14ac:dyDescent="0.2">
      <c r="A5527">
        <v>47962</v>
      </c>
      <c r="B5527">
        <v>301341</v>
      </c>
      <c r="C5527" t="s">
        <v>8846</v>
      </c>
      <c r="D5527">
        <v>10</v>
      </c>
      <c r="E5527">
        <v>12</v>
      </c>
      <c r="F5527">
        <v>0</v>
      </c>
      <c r="G5527">
        <v>0</v>
      </c>
      <c r="H5527">
        <v>128</v>
      </c>
      <c r="I5527">
        <v>0</v>
      </c>
      <c r="J5527">
        <v>1</v>
      </c>
      <c r="K5527">
        <v>0</v>
      </c>
    </row>
    <row r="5528" spans="1:11" x14ac:dyDescent="0.2">
      <c r="A5528">
        <v>47963</v>
      </c>
      <c r="B5528">
        <v>301343</v>
      </c>
      <c r="C5528" t="s">
        <v>8847</v>
      </c>
      <c r="D5528">
        <v>10</v>
      </c>
      <c r="E5528">
        <v>12</v>
      </c>
      <c r="F5528">
        <v>0</v>
      </c>
      <c r="G5528">
        <v>0</v>
      </c>
      <c r="H5528">
        <v>144</v>
      </c>
      <c r="I5528">
        <v>0</v>
      </c>
      <c r="J5528">
        <v>1</v>
      </c>
      <c r="K5528">
        <v>0</v>
      </c>
    </row>
    <row r="5529" spans="1:11" x14ac:dyDescent="0.2">
      <c r="A5529">
        <v>47964</v>
      </c>
      <c r="B5529">
        <v>301344</v>
      </c>
      <c r="C5529" t="s">
        <v>8848</v>
      </c>
      <c r="D5529">
        <v>10</v>
      </c>
      <c r="E5529">
        <v>16</v>
      </c>
      <c r="F5529">
        <v>0</v>
      </c>
      <c r="G5529">
        <v>0</v>
      </c>
      <c r="H5529">
        <v>132</v>
      </c>
      <c r="I5529">
        <v>0</v>
      </c>
      <c r="J5529">
        <v>1</v>
      </c>
      <c r="K5529">
        <v>0</v>
      </c>
    </row>
    <row r="5530" spans="1:11" x14ac:dyDescent="0.2">
      <c r="A5530">
        <v>47965</v>
      </c>
      <c r="B5530">
        <v>301355</v>
      </c>
      <c r="C5530" t="s">
        <v>8849</v>
      </c>
      <c r="D5530">
        <v>10</v>
      </c>
      <c r="E5530">
        <v>20</v>
      </c>
      <c r="F5530">
        <v>0</v>
      </c>
      <c r="G5530">
        <v>0</v>
      </c>
      <c r="H5530">
        <v>100</v>
      </c>
      <c r="I5530">
        <v>0</v>
      </c>
      <c r="J5530">
        <v>1</v>
      </c>
      <c r="K5530">
        <v>0</v>
      </c>
    </row>
    <row r="5531" spans="1:11" x14ac:dyDescent="0.2">
      <c r="A5531">
        <v>2207</v>
      </c>
      <c r="B5531">
        <v>301360</v>
      </c>
      <c r="C5531" t="s">
        <v>8850</v>
      </c>
      <c r="D5531">
        <v>10</v>
      </c>
      <c r="E5531">
        <v>20</v>
      </c>
      <c r="F5531">
        <v>192</v>
      </c>
      <c r="G5531">
        <v>3840</v>
      </c>
      <c r="H5531">
        <v>117</v>
      </c>
      <c r="I5531">
        <v>1.6</v>
      </c>
      <c r="J5531">
        <v>2.99</v>
      </c>
      <c r="K5531">
        <v>11481.6</v>
      </c>
    </row>
    <row r="5532" spans="1:11" x14ac:dyDescent="0.2">
      <c r="A5532">
        <v>51001</v>
      </c>
      <c r="B5532">
        <v>301372</v>
      </c>
      <c r="C5532" t="s">
        <v>8851</v>
      </c>
      <c r="D5532">
        <v>10</v>
      </c>
      <c r="E5532">
        <v>20</v>
      </c>
      <c r="F5532">
        <v>0</v>
      </c>
      <c r="G5532">
        <v>0</v>
      </c>
      <c r="H5532">
        <v>84</v>
      </c>
      <c r="I5532">
        <v>0</v>
      </c>
      <c r="J5532">
        <v>4.49</v>
      </c>
      <c r="K5532">
        <v>0</v>
      </c>
    </row>
    <row r="5533" spans="1:11" x14ac:dyDescent="0.2">
      <c r="A5533">
        <v>51000</v>
      </c>
      <c r="B5533">
        <v>301379</v>
      </c>
      <c r="C5533" t="s">
        <v>8852</v>
      </c>
      <c r="D5533">
        <v>10</v>
      </c>
      <c r="E5533">
        <v>12</v>
      </c>
      <c r="F5533">
        <v>0</v>
      </c>
      <c r="G5533">
        <v>0</v>
      </c>
      <c r="H5533">
        <v>56</v>
      </c>
      <c r="I5533">
        <v>0</v>
      </c>
      <c r="J5533">
        <v>9.99</v>
      </c>
      <c r="K5533">
        <v>0</v>
      </c>
    </row>
    <row r="5534" spans="1:11" x14ac:dyDescent="0.2">
      <c r="A5534">
        <v>49117</v>
      </c>
      <c r="B5534">
        <v>301401</v>
      </c>
      <c r="C5534" t="s">
        <v>8853</v>
      </c>
      <c r="D5534">
        <v>10</v>
      </c>
      <c r="E5534">
        <v>10</v>
      </c>
      <c r="F5534">
        <v>0</v>
      </c>
      <c r="G5534">
        <v>0</v>
      </c>
      <c r="H5534">
        <v>100</v>
      </c>
      <c r="I5534">
        <v>0</v>
      </c>
      <c r="J5534">
        <v>5.99</v>
      </c>
      <c r="K5534">
        <v>0</v>
      </c>
    </row>
    <row r="5535" spans="1:11" x14ac:dyDescent="0.2">
      <c r="A5535">
        <v>49118</v>
      </c>
      <c r="B5535">
        <v>301402</v>
      </c>
      <c r="C5535" t="s">
        <v>8854</v>
      </c>
      <c r="D5535">
        <v>10</v>
      </c>
      <c r="E5535">
        <v>20</v>
      </c>
      <c r="F5535">
        <v>0</v>
      </c>
      <c r="G5535">
        <v>0</v>
      </c>
      <c r="H5535">
        <v>90</v>
      </c>
      <c r="I5535">
        <v>0</v>
      </c>
      <c r="J5535">
        <v>2.99</v>
      </c>
      <c r="K5535">
        <v>0</v>
      </c>
    </row>
    <row r="5536" spans="1:11" x14ac:dyDescent="0.2">
      <c r="A5536">
        <v>1304</v>
      </c>
      <c r="B5536">
        <v>301423</v>
      </c>
      <c r="C5536" t="s">
        <v>8855</v>
      </c>
      <c r="D5536">
        <v>6</v>
      </c>
      <c r="E5536">
        <v>6</v>
      </c>
      <c r="F5536">
        <v>6</v>
      </c>
      <c r="G5536">
        <v>37</v>
      </c>
      <c r="H5536">
        <v>91</v>
      </c>
      <c r="I5536">
        <v>0.1</v>
      </c>
      <c r="J5536">
        <v>17.989999999999998</v>
      </c>
      <c r="K5536">
        <v>665.63</v>
      </c>
    </row>
    <row r="5537" spans="1:11" x14ac:dyDescent="0.2">
      <c r="A5537">
        <v>40987</v>
      </c>
      <c r="B5537">
        <v>301436</v>
      </c>
      <c r="C5537" t="s">
        <v>8856</v>
      </c>
      <c r="D5537">
        <v>10</v>
      </c>
      <c r="E5537">
        <v>16</v>
      </c>
      <c r="F5537">
        <v>0</v>
      </c>
      <c r="G5537">
        <v>0</v>
      </c>
      <c r="H5537">
        <v>78</v>
      </c>
      <c r="I5537">
        <v>0</v>
      </c>
      <c r="J5537">
        <v>1</v>
      </c>
      <c r="K5537">
        <v>0</v>
      </c>
    </row>
    <row r="5538" spans="1:11" x14ac:dyDescent="0.2">
      <c r="A5538">
        <v>40988</v>
      </c>
      <c r="B5538">
        <v>301437</v>
      </c>
      <c r="C5538" t="s">
        <v>8857</v>
      </c>
      <c r="D5538">
        <v>10</v>
      </c>
      <c r="E5538">
        <v>16</v>
      </c>
      <c r="F5538">
        <v>0</v>
      </c>
      <c r="G5538">
        <v>0</v>
      </c>
      <c r="H5538">
        <v>98</v>
      </c>
      <c r="I5538">
        <v>0</v>
      </c>
      <c r="J5538">
        <v>1</v>
      </c>
      <c r="K5538">
        <v>0</v>
      </c>
    </row>
    <row r="5539" spans="1:11" x14ac:dyDescent="0.2">
      <c r="A5539">
        <v>40989</v>
      </c>
      <c r="B5539">
        <v>301438</v>
      </c>
      <c r="C5539" t="s">
        <v>8858</v>
      </c>
      <c r="D5539">
        <v>10</v>
      </c>
      <c r="E5539">
        <v>21</v>
      </c>
      <c r="F5539">
        <v>0</v>
      </c>
      <c r="G5539">
        <v>0</v>
      </c>
      <c r="H5539">
        <v>63</v>
      </c>
      <c r="I5539">
        <v>0</v>
      </c>
      <c r="J5539">
        <v>1</v>
      </c>
      <c r="K5539">
        <v>0</v>
      </c>
    </row>
    <row r="5540" spans="1:11" x14ac:dyDescent="0.2">
      <c r="A5540">
        <v>40990</v>
      </c>
      <c r="B5540">
        <v>301439</v>
      </c>
      <c r="C5540" t="s">
        <v>8859</v>
      </c>
      <c r="D5540">
        <v>10</v>
      </c>
      <c r="E5540">
        <v>21</v>
      </c>
      <c r="F5540">
        <v>0</v>
      </c>
      <c r="G5540">
        <v>0</v>
      </c>
      <c r="H5540">
        <v>81</v>
      </c>
      <c r="I5540">
        <v>0</v>
      </c>
      <c r="J5540">
        <v>1</v>
      </c>
      <c r="K5540">
        <v>0</v>
      </c>
    </row>
    <row r="5541" spans="1:11" x14ac:dyDescent="0.2">
      <c r="A5541">
        <v>40991</v>
      </c>
      <c r="B5541">
        <v>301442</v>
      </c>
      <c r="C5541" t="s">
        <v>8860</v>
      </c>
      <c r="D5541">
        <v>10</v>
      </c>
      <c r="E5541">
        <v>16</v>
      </c>
      <c r="F5541">
        <v>0</v>
      </c>
      <c r="G5541">
        <v>0</v>
      </c>
      <c r="H5541">
        <v>80</v>
      </c>
      <c r="I5541">
        <v>0</v>
      </c>
      <c r="J5541">
        <v>1</v>
      </c>
      <c r="K5541">
        <v>0</v>
      </c>
    </row>
    <row r="5542" spans="1:11" x14ac:dyDescent="0.2">
      <c r="A5542">
        <v>40992</v>
      </c>
      <c r="B5542">
        <v>301443</v>
      </c>
      <c r="C5542" t="s">
        <v>8861</v>
      </c>
      <c r="D5542">
        <v>10</v>
      </c>
      <c r="E5542">
        <v>16</v>
      </c>
      <c r="F5542">
        <v>0</v>
      </c>
      <c r="G5542">
        <v>0</v>
      </c>
      <c r="H5542">
        <v>104</v>
      </c>
      <c r="I5542">
        <v>0</v>
      </c>
      <c r="J5542">
        <v>1</v>
      </c>
      <c r="K5542">
        <v>0</v>
      </c>
    </row>
    <row r="5543" spans="1:11" x14ac:dyDescent="0.2">
      <c r="A5543">
        <v>40993</v>
      </c>
      <c r="B5543">
        <v>301444</v>
      </c>
      <c r="C5543" t="s">
        <v>8862</v>
      </c>
      <c r="D5543">
        <v>10</v>
      </c>
      <c r="E5543">
        <v>16</v>
      </c>
      <c r="F5543">
        <v>0</v>
      </c>
      <c r="G5543">
        <v>0</v>
      </c>
      <c r="H5543">
        <v>144</v>
      </c>
      <c r="I5543">
        <v>0</v>
      </c>
      <c r="J5543">
        <v>1</v>
      </c>
      <c r="K5543">
        <v>0</v>
      </c>
    </row>
    <row r="5544" spans="1:11" x14ac:dyDescent="0.2">
      <c r="A5544">
        <v>40994</v>
      </c>
      <c r="B5544">
        <v>301445</v>
      </c>
      <c r="C5544" t="s">
        <v>8863</v>
      </c>
      <c r="D5544">
        <v>10</v>
      </c>
      <c r="E5544">
        <v>16</v>
      </c>
      <c r="F5544">
        <v>0</v>
      </c>
      <c r="G5544">
        <v>0</v>
      </c>
      <c r="H5544">
        <v>140</v>
      </c>
      <c r="I5544">
        <v>0</v>
      </c>
      <c r="J5544">
        <v>1</v>
      </c>
      <c r="K5544">
        <v>0</v>
      </c>
    </row>
    <row r="5545" spans="1:11" x14ac:dyDescent="0.2">
      <c r="A5545">
        <v>43976</v>
      </c>
      <c r="B5545">
        <v>301466</v>
      </c>
      <c r="C5545" t="s">
        <v>8864</v>
      </c>
      <c r="D5545">
        <v>6</v>
      </c>
      <c r="E5545">
        <v>14</v>
      </c>
      <c r="F5545">
        <v>0</v>
      </c>
      <c r="G5545">
        <v>0</v>
      </c>
      <c r="H5545">
        <v>30</v>
      </c>
      <c r="I5545">
        <v>0</v>
      </c>
      <c r="J5545">
        <v>1</v>
      </c>
      <c r="K5545">
        <v>0</v>
      </c>
    </row>
    <row r="5546" spans="1:11" x14ac:dyDescent="0.2">
      <c r="A5546">
        <v>43977</v>
      </c>
      <c r="B5546">
        <v>301467</v>
      </c>
      <c r="C5546" t="s">
        <v>8865</v>
      </c>
      <c r="D5546">
        <v>10</v>
      </c>
      <c r="E5546">
        <v>16</v>
      </c>
      <c r="F5546">
        <v>0</v>
      </c>
      <c r="G5546">
        <v>0</v>
      </c>
      <c r="H5546">
        <v>48</v>
      </c>
      <c r="I5546">
        <v>0</v>
      </c>
      <c r="J5546">
        <v>1</v>
      </c>
      <c r="K5546">
        <v>0</v>
      </c>
    </row>
    <row r="5547" spans="1:11" x14ac:dyDescent="0.2">
      <c r="A5547">
        <v>43978</v>
      </c>
      <c r="B5547">
        <v>301468</v>
      </c>
      <c r="C5547" t="s">
        <v>8865</v>
      </c>
      <c r="D5547">
        <v>10</v>
      </c>
      <c r="E5547">
        <v>12</v>
      </c>
      <c r="F5547">
        <v>0</v>
      </c>
      <c r="G5547">
        <v>0</v>
      </c>
      <c r="H5547">
        <v>80</v>
      </c>
      <c r="I5547">
        <v>0</v>
      </c>
      <c r="J5547">
        <v>1</v>
      </c>
      <c r="K5547">
        <v>0</v>
      </c>
    </row>
    <row r="5548" spans="1:11" x14ac:dyDescent="0.2">
      <c r="A5548">
        <v>43979</v>
      </c>
      <c r="B5548">
        <v>301469</v>
      </c>
      <c r="C5548" t="s">
        <v>8866</v>
      </c>
      <c r="D5548">
        <v>6</v>
      </c>
      <c r="E5548">
        <v>16</v>
      </c>
      <c r="F5548">
        <v>0</v>
      </c>
      <c r="G5548">
        <v>0</v>
      </c>
      <c r="H5548">
        <v>80</v>
      </c>
      <c r="I5548">
        <v>0</v>
      </c>
      <c r="J5548">
        <v>1</v>
      </c>
      <c r="K5548">
        <v>0</v>
      </c>
    </row>
    <row r="5549" spans="1:11" x14ac:dyDescent="0.2">
      <c r="A5549">
        <v>43980</v>
      </c>
      <c r="B5549">
        <v>301470</v>
      </c>
      <c r="C5549" t="s">
        <v>8867</v>
      </c>
      <c r="D5549">
        <v>6</v>
      </c>
      <c r="E5549">
        <v>12</v>
      </c>
      <c r="F5549">
        <v>0</v>
      </c>
      <c r="G5549">
        <v>0</v>
      </c>
      <c r="H5549">
        <v>117</v>
      </c>
      <c r="I5549">
        <v>0</v>
      </c>
      <c r="J5549">
        <v>1</v>
      </c>
      <c r="K5549">
        <v>0</v>
      </c>
    </row>
    <row r="5550" spans="1:11" x14ac:dyDescent="0.2">
      <c r="A5550">
        <v>43981</v>
      </c>
      <c r="B5550">
        <v>301471</v>
      </c>
      <c r="C5550" t="s">
        <v>8868</v>
      </c>
      <c r="D5550">
        <v>10</v>
      </c>
      <c r="E5550">
        <v>16</v>
      </c>
      <c r="F5550">
        <v>0</v>
      </c>
      <c r="G5550">
        <v>0</v>
      </c>
      <c r="H5550">
        <v>100</v>
      </c>
      <c r="I5550">
        <v>0</v>
      </c>
      <c r="J5550">
        <v>1</v>
      </c>
      <c r="K5550">
        <v>0</v>
      </c>
    </row>
    <row r="5551" spans="1:11" x14ac:dyDescent="0.2">
      <c r="A5551">
        <v>43982</v>
      </c>
      <c r="B5551">
        <v>301472</v>
      </c>
      <c r="C5551" t="s">
        <v>8869</v>
      </c>
      <c r="D5551">
        <v>10</v>
      </c>
      <c r="E5551">
        <v>12</v>
      </c>
      <c r="F5551">
        <v>0</v>
      </c>
      <c r="G5551">
        <v>0</v>
      </c>
      <c r="H5551">
        <v>110</v>
      </c>
      <c r="I5551">
        <v>0</v>
      </c>
      <c r="J5551">
        <v>1</v>
      </c>
      <c r="K5551">
        <v>0</v>
      </c>
    </row>
    <row r="5552" spans="1:11" x14ac:dyDescent="0.2">
      <c r="A5552">
        <v>43983</v>
      </c>
      <c r="B5552">
        <v>301473</v>
      </c>
      <c r="C5552" t="s">
        <v>8870</v>
      </c>
      <c r="D5552">
        <v>10</v>
      </c>
      <c r="E5552">
        <v>16</v>
      </c>
      <c r="F5552">
        <v>0</v>
      </c>
      <c r="G5552">
        <v>0</v>
      </c>
      <c r="H5552">
        <v>50</v>
      </c>
      <c r="I5552">
        <v>0</v>
      </c>
      <c r="J5552">
        <v>1</v>
      </c>
      <c r="K5552">
        <v>0</v>
      </c>
    </row>
    <row r="5553" spans="1:11" x14ac:dyDescent="0.2">
      <c r="A5553">
        <v>43984</v>
      </c>
      <c r="B5553">
        <v>301474</v>
      </c>
      <c r="C5553" t="s">
        <v>8870</v>
      </c>
      <c r="D5553">
        <v>10</v>
      </c>
      <c r="E5553">
        <v>12</v>
      </c>
      <c r="F5553">
        <v>0</v>
      </c>
      <c r="G5553">
        <v>0</v>
      </c>
      <c r="H5553">
        <v>96</v>
      </c>
      <c r="I5553">
        <v>0</v>
      </c>
      <c r="J5553">
        <v>1</v>
      </c>
      <c r="K5553">
        <v>0</v>
      </c>
    </row>
    <row r="5554" spans="1:11" x14ac:dyDescent="0.2">
      <c r="A5554">
        <v>43985</v>
      </c>
      <c r="B5554">
        <v>301475</v>
      </c>
      <c r="C5554" t="s">
        <v>8871</v>
      </c>
      <c r="D5554">
        <v>10</v>
      </c>
      <c r="E5554">
        <v>16</v>
      </c>
      <c r="F5554">
        <v>0</v>
      </c>
      <c r="G5554">
        <v>0</v>
      </c>
      <c r="H5554">
        <v>48</v>
      </c>
      <c r="I5554">
        <v>0</v>
      </c>
      <c r="J5554">
        <v>1</v>
      </c>
      <c r="K5554">
        <v>0</v>
      </c>
    </row>
    <row r="5555" spans="1:11" x14ac:dyDescent="0.2">
      <c r="A5555">
        <v>43986</v>
      </c>
      <c r="B5555">
        <v>301476</v>
      </c>
      <c r="C5555" t="s">
        <v>8871</v>
      </c>
      <c r="D5555">
        <v>10</v>
      </c>
      <c r="E5555">
        <v>12</v>
      </c>
      <c r="F5555">
        <v>0</v>
      </c>
      <c r="G5555">
        <v>0</v>
      </c>
      <c r="H5555">
        <v>90</v>
      </c>
      <c r="I5555">
        <v>0</v>
      </c>
      <c r="J5555">
        <v>1</v>
      </c>
      <c r="K5555">
        <v>0</v>
      </c>
    </row>
    <row r="5556" spans="1:11" x14ac:dyDescent="0.2">
      <c r="A5556">
        <v>43987</v>
      </c>
      <c r="B5556">
        <v>301477</v>
      </c>
      <c r="C5556" t="s">
        <v>8872</v>
      </c>
      <c r="D5556">
        <v>10</v>
      </c>
      <c r="E5556">
        <v>16</v>
      </c>
      <c r="F5556">
        <v>0</v>
      </c>
      <c r="G5556">
        <v>0</v>
      </c>
      <c r="H5556">
        <v>60</v>
      </c>
      <c r="I5556">
        <v>0</v>
      </c>
      <c r="J5556">
        <v>1</v>
      </c>
      <c r="K5556">
        <v>0</v>
      </c>
    </row>
    <row r="5557" spans="1:11" x14ac:dyDescent="0.2">
      <c r="A5557">
        <v>43988</v>
      </c>
      <c r="B5557">
        <v>301478</v>
      </c>
      <c r="C5557" t="s">
        <v>8872</v>
      </c>
      <c r="D5557">
        <v>10</v>
      </c>
      <c r="E5557">
        <v>12</v>
      </c>
      <c r="F5557">
        <v>0</v>
      </c>
      <c r="G5557">
        <v>0</v>
      </c>
      <c r="H5557">
        <v>91</v>
      </c>
      <c r="I5557">
        <v>0</v>
      </c>
      <c r="J5557">
        <v>1</v>
      </c>
      <c r="K5557">
        <v>0</v>
      </c>
    </row>
    <row r="5558" spans="1:11" x14ac:dyDescent="0.2">
      <c r="A5558">
        <v>43989</v>
      </c>
      <c r="B5558">
        <v>301479</v>
      </c>
      <c r="C5558" t="s">
        <v>8873</v>
      </c>
      <c r="D5558">
        <v>10</v>
      </c>
      <c r="E5558">
        <v>18</v>
      </c>
      <c r="F5558">
        <v>0</v>
      </c>
      <c r="G5558">
        <v>0</v>
      </c>
      <c r="H5558">
        <v>66</v>
      </c>
      <c r="I5558">
        <v>0</v>
      </c>
      <c r="J5558">
        <v>1</v>
      </c>
      <c r="K5558">
        <v>0</v>
      </c>
    </row>
    <row r="5559" spans="1:11" x14ac:dyDescent="0.2">
      <c r="A5559">
        <v>43990</v>
      </c>
      <c r="B5559">
        <v>301480</v>
      </c>
      <c r="C5559" t="s">
        <v>8873</v>
      </c>
      <c r="D5559">
        <v>10</v>
      </c>
      <c r="E5559">
        <v>14</v>
      </c>
      <c r="F5559">
        <v>0</v>
      </c>
      <c r="G5559">
        <v>0</v>
      </c>
      <c r="H5559">
        <v>112</v>
      </c>
      <c r="I5559">
        <v>0</v>
      </c>
      <c r="J5559">
        <v>1</v>
      </c>
      <c r="K5559">
        <v>0</v>
      </c>
    </row>
    <row r="5560" spans="1:11" x14ac:dyDescent="0.2">
      <c r="A5560">
        <v>43991</v>
      </c>
      <c r="B5560">
        <v>301481</v>
      </c>
      <c r="C5560" t="s">
        <v>8874</v>
      </c>
      <c r="D5560">
        <v>10</v>
      </c>
      <c r="E5560">
        <v>18</v>
      </c>
      <c r="F5560">
        <v>0</v>
      </c>
      <c r="G5560">
        <v>0</v>
      </c>
      <c r="H5560">
        <v>78</v>
      </c>
      <c r="I5560">
        <v>0</v>
      </c>
      <c r="J5560">
        <v>1</v>
      </c>
      <c r="K5560">
        <v>0</v>
      </c>
    </row>
    <row r="5561" spans="1:11" x14ac:dyDescent="0.2">
      <c r="A5561">
        <v>47966</v>
      </c>
      <c r="B5561">
        <v>301484</v>
      </c>
      <c r="C5561" t="s">
        <v>8146</v>
      </c>
      <c r="D5561">
        <v>10</v>
      </c>
      <c r="E5561">
        <v>12</v>
      </c>
      <c r="F5561">
        <v>0</v>
      </c>
      <c r="G5561">
        <v>0</v>
      </c>
      <c r="H5561">
        <v>104</v>
      </c>
      <c r="I5561">
        <v>0</v>
      </c>
      <c r="J5561">
        <v>1</v>
      </c>
      <c r="K5561">
        <v>0</v>
      </c>
    </row>
    <row r="5562" spans="1:11" x14ac:dyDescent="0.2">
      <c r="A5562">
        <v>47967</v>
      </c>
      <c r="B5562">
        <v>301486</v>
      </c>
      <c r="C5562" t="s">
        <v>8875</v>
      </c>
      <c r="D5562">
        <v>10</v>
      </c>
      <c r="E5562">
        <v>12</v>
      </c>
      <c r="F5562">
        <v>0</v>
      </c>
      <c r="G5562">
        <v>0</v>
      </c>
      <c r="H5562">
        <v>60</v>
      </c>
      <c r="I5562">
        <v>0</v>
      </c>
      <c r="J5562">
        <v>1</v>
      </c>
      <c r="K5562">
        <v>0</v>
      </c>
    </row>
    <row r="5563" spans="1:11" x14ac:dyDescent="0.2">
      <c r="A5563">
        <v>43992</v>
      </c>
      <c r="B5563">
        <v>301487</v>
      </c>
      <c r="C5563" t="s">
        <v>8876</v>
      </c>
      <c r="D5563">
        <v>6</v>
      </c>
      <c r="E5563">
        <v>14</v>
      </c>
      <c r="F5563">
        <v>0</v>
      </c>
      <c r="G5563">
        <v>0</v>
      </c>
      <c r="H5563">
        <v>30</v>
      </c>
      <c r="I5563">
        <v>0</v>
      </c>
      <c r="J5563">
        <v>1</v>
      </c>
      <c r="K5563">
        <v>0</v>
      </c>
    </row>
    <row r="5564" spans="1:11" x14ac:dyDescent="0.2">
      <c r="A5564">
        <v>47968</v>
      </c>
      <c r="B5564">
        <v>301501</v>
      </c>
      <c r="C5564" t="s">
        <v>8870</v>
      </c>
      <c r="D5564">
        <v>10</v>
      </c>
      <c r="E5564">
        <v>12</v>
      </c>
      <c r="F5564">
        <v>0</v>
      </c>
      <c r="G5564">
        <v>0</v>
      </c>
      <c r="H5564">
        <v>96</v>
      </c>
      <c r="I5564">
        <v>0</v>
      </c>
      <c r="J5564">
        <v>1</v>
      </c>
      <c r="K5564">
        <v>0</v>
      </c>
    </row>
    <row r="5565" spans="1:11" x14ac:dyDescent="0.2">
      <c r="A5565">
        <v>47969</v>
      </c>
      <c r="B5565">
        <v>301502</v>
      </c>
      <c r="C5565" t="s">
        <v>8877</v>
      </c>
      <c r="D5565">
        <v>10</v>
      </c>
      <c r="E5565">
        <v>12</v>
      </c>
      <c r="F5565">
        <v>0</v>
      </c>
      <c r="G5565">
        <v>0</v>
      </c>
      <c r="H5565">
        <v>88</v>
      </c>
      <c r="I5565">
        <v>0</v>
      </c>
      <c r="J5565">
        <v>1</v>
      </c>
      <c r="K5565">
        <v>0</v>
      </c>
    </row>
    <row r="5566" spans="1:11" x14ac:dyDescent="0.2">
      <c r="A5566">
        <v>47970</v>
      </c>
      <c r="B5566">
        <v>301503</v>
      </c>
      <c r="C5566" t="s">
        <v>8878</v>
      </c>
      <c r="D5566">
        <v>10</v>
      </c>
      <c r="E5566">
        <v>12</v>
      </c>
      <c r="F5566">
        <v>0</v>
      </c>
      <c r="G5566">
        <v>0</v>
      </c>
      <c r="H5566">
        <v>104</v>
      </c>
      <c r="I5566">
        <v>0</v>
      </c>
      <c r="J5566">
        <v>1</v>
      </c>
      <c r="K5566">
        <v>0</v>
      </c>
    </row>
    <row r="5567" spans="1:11" x14ac:dyDescent="0.2">
      <c r="A5567">
        <v>47971</v>
      </c>
      <c r="B5567">
        <v>301506</v>
      </c>
      <c r="C5567" t="s">
        <v>8879</v>
      </c>
      <c r="D5567">
        <v>10</v>
      </c>
      <c r="E5567">
        <v>12</v>
      </c>
      <c r="F5567">
        <v>0</v>
      </c>
      <c r="G5567">
        <v>0</v>
      </c>
      <c r="H5567">
        <v>144</v>
      </c>
      <c r="I5567">
        <v>0</v>
      </c>
      <c r="J5567">
        <v>1</v>
      </c>
      <c r="K5567">
        <v>0</v>
      </c>
    </row>
    <row r="5568" spans="1:11" x14ac:dyDescent="0.2">
      <c r="A5568">
        <v>47972</v>
      </c>
      <c r="B5568">
        <v>301507</v>
      </c>
      <c r="C5568" t="s">
        <v>8880</v>
      </c>
      <c r="D5568">
        <v>10</v>
      </c>
      <c r="E5568">
        <v>12</v>
      </c>
      <c r="F5568">
        <v>0</v>
      </c>
      <c r="G5568">
        <v>0</v>
      </c>
      <c r="H5568">
        <v>108</v>
      </c>
      <c r="I5568">
        <v>0</v>
      </c>
      <c r="J5568">
        <v>1</v>
      </c>
      <c r="K5568">
        <v>0</v>
      </c>
    </row>
    <row r="5569" spans="1:11" x14ac:dyDescent="0.2">
      <c r="A5569">
        <v>47973</v>
      </c>
      <c r="B5569">
        <v>301510</v>
      </c>
      <c r="C5569" t="s">
        <v>8881</v>
      </c>
      <c r="D5569">
        <v>10</v>
      </c>
      <c r="E5569">
        <v>12</v>
      </c>
      <c r="F5569">
        <v>0</v>
      </c>
      <c r="G5569">
        <v>0</v>
      </c>
      <c r="H5569">
        <v>80</v>
      </c>
      <c r="I5569">
        <v>0</v>
      </c>
      <c r="J5569">
        <v>1</v>
      </c>
      <c r="K5569">
        <v>0</v>
      </c>
    </row>
    <row r="5570" spans="1:11" x14ac:dyDescent="0.2">
      <c r="A5570">
        <v>47974</v>
      </c>
      <c r="B5570">
        <v>301513</v>
      </c>
      <c r="C5570" t="s">
        <v>7644</v>
      </c>
      <c r="D5570">
        <v>10</v>
      </c>
      <c r="E5570">
        <v>12</v>
      </c>
      <c r="F5570">
        <v>0</v>
      </c>
      <c r="G5570">
        <v>0</v>
      </c>
      <c r="H5570">
        <v>180</v>
      </c>
      <c r="I5570">
        <v>0</v>
      </c>
      <c r="J5570">
        <v>1</v>
      </c>
      <c r="K5570">
        <v>0</v>
      </c>
    </row>
    <row r="5571" spans="1:11" x14ac:dyDescent="0.2">
      <c r="B5571">
        <v>301514</v>
      </c>
      <c r="C5571" t="s">
        <v>8882</v>
      </c>
      <c r="D5571">
        <v>6</v>
      </c>
      <c r="E5571">
        <v>12</v>
      </c>
      <c r="F5571">
        <v>0</v>
      </c>
      <c r="G5571">
        <v>0</v>
      </c>
      <c r="H5571">
        <v>100</v>
      </c>
      <c r="I5571">
        <v>0</v>
      </c>
      <c r="J5571">
        <v>7.99</v>
      </c>
      <c r="K5571">
        <v>0</v>
      </c>
    </row>
    <row r="5572" spans="1:11" x14ac:dyDescent="0.2">
      <c r="A5572">
        <v>47975</v>
      </c>
      <c r="B5572">
        <v>301515</v>
      </c>
      <c r="C5572" t="s">
        <v>8883</v>
      </c>
      <c r="D5572">
        <v>10</v>
      </c>
      <c r="E5572">
        <v>12</v>
      </c>
      <c r="F5572">
        <v>0</v>
      </c>
      <c r="G5572">
        <v>0</v>
      </c>
      <c r="H5572">
        <v>30</v>
      </c>
      <c r="I5572">
        <v>0</v>
      </c>
      <c r="J5572">
        <v>1</v>
      </c>
      <c r="K5572">
        <v>0</v>
      </c>
    </row>
    <row r="5573" spans="1:11" x14ac:dyDescent="0.2">
      <c r="A5573">
        <v>47976</v>
      </c>
      <c r="B5573">
        <v>301516</v>
      </c>
      <c r="C5573" t="s">
        <v>8869</v>
      </c>
      <c r="D5573">
        <v>10</v>
      </c>
      <c r="E5573">
        <v>12</v>
      </c>
      <c r="F5573">
        <v>0</v>
      </c>
      <c r="G5573">
        <v>0</v>
      </c>
      <c r="H5573">
        <v>80</v>
      </c>
      <c r="I5573">
        <v>0</v>
      </c>
      <c r="J5573">
        <v>1</v>
      </c>
      <c r="K5573">
        <v>0</v>
      </c>
    </row>
    <row r="5574" spans="1:11" x14ac:dyDescent="0.2">
      <c r="A5574">
        <v>52005</v>
      </c>
      <c r="B5574">
        <v>301518</v>
      </c>
      <c r="C5574" t="s">
        <v>8884</v>
      </c>
      <c r="D5574">
        <v>10</v>
      </c>
      <c r="E5574">
        <v>8</v>
      </c>
      <c r="F5574">
        <v>246</v>
      </c>
      <c r="G5574">
        <v>1968</v>
      </c>
      <c r="H5574">
        <v>54</v>
      </c>
      <c r="I5574">
        <v>4.5999999999999996</v>
      </c>
      <c r="J5574">
        <v>11.99</v>
      </c>
      <c r="K5574">
        <v>23596.32</v>
      </c>
    </row>
    <row r="5575" spans="1:11" x14ac:dyDescent="0.2">
      <c r="A5575">
        <v>52006</v>
      </c>
      <c r="B5575">
        <v>301532</v>
      </c>
      <c r="C5575" t="s">
        <v>8885</v>
      </c>
      <c r="D5575">
        <v>10</v>
      </c>
      <c r="E5575">
        <v>8</v>
      </c>
      <c r="F5575">
        <v>363</v>
      </c>
      <c r="G5575">
        <v>2904</v>
      </c>
      <c r="H5575">
        <v>32</v>
      </c>
      <c r="I5575">
        <v>11.3</v>
      </c>
      <c r="J5575">
        <v>19.989999999999998</v>
      </c>
      <c r="K5575">
        <v>58050.96</v>
      </c>
    </row>
    <row r="5576" spans="1:11" x14ac:dyDescent="0.2">
      <c r="A5576">
        <v>52007</v>
      </c>
      <c r="B5576">
        <v>301541</v>
      </c>
      <c r="C5576" t="s">
        <v>8886</v>
      </c>
      <c r="D5576">
        <v>10</v>
      </c>
      <c r="E5576">
        <v>8</v>
      </c>
      <c r="F5576">
        <v>288</v>
      </c>
      <c r="G5576">
        <v>2304</v>
      </c>
      <c r="H5576">
        <v>100</v>
      </c>
      <c r="I5576">
        <v>2.9</v>
      </c>
      <c r="J5576">
        <v>22.99</v>
      </c>
      <c r="K5576">
        <v>52968.959999999999</v>
      </c>
    </row>
    <row r="5577" spans="1:11" x14ac:dyDescent="0.2">
      <c r="A5577">
        <v>47977</v>
      </c>
      <c r="B5577">
        <v>301550</v>
      </c>
      <c r="C5577" t="s">
        <v>8887</v>
      </c>
      <c r="D5577">
        <v>10</v>
      </c>
      <c r="E5577">
        <v>14</v>
      </c>
      <c r="F5577">
        <v>0</v>
      </c>
      <c r="G5577">
        <v>0</v>
      </c>
      <c r="H5577">
        <v>120</v>
      </c>
      <c r="I5577">
        <v>0</v>
      </c>
      <c r="J5577">
        <v>1</v>
      </c>
      <c r="K5577">
        <v>0</v>
      </c>
    </row>
    <row r="5578" spans="1:11" x14ac:dyDescent="0.2">
      <c r="A5578">
        <v>47978</v>
      </c>
      <c r="B5578">
        <v>301551</v>
      </c>
      <c r="C5578" t="s">
        <v>8888</v>
      </c>
      <c r="D5578">
        <v>10</v>
      </c>
      <c r="E5578">
        <v>14</v>
      </c>
      <c r="F5578">
        <v>0</v>
      </c>
      <c r="G5578">
        <v>0</v>
      </c>
      <c r="H5578">
        <v>100</v>
      </c>
      <c r="I5578">
        <v>0</v>
      </c>
      <c r="J5578">
        <v>1</v>
      </c>
      <c r="K5578">
        <v>0</v>
      </c>
    </row>
    <row r="5579" spans="1:11" x14ac:dyDescent="0.2">
      <c r="A5579">
        <v>47979</v>
      </c>
      <c r="B5579">
        <v>301552</v>
      </c>
      <c r="C5579" t="s">
        <v>8217</v>
      </c>
      <c r="D5579">
        <v>10</v>
      </c>
      <c r="E5579">
        <v>14</v>
      </c>
      <c r="F5579">
        <v>0</v>
      </c>
      <c r="G5579">
        <v>0</v>
      </c>
      <c r="H5579">
        <v>99</v>
      </c>
      <c r="I5579">
        <v>0</v>
      </c>
      <c r="J5579">
        <v>1</v>
      </c>
      <c r="K5579">
        <v>0</v>
      </c>
    </row>
    <row r="5580" spans="1:11" x14ac:dyDescent="0.2">
      <c r="A5580">
        <v>47980</v>
      </c>
      <c r="B5580">
        <v>301553</v>
      </c>
      <c r="C5580" t="s">
        <v>8218</v>
      </c>
      <c r="D5580">
        <v>10</v>
      </c>
      <c r="E5580">
        <v>14</v>
      </c>
      <c r="F5580">
        <v>0</v>
      </c>
      <c r="G5580">
        <v>0</v>
      </c>
      <c r="H5580">
        <v>99</v>
      </c>
      <c r="I5580">
        <v>0</v>
      </c>
      <c r="J5580">
        <v>1</v>
      </c>
      <c r="K5580">
        <v>0</v>
      </c>
    </row>
    <row r="5581" spans="1:11" x14ac:dyDescent="0.2">
      <c r="A5581">
        <v>47981</v>
      </c>
      <c r="B5581">
        <v>301554</v>
      </c>
      <c r="C5581" t="s">
        <v>8889</v>
      </c>
      <c r="D5581">
        <v>10</v>
      </c>
      <c r="E5581">
        <v>14</v>
      </c>
      <c r="F5581">
        <v>0</v>
      </c>
      <c r="G5581">
        <v>0</v>
      </c>
      <c r="H5581">
        <v>88</v>
      </c>
      <c r="I5581">
        <v>0</v>
      </c>
      <c r="J5581">
        <v>1</v>
      </c>
      <c r="K5581">
        <v>0</v>
      </c>
    </row>
    <row r="5582" spans="1:11" x14ac:dyDescent="0.2">
      <c r="A5582">
        <v>36419</v>
      </c>
      <c r="B5582">
        <v>301555</v>
      </c>
      <c r="C5582" t="s">
        <v>8890</v>
      </c>
      <c r="D5582">
        <v>10</v>
      </c>
      <c r="E5582">
        <v>14</v>
      </c>
      <c r="F5582">
        <v>0</v>
      </c>
      <c r="G5582">
        <v>0</v>
      </c>
      <c r="H5582">
        <v>66</v>
      </c>
      <c r="I5582">
        <v>0</v>
      </c>
      <c r="J5582">
        <v>1</v>
      </c>
      <c r="K5582">
        <v>0</v>
      </c>
    </row>
    <row r="5583" spans="1:11" x14ac:dyDescent="0.2">
      <c r="A5583">
        <v>47982</v>
      </c>
      <c r="B5583">
        <v>301556</v>
      </c>
      <c r="C5583" t="s">
        <v>8891</v>
      </c>
      <c r="D5583">
        <v>10</v>
      </c>
      <c r="E5583">
        <v>14</v>
      </c>
      <c r="F5583">
        <v>0</v>
      </c>
      <c r="G5583">
        <v>0</v>
      </c>
      <c r="H5583">
        <v>88</v>
      </c>
      <c r="I5583">
        <v>0</v>
      </c>
      <c r="J5583">
        <v>1</v>
      </c>
      <c r="K5583">
        <v>0</v>
      </c>
    </row>
    <row r="5584" spans="1:11" x14ac:dyDescent="0.2">
      <c r="A5584">
        <v>36421</v>
      </c>
      <c r="B5584">
        <v>301557</v>
      </c>
      <c r="C5584" t="s">
        <v>8892</v>
      </c>
      <c r="D5584">
        <v>10</v>
      </c>
      <c r="E5584">
        <v>14</v>
      </c>
      <c r="F5584">
        <v>0</v>
      </c>
      <c r="G5584">
        <v>0</v>
      </c>
      <c r="H5584">
        <v>100</v>
      </c>
      <c r="I5584">
        <v>0</v>
      </c>
      <c r="J5584">
        <v>1</v>
      </c>
      <c r="K5584">
        <v>0</v>
      </c>
    </row>
    <row r="5585" spans="1:11" x14ac:dyDescent="0.2">
      <c r="A5585">
        <v>47983</v>
      </c>
      <c r="B5585">
        <v>301558</v>
      </c>
      <c r="C5585" t="s">
        <v>8893</v>
      </c>
      <c r="D5585">
        <v>10</v>
      </c>
      <c r="E5585">
        <v>21</v>
      </c>
      <c r="F5585">
        <v>0</v>
      </c>
      <c r="G5585">
        <v>1</v>
      </c>
      <c r="H5585">
        <v>63</v>
      </c>
      <c r="I5585">
        <v>0</v>
      </c>
      <c r="J5585">
        <v>1</v>
      </c>
      <c r="K5585">
        <v>1</v>
      </c>
    </row>
    <row r="5586" spans="1:11" x14ac:dyDescent="0.2">
      <c r="A5586">
        <v>47984</v>
      </c>
      <c r="B5586">
        <v>301559</v>
      </c>
      <c r="C5586" t="s">
        <v>8894</v>
      </c>
      <c r="D5586">
        <v>10</v>
      </c>
      <c r="E5586">
        <v>21</v>
      </c>
      <c r="F5586">
        <v>0</v>
      </c>
      <c r="G5586">
        <v>0</v>
      </c>
      <c r="H5586">
        <v>63</v>
      </c>
      <c r="I5586">
        <v>0</v>
      </c>
      <c r="J5586">
        <v>1</v>
      </c>
      <c r="K5586">
        <v>0</v>
      </c>
    </row>
    <row r="5587" spans="1:11" x14ac:dyDescent="0.2">
      <c r="A5587">
        <v>52008</v>
      </c>
      <c r="B5587">
        <v>301560</v>
      </c>
      <c r="C5587" t="s">
        <v>8895</v>
      </c>
      <c r="D5587">
        <v>10</v>
      </c>
      <c r="E5587">
        <v>9</v>
      </c>
      <c r="F5587">
        <v>1211</v>
      </c>
      <c r="G5587">
        <v>10899</v>
      </c>
      <c r="H5587">
        <v>36</v>
      </c>
      <c r="I5587">
        <v>33.6</v>
      </c>
      <c r="J5587">
        <v>6.99</v>
      </c>
      <c r="K5587">
        <v>76184.009999999995</v>
      </c>
    </row>
    <row r="5588" spans="1:11" x14ac:dyDescent="0.2">
      <c r="A5588">
        <v>52009</v>
      </c>
      <c r="B5588">
        <v>301561</v>
      </c>
      <c r="C5588" t="s">
        <v>8896</v>
      </c>
      <c r="D5588">
        <v>10</v>
      </c>
      <c r="E5588">
        <v>9</v>
      </c>
      <c r="F5588">
        <v>288</v>
      </c>
      <c r="G5588">
        <v>2592</v>
      </c>
      <c r="H5588">
        <v>100</v>
      </c>
      <c r="I5588">
        <v>2.9</v>
      </c>
      <c r="J5588">
        <v>8.99</v>
      </c>
      <c r="K5588">
        <v>23302.080000000002</v>
      </c>
    </row>
    <row r="5589" spans="1:11" x14ac:dyDescent="0.2">
      <c r="A5589">
        <v>36424</v>
      </c>
      <c r="B5589">
        <v>301562</v>
      </c>
      <c r="C5589" t="s">
        <v>8897</v>
      </c>
      <c r="D5589">
        <v>10</v>
      </c>
      <c r="E5589">
        <v>10</v>
      </c>
      <c r="F5589">
        <v>0</v>
      </c>
      <c r="G5589">
        <v>0</v>
      </c>
      <c r="H5589">
        <v>45</v>
      </c>
      <c r="I5589">
        <v>0</v>
      </c>
      <c r="J5589">
        <v>1</v>
      </c>
      <c r="K5589">
        <v>0</v>
      </c>
    </row>
    <row r="5590" spans="1:11" x14ac:dyDescent="0.2">
      <c r="A5590">
        <v>36425</v>
      </c>
      <c r="B5590">
        <v>301563</v>
      </c>
      <c r="C5590" t="s">
        <v>8898</v>
      </c>
      <c r="D5590">
        <v>10</v>
      </c>
      <c r="E5590">
        <v>10</v>
      </c>
      <c r="F5590">
        <v>0</v>
      </c>
      <c r="G5590">
        <v>0</v>
      </c>
      <c r="H5590">
        <v>45</v>
      </c>
      <c r="I5590">
        <v>0</v>
      </c>
      <c r="J5590">
        <v>1</v>
      </c>
      <c r="K5590">
        <v>0</v>
      </c>
    </row>
    <row r="5591" spans="1:11" x14ac:dyDescent="0.2">
      <c r="A5591">
        <v>52010</v>
      </c>
      <c r="B5591">
        <v>301566</v>
      </c>
      <c r="C5591" t="s">
        <v>8899</v>
      </c>
      <c r="D5591">
        <v>10</v>
      </c>
      <c r="E5591">
        <v>22</v>
      </c>
      <c r="F5591">
        <v>516</v>
      </c>
      <c r="G5591">
        <v>11352</v>
      </c>
      <c r="H5591">
        <v>4</v>
      </c>
      <c r="I5591">
        <v>129</v>
      </c>
      <c r="J5591">
        <v>5.99</v>
      </c>
      <c r="K5591">
        <v>67998.48</v>
      </c>
    </row>
    <row r="5592" spans="1:11" x14ac:dyDescent="0.2">
      <c r="A5592">
        <v>52011</v>
      </c>
      <c r="B5592">
        <v>301567</v>
      </c>
      <c r="C5592" t="s">
        <v>8900</v>
      </c>
      <c r="D5592">
        <v>10</v>
      </c>
      <c r="E5592">
        <v>20</v>
      </c>
      <c r="F5592">
        <v>336</v>
      </c>
      <c r="G5592">
        <v>6720</v>
      </c>
      <c r="H5592">
        <v>4</v>
      </c>
      <c r="I5592">
        <v>84</v>
      </c>
      <c r="J5592">
        <v>7.99</v>
      </c>
      <c r="K5592">
        <v>53692.800000000003</v>
      </c>
    </row>
    <row r="5593" spans="1:11" x14ac:dyDescent="0.2">
      <c r="A5593">
        <v>52012</v>
      </c>
      <c r="B5593">
        <v>301568</v>
      </c>
      <c r="C5593" t="s">
        <v>8901</v>
      </c>
      <c r="D5593">
        <v>10</v>
      </c>
      <c r="E5593">
        <v>6</v>
      </c>
      <c r="F5593">
        <v>256</v>
      </c>
      <c r="G5593">
        <v>1536</v>
      </c>
      <c r="H5593">
        <v>16</v>
      </c>
      <c r="I5593">
        <v>16</v>
      </c>
      <c r="J5593">
        <v>14.99</v>
      </c>
      <c r="K5593">
        <v>23024.639999999999</v>
      </c>
    </row>
    <row r="5594" spans="1:11" x14ac:dyDescent="0.2">
      <c r="A5594">
        <v>52013</v>
      </c>
      <c r="B5594">
        <v>301569</v>
      </c>
      <c r="C5594" t="s">
        <v>8902</v>
      </c>
      <c r="D5594">
        <v>10</v>
      </c>
      <c r="E5594">
        <v>6</v>
      </c>
      <c r="F5594">
        <v>288</v>
      </c>
      <c r="G5594">
        <v>1728</v>
      </c>
      <c r="H5594">
        <v>8</v>
      </c>
      <c r="I5594">
        <v>36</v>
      </c>
      <c r="J5594">
        <v>24.99</v>
      </c>
      <c r="K5594">
        <v>43182.720000000001</v>
      </c>
    </row>
    <row r="5595" spans="1:11" x14ac:dyDescent="0.2">
      <c r="A5595">
        <v>40402</v>
      </c>
      <c r="B5595">
        <v>301571</v>
      </c>
      <c r="C5595" t="s">
        <v>8903</v>
      </c>
      <c r="D5595">
        <v>10</v>
      </c>
      <c r="E5595">
        <v>20</v>
      </c>
      <c r="F5595">
        <v>0</v>
      </c>
      <c r="G5595">
        <v>0</v>
      </c>
      <c r="H5595">
        <v>24</v>
      </c>
      <c r="I5595">
        <v>0</v>
      </c>
      <c r="J5595">
        <v>11.99</v>
      </c>
      <c r="K5595">
        <v>0</v>
      </c>
    </row>
    <row r="5596" spans="1:11" x14ac:dyDescent="0.2">
      <c r="A5596">
        <v>40405</v>
      </c>
      <c r="B5596">
        <v>301572</v>
      </c>
      <c r="C5596" t="s">
        <v>8904</v>
      </c>
      <c r="D5596">
        <v>10</v>
      </c>
      <c r="E5596">
        <v>20</v>
      </c>
      <c r="F5596">
        <v>0</v>
      </c>
      <c r="G5596">
        <v>0</v>
      </c>
      <c r="H5596">
        <v>24</v>
      </c>
      <c r="I5596">
        <v>0</v>
      </c>
      <c r="J5596">
        <v>11.99</v>
      </c>
      <c r="K5596">
        <v>0</v>
      </c>
    </row>
    <row r="5597" spans="1:11" x14ac:dyDescent="0.2">
      <c r="A5597">
        <v>52014</v>
      </c>
      <c r="B5597">
        <v>301575</v>
      </c>
      <c r="C5597" t="s">
        <v>8905</v>
      </c>
      <c r="D5597">
        <v>10</v>
      </c>
      <c r="E5597">
        <v>4</v>
      </c>
      <c r="F5597">
        <v>240</v>
      </c>
      <c r="G5597">
        <v>960</v>
      </c>
      <c r="H5597">
        <v>100</v>
      </c>
      <c r="I5597">
        <v>2.4</v>
      </c>
      <c r="J5597">
        <v>29.99</v>
      </c>
      <c r="K5597">
        <v>28790.400000000001</v>
      </c>
    </row>
    <row r="5598" spans="1:11" x14ac:dyDescent="0.2">
      <c r="A5598">
        <v>42410</v>
      </c>
      <c r="B5598">
        <v>301613</v>
      </c>
      <c r="C5598" t="s">
        <v>8906</v>
      </c>
      <c r="D5598">
        <v>10</v>
      </c>
      <c r="E5598">
        <v>12</v>
      </c>
      <c r="F5598">
        <v>-2</v>
      </c>
      <c r="G5598">
        <v>-24</v>
      </c>
      <c r="H5598">
        <v>85</v>
      </c>
      <c r="I5598">
        <v>0</v>
      </c>
      <c r="J5598">
        <v>1</v>
      </c>
      <c r="K5598">
        <v>-24</v>
      </c>
    </row>
    <row r="5599" spans="1:11" x14ac:dyDescent="0.2">
      <c r="A5599">
        <v>39415</v>
      </c>
      <c r="B5599">
        <v>301616</v>
      </c>
      <c r="C5599" t="s">
        <v>8147</v>
      </c>
      <c r="D5599">
        <v>10</v>
      </c>
      <c r="E5599">
        <v>18</v>
      </c>
      <c r="F5599">
        <v>0</v>
      </c>
      <c r="G5599">
        <v>0</v>
      </c>
      <c r="H5599">
        <v>80</v>
      </c>
      <c r="I5599">
        <v>0</v>
      </c>
      <c r="J5599">
        <v>1</v>
      </c>
      <c r="K5599">
        <v>0</v>
      </c>
    </row>
    <row r="5600" spans="1:11" x14ac:dyDescent="0.2">
      <c r="A5600">
        <v>39416</v>
      </c>
      <c r="B5600">
        <v>301618</v>
      </c>
      <c r="C5600" t="s">
        <v>8152</v>
      </c>
      <c r="D5600">
        <v>10</v>
      </c>
      <c r="E5600">
        <v>14</v>
      </c>
      <c r="F5600">
        <v>0</v>
      </c>
      <c r="G5600">
        <v>0</v>
      </c>
      <c r="H5600">
        <v>78</v>
      </c>
      <c r="I5600">
        <v>0</v>
      </c>
      <c r="J5600">
        <v>1</v>
      </c>
      <c r="K5600">
        <v>0</v>
      </c>
    </row>
    <row r="5601" spans="1:11" x14ac:dyDescent="0.2">
      <c r="A5601">
        <v>39417</v>
      </c>
      <c r="B5601">
        <v>301623</v>
      </c>
      <c r="C5601" t="s">
        <v>8869</v>
      </c>
      <c r="D5601">
        <v>10</v>
      </c>
      <c r="E5601">
        <v>12</v>
      </c>
      <c r="F5601">
        <v>1</v>
      </c>
      <c r="G5601">
        <v>12</v>
      </c>
      <c r="H5601">
        <v>85</v>
      </c>
      <c r="I5601">
        <v>0</v>
      </c>
      <c r="J5601">
        <v>1</v>
      </c>
      <c r="K5601">
        <v>12</v>
      </c>
    </row>
    <row r="5602" spans="1:11" x14ac:dyDescent="0.2">
      <c r="A5602">
        <v>39418</v>
      </c>
      <c r="B5602">
        <v>301642</v>
      </c>
      <c r="C5602" t="s">
        <v>8491</v>
      </c>
      <c r="D5602">
        <v>10</v>
      </c>
      <c r="E5602">
        <v>12</v>
      </c>
      <c r="F5602">
        <v>0</v>
      </c>
      <c r="G5602">
        <v>0</v>
      </c>
      <c r="H5602">
        <v>24</v>
      </c>
      <c r="I5602">
        <v>0</v>
      </c>
      <c r="J5602">
        <v>1</v>
      </c>
      <c r="K5602">
        <v>0</v>
      </c>
    </row>
    <row r="5603" spans="1:11" x14ac:dyDescent="0.2">
      <c r="A5603">
        <v>39419</v>
      </c>
      <c r="B5603">
        <v>301647</v>
      </c>
      <c r="C5603" t="s">
        <v>8907</v>
      </c>
      <c r="D5603">
        <v>10</v>
      </c>
      <c r="E5603">
        <v>12</v>
      </c>
      <c r="F5603">
        <v>0</v>
      </c>
      <c r="G5603">
        <v>0</v>
      </c>
      <c r="H5603">
        <v>25</v>
      </c>
      <c r="I5603">
        <v>0</v>
      </c>
      <c r="J5603">
        <v>1</v>
      </c>
      <c r="K5603">
        <v>0</v>
      </c>
    </row>
    <row r="5604" spans="1:11" x14ac:dyDescent="0.2">
      <c r="A5604">
        <v>39420</v>
      </c>
      <c r="B5604">
        <v>301652</v>
      </c>
      <c r="C5604" t="s">
        <v>8008</v>
      </c>
      <c r="D5604">
        <v>10</v>
      </c>
      <c r="E5604">
        <v>14</v>
      </c>
      <c r="F5604">
        <v>3</v>
      </c>
      <c r="G5604">
        <v>42</v>
      </c>
      <c r="H5604">
        <v>42</v>
      </c>
      <c r="I5604">
        <v>0.1</v>
      </c>
      <c r="J5604">
        <v>1</v>
      </c>
      <c r="K5604">
        <v>42</v>
      </c>
    </row>
    <row r="5605" spans="1:11" x14ac:dyDescent="0.2">
      <c r="A5605">
        <v>51113</v>
      </c>
      <c r="B5605">
        <v>301663</v>
      </c>
      <c r="C5605" t="s">
        <v>8908</v>
      </c>
      <c r="D5605">
        <v>10</v>
      </c>
      <c r="E5605">
        <v>16</v>
      </c>
      <c r="F5605">
        <v>12</v>
      </c>
      <c r="G5605">
        <v>192</v>
      </c>
      <c r="H5605">
        <v>80</v>
      </c>
      <c r="I5605">
        <v>0.2</v>
      </c>
      <c r="J5605">
        <v>3.99</v>
      </c>
      <c r="K5605">
        <v>766.08</v>
      </c>
    </row>
    <row r="5606" spans="1:11" x14ac:dyDescent="0.2">
      <c r="A5606">
        <v>51112</v>
      </c>
      <c r="B5606">
        <v>301665</v>
      </c>
      <c r="C5606" t="s">
        <v>8909</v>
      </c>
      <c r="D5606">
        <v>10</v>
      </c>
      <c r="E5606">
        <v>10</v>
      </c>
      <c r="F5606">
        <v>8</v>
      </c>
      <c r="G5606">
        <v>80</v>
      </c>
      <c r="H5606">
        <v>60</v>
      </c>
      <c r="I5606">
        <v>0.1</v>
      </c>
      <c r="J5606">
        <v>5.99</v>
      </c>
      <c r="K5606">
        <v>479.2</v>
      </c>
    </row>
    <row r="5607" spans="1:11" x14ac:dyDescent="0.2">
      <c r="A5607">
        <v>52020</v>
      </c>
      <c r="B5607">
        <v>301684</v>
      </c>
      <c r="C5607" t="s">
        <v>8910</v>
      </c>
      <c r="D5607">
        <v>10</v>
      </c>
      <c r="E5607">
        <v>8</v>
      </c>
      <c r="F5607">
        <v>320</v>
      </c>
      <c r="G5607">
        <v>2560</v>
      </c>
      <c r="H5607">
        <v>40</v>
      </c>
      <c r="I5607">
        <v>8</v>
      </c>
      <c r="J5607">
        <v>14.99</v>
      </c>
      <c r="K5607">
        <v>38374.400000000001</v>
      </c>
    </row>
    <row r="5608" spans="1:11" x14ac:dyDescent="0.2">
      <c r="A5608">
        <v>52021</v>
      </c>
      <c r="B5608">
        <v>301687</v>
      </c>
      <c r="C5608" t="s">
        <v>8911</v>
      </c>
      <c r="D5608">
        <v>10</v>
      </c>
      <c r="E5608">
        <v>6</v>
      </c>
      <c r="F5608">
        <v>300</v>
      </c>
      <c r="G5608">
        <v>1800</v>
      </c>
      <c r="H5608">
        <v>30</v>
      </c>
      <c r="I5608">
        <v>10</v>
      </c>
      <c r="J5608">
        <v>18.989999999999998</v>
      </c>
      <c r="K5608">
        <v>34182</v>
      </c>
    </row>
    <row r="5609" spans="1:11" x14ac:dyDescent="0.2">
      <c r="A5609">
        <v>47985</v>
      </c>
      <c r="B5609">
        <v>301690</v>
      </c>
      <c r="C5609" t="s">
        <v>8912</v>
      </c>
      <c r="D5609">
        <v>6</v>
      </c>
      <c r="E5609">
        <v>14</v>
      </c>
      <c r="F5609">
        <v>0</v>
      </c>
      <c r="G5609">
        <v>0</v>
      </c>
      <c r="H5609">
        <v>100</v>
      </c>
      <c r="I5609">
        <v>0</v>
      </c>
      <c r="J5609">
        <v>1</v>
      </c>
      <c r="K5609">
        <v>0</v>
      </c>
    </row>
    <row r="5610" spans="1:11" x14ac:dyDescent="0.2">
      <c r="A5610">
        <v>47986</v>
      </c>
      <c r="B5610">
        <v>301691</v>
      </c>
      <c r="C5610" t="s">
        <v>8913</v>
      </c>
      <c r="D5610">
        <v>10</v>
      </c>
      <c r="E5610">
        <v>14</v>
      </c>
      <c r="F5610">
        <v>0</v>
      </c>
      <c r="G5610">
        <v>0</v>
      </c>
      <c r="H5610">
        <v>42</v>
      </c>
      <c r="I5610">
        <v>0</v>
      </c>
      <c r="J5610">
        <v>1</v>
      </c>
      <c r="K5610">
        <v>0</v>
      </c>
    </row>
    <row r="5611" spans="1:11" x14ac:dyDescent="0.2">
      <c r="A5611">
        <v>43993</v>
      </c>
      <c r="B5611">
        <v>301693</v>
      </c>
      <c r="C5611" t="s">
        <v>8914</v>
      </c>
      <c r="D5611">
        <v>10</v>
      </c>
      <c r="E5611">
        <v>14</v>
      </c>
      <c r="F5611">
        <v>0</v>
      </c>
      <c r="G5611">
        <v>0</v>
      </c>
      <c r="H5611">
        <v>25</v>
      </c>
      <c r="I5611">
        <v>0</v>
      </c>
      <c r="J5611">
        <v>1</v>
      </c>
      <c r="K5611">
        <v>0</v>
      </c>
    </row>
    <row r="5612" spans="1:11" x14ac:dyDescent="0.2">
      <c r="A5612">
        <v>43994</v>
      </c>
      <c r="B5612">
        <v>301694</v>
      </c>
      <c r="C5612" t="s">
        <v>8156</v>
      </c>
      <c r="D5612">
        <v>10</v>
      </c>
      <c r="E5612">
        <v>16</v>
      </c>
      <c r="F5612">
        <v>0</v>
      </c>
      <c r="G5612">
        <v>0</v>
      </c>
      <c r="H5612">
        <v>135</v>
      </c>
      <c r="I5612">
        <v>0</v>
      </c>
      <c r="J5612">
        <v>1</v>
      </c>
      <c r="K5612">
        <v>0</v>
      </c>
    </row>
    <row r="5613" spans="1:11" x14ac:dyDescent="0.2">
      <c r="A5613">
        <v>43995</v>
      </c>
      <c r="B5613">
        <v>301697</v>
      </c>
      <c r="C5613" t="s">
        <v>8915</v>
      </c>
      <c r="D5613">
        <v>10</v>
      </c>
      <c r="E5613">
        <v>14</v>
      </c>
      <c r="F5613">
        <v>0</v>
      </c>
      <c r="G5613">
        <v>0</v>
      </c>
      <c r="H5613">
        <v>48</v>
      </c>
      <c r="I5613">
        <v>0</v>
      </c>
      <c r="J5613">
        <v>1</v>
      </c>
      <c r="K5613">
        <v>0</v>
      </c>
    </row>
    <row r="5614" spans="1:11" x14ac:dyDescent="0.2">
      <c r="A5614">
        <v>43996</v>
      </c>
      <c r="B5614">
        <v>301698</v>
      </c>
      <c r="C5614" t="s">
        <v>8491</v>
      </c>
      <c r="D5614">
        <v>10</v>
      </c>
      <c r="E5614">
        <v>14</v>
      </c>
      <c r="F5614">
        <v>0</v>
      </c>
      <c r="G5614">
        <v>0</v>
      </c>
      <c r="H5614">
        <v>36</v>
      </c>
      <c r="I5614">
        <v>0</v>
      </c>
      <c r="J5614">
        <v>1</v>
      </c>
      <c r="K5614">
        <v>0</v>
      </c>
    </row>
    <row r="5615" spans="1:11" x14ac:dyDescent="0.2">
      <c r="A5615">
        <v>43997</v>
      </c>
      <c r="B5615">
        <v>301699</v>
      </c>
      <c r="C5615" t="s">
        <v>8916</v>
      </c>
      <c r="D5615">
        <v>10</v>
      </c>
      <c r="E5615">
        <v>14</v>
      </c>
      <c r="F5615">
        <v>0</v>
      </c>
      <c r="G5615">
        <v>0</v>
      </c>
      <c r="H5615">
        <v>70</v>
      </c>
      <c r="I5615">
        <v>0</v>
      </c>
      <c r="J5615">
        <v>1</v>
      </c>
      <c r="K5615">
        <v>0</v>
      </c>
    </row>
    <row r="5616" spans="1:11" x14ac:dyDescent="0.2">
      <c r="A5616">
        <v>43998</v>
      </c>
      <c r="B5616">
        <v>301702</v>
      </c>
      <c r="C5616" t="s">
        <v>7603</v>
      </c>
      <c r="D5616">
        <v>10</v>
      </c>
      <c r="E5616">
        <v>14</v>
      </c>
      <c r="F5616">
        <v>0</v>
      </c>
      <c r="G5616">
        <v>0</v>
      </c>
      <c r="H5616">
        <v>117</v>
      </c>
      <c r="I5616">
        <v>0</v>
      </c>
      <c r="J5616">
        <v>1</v>
      </c>
      <c r="K5616">
        <v>0</v>
      </c>
    </row>
    <row r="5617" spans="1:11" x14ac:dyDescent="0.2">
      <c r="A5617">
        <v>51105</v>
      </c>
      <c r="B5617">
        <v>301712</v>
      </c>
      <c r="C5617" t="s">
        <v>8917</v>
      </c>
      <c r="D5617">
        <v>10</v>
      </c>
      <c r="E5617">
        <v>12</v>
      </c>
      <c r="F5617">
        <v>19</v>
      </c>
      <c r="G5617">
        <v>228</v>
      </c>
      <c r="H5617">
        <v>20</v>
      </c>
      <c r="I5617">
        <v>1</v>
      </c>
      <c r="J5617">
        <v>5.99</v>
      </c>
      <c r="K5617">
        <v>1365.72</v>
      </c>
    </row>
    <row r="5618" spans="1:11" x14ac:dyDescent="0.2">
      <c r="A5618">
        <v>52022</v>
      </c>
      <c r="B5618">
        <v>301717</v>
      </c>
      <c r="C5618" t="s">
        <v>8918</v>
      </c>
      <c r="D5618">
        <v>10</v>
      </c>
      <c r="E5618">
        <v>9</v>
      </c>
      <c r="F5618">
        <v>605</v>
      </c>
      <c r="G5618">
        <v>5445</v>
      </c>
      <c r="H5618">
        <v>55</v>
      </c>
      <c r="I5618">
        <v>11</v>
      </c>
      <c r="J5618">
        <v>5.99</v>
      </c>
      <c r="K5618">
        <v>32615.55</v>
      </c>
    </row>
    <row r="5619" spans="1:11" x14ac:dyDescent="0.2">
      <c r="A5619">
        <v>52023</v>
      </c>
      <c r="B5619">
        <v>301725</v>
      </c>
      <c r="C5619" t="s">
        <v>8919</v>
      </c>
      <c r="D5619">
        <v>10</v>
      </c>
      <c r="E5619">
        <v>9</v>
      </c>
      <c r="F5619">
        <v>480</v>
      </c>
      <c r="G5619">
        <v>4320</v>
      </c>
      <c r="H5619">
        <v>48</v>
      </c>
      <c r="I5619">
        <v>10</v>
      </c>
      <c r="J5619">
        <v>7.99</v>
      </c>
      <c r="K5619">
        <v>34516.800000000003</v>
      </c>
    </row>
    <row r="5620" spans="1:11" x14ac:dyDescent="0.2">
      <c r="A5620">
        <v>52024</v>
      </c>
      <c r="B5620">
        <v>301728</v>
      </c>
      <c r="C5620" t="s">
        <v>8920</v>
      </c>
      <c r="D5620">
        <v>10</v>
      </c>
      <c r="E5620">
        <v>12</v>
      </c>
      <c r="F5620">
        <v>398</v>
      </c>
      <c r="G5620">
        <v>4776</v>
      </c>
      <c r="H5620">
        <v>15</v>
      </c>
      <c r="I5620">
        <v>26.5</v>
      </c>
      <c r="J5620">
        <v>9.99</v>
      </c>
      <c r="K5620">
        <v>47712.24</v>
      </c>
    </row>
    <row r="5621" spans="1:11" x14ac:dyDescent="0.2">
      <c r="A5621">
        <v>40995</v>
      </c>
      <c r="B5621">
        <v>301799</v>
      </c>
      <c r="C5621" t="s">
        <v>8126</v>
      </c>
      <c r="D5621">
        <v>10</v>
      </c>
      <c r="E5621">
        <v>12</v>
      </c>
      <c r="F5621">
        <v>0</v>
      </c>
      <c r="G5621">
        <v>0</v>
      </c>
      <c r="H5621">
        <v>15</v>
      </c>
      <c r="I5621">
        <v>0</v>
      </c>
      <c r="J5621">
        <v>1</v>
      </c>
      <c r="K5621">
        <v>0</v>
      </c>
    </row>
    <row r="5622" spans="1:11" x14ac:dyDescent="0.2">
      <c r="A5622">
        <v>40996</v>
      </c>
      <c r="B5622">
        <v>301814</v>
      </c>
      <c r="C5622" t="s">
        <v>8128</v>
      </c>
      <c r="D5622">
        <v>10</v>
      </c>
      <c r="E5622">
        <v>18</v>
      </c>
      <c r="F5622">
        <v>0</v>
      </c>
      <c r="G5622">
        <v>0</v>
      </c>
      <c r="H5622">
        <v>24</v>
      </c>
      <c r="I5622">
        <v>0</v>
      </c>
      <c r="J5622">
        <v>1</v>
      </c>
      <c r="K5622">
        <v>0</v>
      </c>
    </row>
    <row r="5623" spans="1:11" x14ac:dyDescent="0.2">
      <c r="A5623">
        <v>39831</v>
      </c>
      <c r="B5623">
        <v>301820</v>
      </c>
      <c r="C5623" t="s">
        <v>8921</v>
      </c>
      <c r="D5623">
        <v>10</v>
      </c>
      <c r="E5623">
        <v>15</v>
      </c>
      <c r="F5623">
        <v>0</v>
      </c>
      <c r="G5623">
        <v>0</v>
      </c>
      <c r="H5623">
        <v>16</v>
      </c>
      <c r="I5623">
        <v>0</v>
      </c>
      <c r="J5623">
        <v>9.99</v>
      </c>
      <c r="K5623">
        <v>0</v>
      </c>
    </row>
    <row r="5624" spans="1:11" x14ac:dyDescent="0.2">
      <c r="A5624">
        <v>39832</v>
      </c>
      <c r="B5624">
        <v>301823</v>
      </c>
      <c r="C5624" t="s">
        <v>8922</v>
      </c>
      <c r="D5624">
        <v>10</v>
      </c>
      <c r="E5624">
        <v>15</v>
      </c>
      <c r="F5624">
        <v>0</v>
      </c>
      <c r="G5624">
        <v>0</v>
      </c>
      <c r="H5624">
        <v>12</v>
      </c>
      <c r="I5624">
        <v>0</v>
      </c>
      <c r="J5624">
        <v>9.99</v>
      </c>
      <c r="K5624">
        <v>0</v>
      </c>
    </row>
    <row r="5625" spans="1:11" x14ac:dyDescent="0.2">
      <c r="A5625">
        <v>40997</v>
      </c>
      <c r="B5625">
        <v>301830</v>
      </c>
      <c r="C5625" t="s">
        <v>8923</v>
      </c>
      <c r="D5625">
        <v>10</v>
      </c>
      <c r="E5625">
        <v>20</v>
      </c>
      <c r="F5625">
        <v>0</v>
      </c>
      <c r="G5625">
        <v>0</v>
      </c>
      <c r="H5625">
        <v>16</v>
      </c>
      <c r="I5625">
        <v>0</v>
      </c>
      <c r="J5625">
        <v>1</v>
      </c>
      <c r="K5625">
        <v>0</v>
      </c>
    </row>
    <row r="5626" spans="1:11" x14ac:dyDescent="0.2">
      <c r="A5626">
        <v>40998</v>
      </c>
      <c r="B5626">
        <v>301832</v>
      </c>
      <c r="C5626" t="s">
        <v>8924</v>
      </c>
      <c r="D5626">
        <v>10</v>
      </c>
      <c r="E5626">
        <v>16</v>
      </c>
      <c r="F5626">
        <v>0</v>
      </c>
      <c r="G5626">
        <v>0</v>
      </c>
      <c r="H5626">
        <v>63</v>
      </c>
      <c r="I5626">
        <v>0</v>
      </c>
      <c r="J5626">
        <v>1</v>
      </c>
      <c r="K5626">
        <v>0</v>
      </c>
    </row>
    <row r="5627" spans="1:11" x14ac:dyDescent="0.2">
      <c r="A5627">
        <v>47987</v>
      </c>
      <c r="B5627">
        <v>301853</v>
      </c>
      <c r="C5627" t="s">
        <v>8440</v>
      </c>
      <c r="D5627">
        <v>10</v>
      </c>
      <c r="E5627">
        <v>16</v>
      </c>
      <c r="F5627">
        <v>0</v>
      </c>
      <c r="G5627">
        <v>0</v>
      </c>
      <c r="H5627">
        <v>20</v>
      </c>
      <c r="I5627">
        <v>0</v>
      </c>
      <c r="J5627">
        <v>1</v>
      </c>
      <c r="K5627">
        <v>0</v>
      </c>
    </row>
    <row r="5628" spans="1:11" x14ac:dyDescent="0.2">
      <c r="A5628">
        <v>47988</v>
      </c>
      <c r="B5628">
        <v>301854</v>
      </c>
      <c r="C5628" t="s">
        <v>8441</v>
      </c>
      <c r="D5628">
        <v>10</v>
      </c>
      <c r="E5628">
        <v>16</v>
      </c>
      <c r="F5628">
        <v>0</v>
      </c>
      <c r="G5628">
        <v>0</v>
      </c>
      <c r="H5628">
        <v>30</v>
      </c>
      <c r="I5628">
        <v>0</v>
      </c>
      <c r="J5628">
        <v>1</v>
      </c>
      <c r="K5628">
        <v>0</v>
      </c>
    </row>
    <row r="5629" spans="1:11" x14ac:dyDescent="0.2">
      <c r="A5629">
        <v>47989</v>
      </c>
      <c r="B5629">
        <v>301870</v>
      </c>
      <c r="C5629" t="s">
        <v>8925</v>
      </c>
      <c r="D5629">
        <v>10</v>
      </c>
      <c r="E5629">
        <v>16</v>
      </c>
      <c r="F5629">
        <v>0</v>
      </c>
      <c r="G5629">
        <v>0</v>
      </c>
      <c r="H5629">
        <v>15</v>
      </c>
      <c r="I5629">
        <v>0</v>
      </c>
      <c r="J5629">
        <v>1</v>
      </c>
      <c r="K5629">
        <v>0</v>
      </c>
    </row>
    <row r="5630" spans="1:11" x14ac:dyDescent="0.2">
      <c r="A5630">
        <v>43999</v>
      </c>
      <c r="B5630">
        <v>301874</v>
      </c>
      <c r="C5630" t="s">
        <v>8126</v>
      </c>
      <c r="D5630">
        <v>10</v>
      </c>
      <c r="E5630">
        <v>12</v>
      </c>
      <c r="F5630">
        <v>0</v>
      </c>
      <c r="G5630">
        <v>0</v>
      </c>
      <c r="H5630">
        <v>18</v>
      </c>
      <c r="I5630">
        <v>0</v>
      </c>
      <c r="J5630">
        <v>1</v>
      </c>
      <c r="K5630">
        <v>0</v>
      </c>
    </row>
    <row r="5631" spans="1:11" x14ac:dyDescent="0.2">
      <c r="A5631">
        <v>44822</v>
      </c>
      <c r="B5631">
        <v>301876</v>
      </c>
      <c r="C5631" t="s">
        <v>8926</v>
      </c>
      <c r="D5631">
        <v>10</v>
      </c>
      <c r="E5631">
        <v>12</v>
      </c>
      <c r="F5631">
        <v>0</v>
      </c>
      <c r="G5631">
        <v>0</v>
      </c>
      <c r="H5631">
        <v>30</v>
      </c>
      <c r="I5631">
        <v>0</v>
      </c>
      <c r="J5631">
        <v>3.99</v>
      </c>
      <c r="K5631">
        <v>0</v>
      </c>
    </row>
    <row r="5632" spans="1:11" x14ac:dyDescent="0.2">
      <c r="A5632">
        <v>44823</v>
      </c>
      <c r="B5632">
        <v>301877</v>
      </c>
      <c r="C5632" t="s">
        <v>8927</v>
      </c>
      <c r="D5632">
        <v>10</v>
      </c>
      <c r="E5632">
        <v>12</v>
      </c>
      <c r="F5632">
        <v>0</v>
      </c>
      <c r="G5632">
        <v>0</v>
      </c>
      <c r="H5632">
        <v>24</v>
      </c>
      <c r="I5632">
        <v>0</v>
      </c>
      <c r="J5632">
        <v>3.99</v>
      </c>
      <c r="K5632">
        <v>0</v>
      </c>
    </row>
    <row r="5633" spans="1:11" x14ac:dyDescent="0.2">
      <c r="A5633">
        <v>47990</v>
      </c>
      <c r="B5633">
        <v>301926</v>
      </c>
      <c r="C5633" t="s">
        <v>8928</v>
      </c>
      <c r="D5633">
        <v>10</v>
      </c>
      <c r="E5633">
        <v>15</v>
      </c>
      <c r="F5633">
        <v>0</v>
      </c>
      <c r="G5633">
        <v>0</v>
      </c>
      <c r="H5633">
        <v>100</v>
      </c>
      <c r="I5633">
        <v>0</v>
      </c>
      <c r="J5633">
        <v>1</v>
      </c>
      <c r="K5633">
        <v>0</v>
      </c>
    </row>
    <row r="5634" spans="1:11" x14ac:dyDescent="0.2">
      <c r="A5634">
        <v>45425</v>
      </c>
      <c r="B5634">
        <v>301932</v>
      </c>
      <c r="C5634" t="s">
        <v>4459</v>
      </c>
      <c r="D5634">
        <v>10</v>
      </c>
      <c r="E5634">
        <v>7</v>
      </c>
      <c r="F5634">
        <v>-6</v>
      </c>
      <c r="G5634">
        <v>-43</v>
      </c>
      <c r="H5634">
        <v>20</v>
      </c>
      <c r="I5634">
        <v>-0.3</v>
      </c>
      <c r="J5634">
        <v>7.99</v>
      </c>
      <c r="K5634">
        <v>-343.57</v>
      </c>
    </row>
    <row r="5635" spans="1:11" x14ac:dyDescent="0.2">
      <c r="A5635">
        <v>39410</v>
      </c>
      <c r="B5635">
        <v>301949</v>
      </c>
      <c r="C5635" t="s">
        <v>8929</v>
      </c>
      <c r="D5635">
        <v>10</v>
      </c>
      <c r="E5635">
        <v>14</v>
      </c>
      <c r="F5635">
        <v>0</v>
      </c>
      <c r="G5635">
        <v>0</v>
      </c>
      <c r="H5635">
        <v>15</v>
      </c>
      <c r="I5635">
        <v>0</v>
      </c>
      <c r="J5635">
        <v>1</v>
      </c>
      <c r="K5635">
        <v>0</v>
      </c>
    </row>
    <row r="5636" spans="1:11" x14ac:dyDescent="0.2">
      <c r="A5636">
        <v>41402</v>
      </c>
      <c r="B5636">
        <v>301953</v>
      </c>
      <c r="C5636" t="s">
        <v>7819</v>
      </c>
      <c r="D5636">
        <v>10</v>
      </c>
      <c r="E5636">
        <v>14</v>
      </c>
      <c r="F5636">
        <v>-1</v>
      </c>
      <c r="G5636">
        <v>-14</v>
      </c>
      <c r="H5636">
        <v>70</v>
      </c>
      <c r="I5636">
        <v>0</v>
      </c>
      <c r="J5636">
        <v>1.99</v>
      </c>
      <c r="K5636">
        <v>-27.86</v>
      </c>
    </row>
    <row r="5637" spans="1:11" x14ac:dyDescent="0.2">
      <c r="A5637">
        <v>1385</v>
      </c>
      <c r="B5637">
        <v>301954</v>
      </c>
      <c r="C5637" t="s">
        <v>8930</v>
      </c>
      <c r="D5637">
        <v>10</v>
      </c>
      <c r="E5637">
        <v>14</v>
      </c>
      <c r="F5637">
        <v>250</v>
      </c>
      <c r="G5637">
        <v>3500</v>
      </c>
      <c r="H5637">
        <v>25</v>
      </c>
      <c r="I5637">
        <v>10</v>
      </c>
      <c r="J5637">
        <v>12.99</v>
      </c>
      <c r="K5637">
        <v>45465</v>
      </c>
    </row>
    <row r="5638" spans="1:11" x14ac:dyDescent="0.2">
      <c r="A5638">
        <v>41436</v>
      </c>
      <c r="B5638">
        <v>301957</v>
      </c>
      <c r="C5638" t="s">
        <v>8126</v>
      </c>
      <c r="D5638">
        <v>10</v>
      </c>
      <c r="E5638">
        <v>12</v>
      </c>
      <c r="F5638">
        <v>-2</v>
      </c>
      <c r="G5638">
        <v>-24</v>
      </c>
      <c r="H5638">
        <v>15</v>
      </c>
      <c r="I5638">
        <v>-0.1</v>
      </c>
      <c r="J5638">
        <v>1</v>
      </c>
      <c r="K5638">
        <v>-24</v>
      </c>
    </row>
    <row r="5639" spans="1:11" x14ac:dyDescent="0.2">
      <c r="A5639">
        <v>41404</v>
      </c>
      <c r="B5639">
        <v>301958</v>
      </c>
      <c r="C5639" t="s">
        <v>8931</v>
      </c>
      <c r="D5639">
        <v>10</v>
      </c>
      <c r="E5639">
        <v>14</v>
      </c>
      <c r="F5639">
        <v>1</v>
      </c>
      <c r="G5639">
        <v>14</v>
      </c>
      <c r="H5639">
        <v>45</v>
      </c>
      <c r="I5639">
        <v>0</v>
      </c>
      <c r="J5639">
        <v>1</v>
      </c>
      <c r="K5639">
        <v>14</v>
      </c>
    </row>
    <row r="5640" spans="1:11" x14ac:dyDescent="0.2">
      <c r="A5640">
        <v>41405</v>
      </c>
      <c r="B5640">
        <v>301961</v>
      </c>
      <c r="C5640" t="s">
        <v>8932</v>
      </c>
      <c r="D5640">
        <v>10</v>
      </c>
      <c r="E5640">
        <v>14</v>
      </c>
      <c r="F5640">
        <v>0</v>
      </c>
      <c r="G5640">
        <v>0</v>
      </c>
      <c r="H5640">
        <v>42</v>
      </c>
      <c r="I5640">
        <v>0</v>
      </c>
      <c r="J5640">
        <v>1</v>
      </c>
      <c r="K5640">
        <v>0</v>
      </c>
    </row>
    <row r="5641" spans="1:11" x14ac:dyDescent="0.2">
      <c r="A5641">
        <v>41406</v>
      </c>
      <c r="B5641">
        <v>301962</v>
      </c>
      <c r="C5641" t="s">
        <v>8289</v>
      </c>
      <c r="D5641">
        <v>10</v>
      </c>
      <c r="E5641">
        <v>14</v>
      </c>
      <c r="F5641">
        <v>0</v>
      </c>
      <c r="G5641">
        <v>0</v>
      </c>
      <c r="H5641">
        <v>42</v>
      </c>
      <c r="I5641">
        <v>0</v>
      </c>
      <c r="J5641">
        <v>9.99</v>
      </c>
      <c r="K5641">
        <v>0</v>
      </c>
    </row>
    <row r="5642" spans="1:11" x14ac:dyDescent="0.2">
      <c r="A5642">
        <v>41407</v>
      </c>
      <c r="B5642">
        <v>301963</v>
      </c>
      <c r="C5642" t="s">
        <v>8933</v>
      </c>
      <c r="D5642">
        <v>10</v>
      </c>
      <c r="E5642">
        <v>14</v>
      </c>
      <c r="F5642">
        <v>0</v>
      </c>
      <c r="G5642">
        <v>0</v>
      </c>
      <c r="H5642">
        <v>40</v>
      </c>
      <c r="I5642">
        <v>0</v>
      </c>
      <c r="J5642">
        <v>1</v>
      </c>
      <c r="K5642">
        <v>0</v>
      </c>
    </row>
    <row r="5643" spans="1:11" x14ac:dyDescent="0.2">
      <c r="A5643">
        <v>45416</v>
      </c>
      <c r="B5643">
        <v>301966</v>
      </c>
      <c r="C5643" t="s">
        <v>8934</v>
      </c>
      <c r="D5643">
        <v>10</v>
      </c>
      <c r="E5643">
        <v>12</v>
      </c>
      <c r="F5643">
        <v>1</v>
      </c>
      <c r="G5643">
        <v>12</v>
      </c>
      <c r="H5643">
        <v>9</v>
      </c>
      <c r="I5643">
        <v>0.1</v>
      </c>
      <c r="J5643">
        <v>19.989999999999998</v>
      </c>
      <c r="K5643">
        <v>239.88</v>
      </c>
    </row>
    <row r="5644" spans="1:11" x14ac:dyDescent="0.2">
      <c r="A5644">
        <v>41408</v>
      </c>
      <c r="B5644">
        <v>301969</v>
      </c>
      <c r="C5644" t="s">
        <v>8793</v>
      </c>
      <c r="D5644">
        <v>10</v>
      </c>
      <c r="E5644">
        <v>12</v>
      </c>
      <c r="F5644">
        <v>0</v>
      </c>
      <c r="G5644">
        <v>0</v>
      </c>
      <c r="H5644">
        <v>80</v>
      </c>
      <c r="I5644">
        <v>0</v>
      </c>
      <c r="J5644">
        <v>1</v>
      </c>
      <c r="K5644">
        <v>0</v>
      </c>
    </row>
    <row r="5645" spans="1:11" x14ac:dyDescent="0.2">
      <c r="A5645">
        <v>40835</v>
      </c>
      <c r="B5645">
        <v>301972</v>
      </c>
      <c r="C5645" t="s">
        <v>8935</v>
      </c>
      <c r="D5645">
        <v>6</v>
      </c>
      <c r="E5645">
        <v>12</v>
      </c>
      <c r="F5645">
        <v>1</v>
      </c>
      <c r="G5645">
        <v>12</v>
      </c>
      <c r="H5645">
        <v>12</v>
      </c>
      <c r="I5645">
        <v>0.1</v>
      </c>
      <c r="J5645">
        <v>13.99</v>
      </c>
      <c r="K5645">
        <v>167.88</v>
      </c>
    </row>
    <row r="5646" spans="1:11" x14ac:dyDescent="0.2">
      <c r="A5646">
        <v>43834</v>
      </c>
      <c r="B5646">
        <v>302014</v>
      </c>
      <c r="C5646" t="s">
        <v>7760</v>
      </c>
      <c r="D5646">
        <v>10</v>
      </c>
      <c r="E5646">
        <v>8</v>
      </c>
      <c r="F5646">
        <v>2</v>
      </c>
      <c r="G5646">
        <v>12</v>
      </c>
      <c r="H5646">
        <v>40</v>
      </c>
      <c r="I5646">
        <v>0</v>
      </c>
      <c r="J5646">
        <v>14.99</v>
      </c>
      <c r="K5646">
        <v>179.88</v>
      </c>
    </row>
    <row r="5647" spans="1:11" x14ac:dyDescent="0.2">
      <c r="A5647">
        <v>43835</v>
      </c>
      <c r="B5647">
        <v>302015</v>
      </c>
      <c r="C5647" t="s">
        <v>8936</v>
      </c>
      <c r="D5647">
        <v>10</v>
      </c>
      <c r="E5647">
        <v>8</v>
      </c>
      <c r="F5647">
        <v>2</v>
      </c>
      <c r="G5647">
        <v>16</v>
      </c>
      <c r="H5647">
        <v>55</v>
      </c>
      <c r="I5647">
        <v>0</v>
      </c>
      <c r="J5647">
        <v>9.99</v>
      </c>
      <c r="K5647">
        <v>159.84</v>
      </c>
    </row>
    <row r="5648" spans="1:11" x14ac:dyDescent="0.2">
      <c r="A5648">
        <v>43836</v>
      </c>
      <c r="B5648">
        <v>302016</v>
      </c>
      <c r="C5648" t="s">
        <v>8885</v>
      </c>
      <c r="D5648">
        <v>10</v>
      </c>
      <c r="E5648">
        <v>8</v>
      </c>
      <c r="F5648">
        <v>0</v>
      </c>
      <c r="G5648">
        <v>0</v>
      </c>
      <c r="H5648">
        <v>24</v>
      </c>
      <c r="I5648">
        <v>0</v>
      </c>
      <c r="J5648">
        <v>23.99</v>
      </c>
      <c r="K5648">
        <v>0</v>
      </c>
    </row>
    <row r="5649" spans="1:11" x14ac:dyDescent="0.2">
      <c r="A5649">
        <v>43837</v>
      </c>
      <c r="B5649">
        <v>302017</v>
      </c>
      <c r="C5649" t="s">
        <v>8937</v>
      </c>
      <c r="D5649">
        <v>10</v>
      </c>
      <c r="E5649">
        <v>8</v>
      </c>
      <c r="F5649">
        <v>1</v>
      </c>
      <c r="G5649">
        <v>8</v>
      </c>
      <c r="H5649">
        <v>15</v>
      </c>
      <c r="I5649">
        <v>0.1</v>
      </c>
      <c r="J5649">
        <v>5.99</v>
      </c>
      <c r="K5649">
        <v>47.92</v>
      </c>
    </row>
    <row r="5650" spans="1:11" x14ac:dyDescent="0.2">
      <c r="A5650">
        <v>43838</v>
      </c>
      <c r="B5650">
        <v>302018</v>
      </c>
      <c r="C5650" t="s">
        <v>8938</v>
      </c>
      <c r="D5650">
        <v>10</v>
      </c>
      <c r="E5650">
        <v>8</v>
      </c>
      <c r="F5650">
        <v>-1</v>
      </c>
      <c r="G5650">
        <v>-8</v>
      </c>
      <c r="H5650">
        <v>20</v>
      </c>
      <c r="I5650">
        <v>-0.1</v>
      </c>
      <c r="J5650">
        <v>26.99</v>
      </c>
      <c r="K5650">
        <v>-215.92</v>
      </c>
    </row>
    <row r="5651" spans="1:11" x14ac:dyDescent="0.2">
      <c r="A5651">
        <v>43839</v>
      </c>
      <c r="B5651">
        <v>302019</v>
      </c>
      <c r="C5651" t="s">
        <v>8939</v>
      </c>
      <c r="D5651">
        <v>10</v>
      </c>
      <c r="E5651">
        <v>8</v>
      </c>
      <c r="F5651">
        <v>1</v>
      </c>
      <c r="G5651">
        <v>8</v>
      </c>
      <c r="H5651">
        <v>98</v>
      </c>
      <c r="I5651">
        <v>0</v>
      </c>
      <c r="J5651">
        <v>9.99</v>
      </c>
      <c r="K5651">
        <v>79.92</v>
      </c>
    </row>
    <row r="5652" spans="1:11" x14ac:dyDescent="0.2">
      <c r="A5652">
        <v>43840</v>
      </c>
      <c r="B5652">
        <v>302021</v>
      </c>
      <c r="C5652" t="s">
        <v>8940</v>
      </c>
      <c r="D5652">
        <v>10</v>
      </c>
      <c r="E5652">
        <v>10</v>
      </c>
      <c r="F5652">
        <v>1</v>
      </c>
      <c r="G5652">
        <v>10</v>
      </c>
      <c r="H5652">
        <v>25</v>
      </c>
      <c r="I5652">
        <v>0</v>
      </c>
      <c r="J5652">
        <v>5.49</v>
      </c>
      <c r="K5652">
        <v>54.9</v>
      </c>
    </row>
    <row r="5653" spans="1:11" x14ac:dyDescent="0.2">
      <c r="A5653">
        <v>43841</v>
      </c>
      <c r="B5653">
        <v>302024</v>
      </c>
      <c r="C5653" t="s">
        <v>8941</v>
      </c>
      <c r="D5653">
        <v>10</v>
      </c>
      <c r="E5653">
        <v>8</v>
      </c>
      <c r="F5653">
        <v>0</v>
      </c>
      <c r="G5653">
        <v>0</v>
      </c>
      <c r="H5653">
        <v>50</v>
      </c>
      <c r="I5653">
        <v>0</v>
      </c>
      <c r="J5653">
        <v>12.99</v>
      </c>
      <c r="K5653">
        <v>0</v>
      </c>
    </row>
    <row r="5654" spans="1:11" x14ac:dyDescent="0.2">
      <c r="A5654">
        <v>43842</v>
      </c>
      <c r="B5654">
        <v>302028</v>
      </c>
      <c r="C5654" t="s">
        <v>8942</v>
      </c>
      <c r="D5654">
        <v>10</v>
      </c>
      <c r="E5654">
        <v>10</v>
      </c>
      <c r="F5654">
        <v>1</v>
      </c>
      <c r="G5654">
        <v>10</v>
      </c>
      <c r="H5654">
        <v>36</v>
      </c>
      <c r="I5654">
        <v>0</v>
      </c>
      <c r="J5654">
        <v>5.99</v>
      </c>
      <c r="K5654">
        <v>59.9</v>
      </c>
    </row>
    <row r="5655" spans="1:11" x14ac:dyDescent="0.2">
      <c r="A5655">
        <v>43843</v>
      </c>
      <c r="B5655">
        <v>302029</v>
      </c>
      <c r="C5655" t="s">
        <v>8429</v>
      </c>
      <c r="D5655">
        <v>10</v>
      </c>
      <c r="E5655">
        <v>10</v>
      </c>
      <c r="F5655">
        <v>1</v>
      </c>
      <c r="G5655">
        <v>10</v>
      </c>
      <c r="H5655">
        <v>36</v>
      </c>
      <c r="I5655">
        <v>0</v>
      </c>
      <c r="J5655">
        <v>6.99</v>
      </c>
      <c r="K5655">
        <v>69.900000000000006</v>
      </c>
    </row>
    <row r="5656" spans="1:11" x14ac:dyDescent="0.2">
      <c r="A5656">
        <v>43404</v>
      </c>
      <c r="B5656">
        <v>302030</v>
      </c>
      <c r="C5656" t="s">
        <v>8943</v>
      </c>
      <c r="D5656">
        <v>10</v>
      </c>
      <c r="E5656">
        <v>14</v>
      </c>
      <c r="F5656">
        <v>0</v>
      </c>
      <c r="G5656">
        <v>0</v>
      </c>
      <c r="H5656">
        <v>15</v>
      </c>
      <c r="I5656">
        <v>0</v>
      </c>
      <c r="J5656">
        <v>1</v>
      </c>
      <c r="K5656">
        <v>0</v>
      </c>
    </row>
    <row r="5657" spans="1:11" x14ac:dyDescent="0.2">
      <c r="A5657">
        <v>38418</v>
      </c>
      <c r="B5657">
        <v>302031</v>
      </c>
      <c r="C5657" t="s">
        <v>8944</v>
      </c>
      <c r="D5657">
        <v>10</v>
      </c>
      <c r="E5657">
        <v>10</v>
      </c>
      <c r="F5657">
        <v>2</v>
      </c>
      <c r="G5657">
        <v>20</v>
      </c>
      <c r="H5657">
        <v>90</v>
      </c>
      <c r="I5657">
        <v>0</v>
      </c>
      <c r="J5657">
        <v>1</v>
      </c>
      <c r="K5657">
        <v>20</v>
      </c>
    </row>
    <row r="5658" spans="1:11" x14ac:dyDescent="0.2">
      <c r="A5658">
        <v>43405</v>
      </c>
      <c r="B5658">
        <v>302033</v>
      </c>
      <c r="C5658" t="s">
        <v>8945</v>
      </c>
      <c r="D5658">
        <v>10</v>
      </c>
      <c r="E5658">
        <v>12</v>
      </c>
      <c r="F5658">
        <v>1</v>
      </c>
      <c r="G5658">
        <v>12</v>
      </c>
      <c r="H5658">
        <v>25</v>
      </c>
      <c r="I5658">
        <v>0</v>
      </c>
      <c r="J5658">
        <v>1</v>
      </c>
      <c r="K5658">
        <v>12</v>
      </c>
    </row>
    <row r="5659" spans="1:11" x14ac:dyDescent="0.2">
      <c r="A5659">
        <v>40909</v>
      </c>
      <c r="B5659">
        <v>302034</v>
      </c>
      <c r="C5659" t="s">
        <v>8946</v>
      </c>
      <c r="D5659">
        <v>10</v>
      </c>
      <c r="E5659">
        <v>20</v>
      </c>
      <c r="F5659">
        <v>0</v>
      </c>
      <c r="G5659">
        <v>0</v>
      </c>
      <c r="H5659">
        <v>75</v>
      </c>
      <c r="I5659">
        <v>0</v>
      </c>
      <c r="J5659">
        <v>1</v>
      </c>
      <c r="K5659">
        <v>0</v>
      </c>
    </row>
    <row r="5660" spans="1:11" x14ac:dyDescent="0.2">
      <c r="A5660">
        <v>42839</v>
      </c>
      <c r="B5660">
        <v>302035</v>
      </c>
      <c r="C5660" t="s">
        <v>8947</v>
      </c>
      <c r="D5660">
        <v>10</v>
      </c>
      <c r="E5660">
        <v>9</v>
      </c>
      <c r="F5660">
        <v>-15</v>
      </c>
      <c r="G5660">
        <v>-135</v>
      </c>
      <c r="H5660">
        <v>64</v>
      </c>
      <c r="I5660">
        <v>-0.2</v>
      </c>
      <c r="J5660">
        <v>3.99</v>
      </c>
      <c r="K5660">
        <v>-538.65</v>
      </c>
    </row>
    <row r="5661" spans="1:11" x14ac:dyDescent="0.2">
      <c r="A5661">
        <v>31834</v>
      </c>
      <c r="B5661">
        <v>302036</v>
      </c>
      <c r="C5661" t="s">
        <v>8948</v>
      </c>
      <c r="D5661">
        <v>10</v>
      </c>
      <c r="E5661">
        <v>6</v>
      </c>
      <c r="F5661">
        <v>0</v>
      </c>
      <c r="G5661">
        <v>0</v>
      </c>
      <c r="H5661">
        <v>30</v>
      </c>
      <c r="I5661">
        <v>0</v>
      </c>
      <c r="J5661">
        <v>13.99</v>
      </c>
      <c r="K5661">
        <v>0</v>
      </c>
    </row>
    <row r="5662" spans="1:11" x14ac:dyDescent="0.2">
      <c r="A5662">
        <v>31835</v>
      </c>
      <c r="B5662">
        <v>302037</v>
      </c>
      <c r="C5662" t="s">
        <v>8949</v>
      </c>
      <c r="D5662">
        <v>10</v>
      </c>
      <c r="E5662">
        <v>12</v>
      </c>
      <c r="F5662">
        <v>0</v>
      </c>
      <c r="G5662">
        <v>0</v>
      </c>
      <c r="H5662">
        <v>72</v>
      </c>
      <c r="I5662">
        <v>0</v>
      </c>
      <c r="J5662">
        <v>4.99</v>
      </c>
      <c r="K5662">
        <v>0</v>
      </c>
    </row>
    <row r="5663" spans="1:11" x14ac:dyDescent="0.2">
      <c r="A5663">
        <v>31836</v>
      </c>
      <c r="B5663">
        <v>302039</v>
      </c>
      <c r="C5663" t="s">
        <v>8324</v>
      </c>
      <c r="D5663">
        <v>10</v>
      </c>
      <c r="E5663">
        <v>10</v>
      </c>
      <c r="F5663">
        <v>0</v>
      </c>
      <c r="G5663">
        <v>0</v>
      </c>
      <c r="H5663">
        <v>70</v>
      </c>
      <c r="I5663">
        <v>0</v>
      </c>
      <c r="J5663">
        <v>5.99</v>
      </c>
      <c r="K5663">
        <v>0</v>
      </c>
    </row>
    <row r="5664" spans="1:11" x14ac:dyDescent="0.2">
      <c r="A5664">
        <v>31837</v>
      </c>
      <c r="B5664">
        <v>302040</v>
      </c>
      <c r="C5664" t="s">
        <v>8950</v>
      </c>
      <c r="D5664">
        <v>10</v>
      </c>
      <c r="E5664">
        <v>20</v>
      </c>
      <c r="F5664">
        <v>0</v>
      </c>
      <c r="G5664">
        <v>0</v>
      </c>
      <c r="H5664">
        <v>60</v>
      </c>
      <c r="I5664">
        <v>0</v>
      </c>
      <c r="J5664">
        <v>3.99</v>
      </c>
      <c r="K5664">
        <v>0</v>
      </c>
    </row>
    <row r="5665" spans="1:11" x14ac:dyDescent="0.2">
      <c r="A5665">
        <v>43944</v>
      </c>
      <c r="B5665">
        <v>302041</v>
      </c>
      <c r="C5665" t="s">
        <v>8951</v>
      </c>
      <c r="D5665">
        <v>10</v>
      </c>
      <c r="E5665">
        <v>12</v>
      </c>
      <c r="F5665">
        <v>0</v>
      </c>
      <c r="G5665">
        <v>0</v>
      </c>
      <c r="H5665">
        <v>55</v>
      </c>
      <c r="I5665">
        <v>0</v>
      </c>
      <c r="J5665">
        <v>1</v>
      </c>
      <c r="K5665">
        <v>0</v>
      </c>
    </row>
    <row r="5666" spans="1:11" x14ac:dyDescent="0.2">
      <c r="A5666">
        <v>37830</v>
      </c>
      <c r="B5666">
        <v>302042</v>
      </c>
      <c r="C5666" t="s">
        <v>8429</v>
      </c>
      <c r="D5666">
        <v>10</v>
      </c>
      <c r="E5666">
        <v>12</v>
      </c>
      <c r="F5666">
        <v>0</v>
      </c>
      <c r="G5666">
        <v>0</v>
      </c>
      <c r="H5666">
        <v>30</v>
      </c>
      <c r="I5666">
        <v>0</v>
      </c>
      <c r="J5666">
        <v>5.99</v>
      </c>
      <c r="K5666">
        <v>0</v>
      </c>
    </row>
    <row r="5667" spans="1:11" x14ac:dyDescent="0.2">
      <c r="A5667">
        <v>37831</v>
      </c>
      <c r="B5667">
        <v>302043</v>
      </c>
      <c r="C5667" t="s">
        <v>8431</v>
      </c>
      <c r="D5667">
        <v>10</v>
      </c>
      <c r="E5667">
        <v>10</v>
      </c>
      <c r="F5667">
        <v>0</v>
      </c>
      <c r="G5667">
        <v>0</v>
      </c>
      <c r="H5667">
        <v>24</v>
      </c>
      <c r="I5667">
        <v>0</v>
      </c>
      <c r="J5667">
        <v>7.99</v>
      </c>
      <c r="K5667">
        <v>0</v>
      </c>
    </row>
    <row r="5668" spans="1:11" x14ac:dyDescent="0.2">
      <c r="A5668">
        <v>43945</v>
      </c>
      <c r="B5668">
        <v>302044</v>
      </c>
      <c r="C5668" t="s">
        <v>8944</v>
      </c>
      <c r="D5668">
        <v>10</v>
      </c>
      <c r="E5668">
        <v>12</v>
      </c>
      <c r="F5668">
        <v>0</v>
      </c>
      <c r="G5668">
        <v>0</v>
      </c>
      <c r="H5668">
        <v>78</v>
      </c>
      <c r="I5668">
        <v>0</v>
      </c>
      <c r="J5668">
        <v>1</v>
      </c>
      <c r="K5668">
        <v>0</v>
      </c>
    </row>
    <row r="5669" spans="1:11" x14ac:dyDescent="0.2">
      <c r="A5669">
        <v>36820</v>
      </c>
      <c r="B5669">
        <v>302045</v>
      </c>
      <c r="C5669" t="s">
        <v>8952</v>
      </c>
      <c r="D5669">
        <v>10</v>
      </c>
      <c r="E5669">
        <v>10</v>
      </c>
      <c r="F5669">
        <v>0</v>
      </c>
      <c r="G5669">
        <v>0</v>
      </c>
      <c r="H5669">
        <v>32</v>
      </c>
      <c r="I5669">
        <v>0</v>
      </c>
      <c r="J5669">
        <v>7.99</v>
      </c>
      <c r="K5669">
        <v>0</v>
      </c>
    </row>
    <row r="5670" spans="1:11" x14ac:dyDescent="0.2">
      <c r="A5670">
        <v>37832</v>
      </c>
      <c r="B5670">
        <v>302046</v>
      </c>
      <c r="C5670" t="s">
        <v>8144</v>
      </c>
      <c r="D5670">
        <v>10</v>
      </c>
      <c r="E5670">
        <v>12</v>
      </c>
      <c r="F5670">
        <v>0</v>
      </c>
      <c r="G5670">
        <v>0</v>
      </c>
      <c r="H5670">
        <v>72</v>
      </c>
      <c r="I5670">
        <v>0</v>
      </c>
      <c r="J5670">
        <v>4.99</v>
      </c>
      <c r="K5670">
        <v>0</v>
      </c>
    </row>
    <row r="5671" spans="1:11" x14ac:dyDescent="0.2">
      <c r="A5671">
        <v>42840</v>
      </c>
      <c r="B5671">
        <v>302047</v>
      </c>
      <c r="C5671" t="s">
        <v>8144</v>
      </c>
      <c r="D5671">
        <v>10</v>
      </c>
      <c r="E5671">
        <v>8</v>
      </c>
      <c r="F5671">
        <v>2</v>
      </c>
      <c r="G5671">
        <v>16</v>
      </c>
      <c r="H5671">
        <v>128</v>
      </c>
      <c r="I5671">
        <v>0</v>
      </c>
      <c r="J5671">
        <v>4.99</v>
      </c>
      <c r="K5671">
        <v>79.84</v>
      </c>
    </row>
    <row r="5672" spans="1:11" x14ac:dyDescent="0.2">
      <c r="A5672">
        <v>35978</v>
      </c>
      <c r="B5672">
        <v>302049</v>
      </c>
      <c r="C5672" t="s">
        <v>8953</v>
      </c>
      <c r="D5672">
        <v>10</v>
      </c>
      <c r="E5672">
        <v>12</v>
      </c>
      <c r="F5672">
        <v>0</v>
      </c>
      <c r="G5672">
        <v>0</v>
      </c>
      <c r="H5672">
        <v>18</v>
      </c>
      <c r="I5672">
        <v>0</v>
      </c>
      <c r="J5672">
        <v>5.99</v>
      </c>
      <c r="K5672">
        <v>0</v>
      </c>
    </row>
    <row r="5673" spans="1:11" x14ac:dyDescent="0.2">
      <c r="A5673">
        <v>43844</v>
      </c>
      <c r="B5673">
        <v>302050</v>
      </c>
      <c r="C5673" t="s">
        <v>8954</v>
      </c>
      <c r="D5673">
        <v>10</v>
      </c>
      <c r="E5673">
        <v>4</v>
      </c>
      <c r="F5673">
        <v>0</v>
      </c>
      <c r="G5673">
        <v>0</v>
      </c>
      <c r="H5673">
        <v>50</v>
      </c>
      <c r="I5673">
        <v>0</v>
      </c>
      <c r="J5673">
        <v>12.99</v>
      </c>
      <c r="K5673">
        <v>0</v>
      </c>
    </row>
    <row r="5674" spans="1:11" x14ac:dyDescent="0.2">
      <c r="A5674">
        <v>44824</v>
      </c>
      <c r="B5674">
        <v>302051</v>
      </c>
      <c r="C5674" t="s">
        <v>8854</v>
      </c>
      <c r="D5674">
        <v>10</v>
      </c>
      <c r="E5674">
        <v>20</v>
      </c>
      <c r="F5674">
        <v>1</v>
      </c>
      <c r="G5674">
        <v>20</v>
      </c>
      <c r="H5674">
        <v>90</v>
      </c>
      <c r="I5674">
        <v>0</v>
      </c>
      <c r="J5674">
        <v>2.99</v>
      </c>
      <c r="K5674">
        <v>59.8</v>
      </c>
    </row>
    <row r="5675" spans="1:11" x14ac:dyDescent="0.2">
      <c r="A5675">
        <v>52025</v>
      </c>
      <c r="B5675">
        <v>302053</v>
      </c>
      <c r="C5675" t="s">
        <v>8955</v>
      </c>
      <c r="D5675">
        <v>10</v>
      </c>
      <c r="E5675">
        <v>8</v>
      </c>
      <c r="F5675">
        <v>0</v>
      </c>
      <c r="G5675">
        <v>0</v>
      </c>
      <c r="H5675">
        <v>40</v>
      </c>
      <c r="I5675">
        <v>0</v>
      </c>
      <c r="J5675">
        <v>14.99</v>
      </c>
      <c r="K5675">
        <v>0</v>
      </c>
    </row>
    <row r="5676" spans="1:11" x14ac:dyDescent="0.2">
      <c r="A5676">
        <v>52026</v>
      </c>
      <c r="B5676">
        <v>302054</v>
      </c>
      <c r="C5676" t="s">
        <v>8956</v>
      </c>
      <c r="D5676">
        <v>10</v>
      </c>
      <c r="E5676">
        <v>6</v>
      </c>
      <c r="F5676">
        <v>0</v>
      </c>
      <c r="G5676">
        <v>0</v>
      </c>
      <c r="H5676">
        <v>30</v>
      </c>
      <c r="I5676">
        <v>0</v>
      </c>
      <c r="J5676">
        <v>18.989999999999998</v>
      </c>
      <c r="K5676">
        <v>0</v>
      </c>
    </row>
    <row r="5677" spans="1:11" x14ac:dyDescent="0.2">
      <c r="A5677">
        <v>52027</v>
      </c>
      <c r="B5677">
        <v>302056</v>
      </c>
      <c r="C5677" t="s">
        <v>8160</v>
      </c>
      <c r="D5677">
        <v>10</v>
      </c>
      <c r="E5677">
        <v>9</v>
      </c>
      <c r="F5677">
        <v>0</v>
      </c>
      <c r="G5677">
        <v>0</v>
      </c>
      <c r="H5677">
        <v>60</v>
      </c>
      <c r="I5677">
        <v>0</v>
      </c>
      <c r="J5677">
        <v>4.99</v>
      </c>
      <c r="K5677">
        <v>0</v>
      </c>
    </row>
    <row r="5678" spans="1:11" x14ac:dyDescent="0.2">
      <c r="A5678">
        <v>52028</v>
      </c>
      <c r="B5678">
        <v>302057</v>
      </c>
      <c r="C5678" t="s">
        <v>7794</v>
      </c>
      <c r="D5678">
        <v>10</v>
      </c>
      <c r="E5678">
        <v>9</v>
      </c>
      <c r="F5678">
        <v>266</v>
      </c>
      <c r="G5678">
        <v>2394</v>
      </c>
      <c r="H5678">
        <v>45</v>
      </c>
      <c r="I5678">
        <v>5.9</v>
      </c>
      <c r="J5678">
        <v>6.99</v>
      </c>
      <c r="K5678">
        <v>16734.060000000001</v>
      </c>
    </row>
    <row r="5679" spans="1:11" x14ac:dyDescent="0.2">
      <c r="A5679">
        <v>52029</v>
      </c>
      <c r="B5679">
        <v>302058</v>
      </c>
      <c r="C5679" t="s">
        <v>7599</v>
      </c>
      <c r="D5679">
        <v>10</v>
      </c>
      <c r="E5679">
        <v>9</v>
      </c>
      <c r="F5679">
        <v>4</v>
      </c>
      <c r="G5679">
        <v>36</v>
      </c>
      <c r="H5679">
        <v>40</v>
      </c>
      <c r="I5679">
        <v>0.1</v>
      </c>
      <c r="J5679">
        <v>7.99</v>
      </c>
      <c r="K5679">
        <v>287.64</v>
      </c>
    </row>
    <row r="5680" spans="1:11" x14ac:dyDescent="0.2">
      <c r="A5680">
        <v>52030</v>
      </c>
      <c r="B5680">
        <v>302059</v>
      </c>
      <c r="C5680" t="s">
        <v>8957</v>
      </c>
      <c r="D5680">
        <v>10</v>
      </c>
      <c r="E5680">
        <v>6</v>
      </c>
      <c r="F5680">
        <v>162</v>
      </c>
      <c r="G5680">
        <v>974</v>
      </c>
      <c r="H5680">
        <v>16</v>
      </c>
      <c r="I5680">
        <v>10.1</v>
      </c>
      <c r="J5680">
        <v>5.99</v>
      </c>
      <c r="K5680">
        <v>5834.26</v>
      </c>
    </row>
    <row r="5681" spans="1:11" x14ac:dyDescent="0.2">
      <c r="A5681">
        <v>40910</v>
      </c>
      <c r="B5681">
        <v>302069</v>
      </c>
      <c r="C5681" t="s">
        <v>8958</v>
      </c>
      <c r="D5681">
        <v>10</v>
      </c>
      <c r="E5681">
        <v>30</v>
      </c>
      <c r="F5681">
        <v>0</v>
      </c>
      <c r="G5681">
        <v>0</v>
      </c>
      <c r="H5681">
        <v>43</v>
      </c>
      <c r="I5681">
        <v>0</v>
      </c>
      <c r="J5681">
        <v>1</v>
      </c>
      <c r="K5681">
        <v>0</v>
      </c>
    </row>
    <row r="5682" spans="1:11" x14ac:dyDescent="0.2">
      <c r="A5682">
        <v>38863</v>
      </c>
      <c r="B5682">
        <v>302080</v>
      </c>
      <c r="C5682" t="s">
        <v>8959</v>
      </c>
      <c r="D5682">
        <v>10</v>
      </c>
      <c r="E5682">
        <v>12</v>
      </c>
      <c r="F5682">
        <v>0</v>
      </c>
      <c r="G5682">
        <v>0</v>
      </c>
      <c r="H5682">
        <v>98</v>
      </c>
      <c r="I5682">
        <v>0</v>
      </c>
      <c r="J5682">
        <v>5.99</v>
      </c>
      <c r="K5682">
        <v>0</v>
      </c>
    </row>
    <row r="5683" spans="1:11" x14ac:dyDescent="0.2">
      <c r="A5683">
        <v>47913</v>
      </c>
      <c r="B5683">
        <v>302085</v>
      </c>
      <c r="C5683" t="s">
        <v>8960</v>
      </c>
      <c r="D5683">
        <v>10</v>
      </c>
      <c r="E5683">
        <v>20</v>
      </c>
      <c r="F5683">
        <v>0</v>
      </c>
      <c r="G5683">
        <v>0</v>
      </c>
      <c r="H5683">
        <v>20</v>
      </c>
      <c r="I5683">
        <v>0</v>
      </c>
      <c r="J5683">
        <v>1</v>
      </c>
      <c r="K5683">
        <v>0</v>
      </c>
    </row>
    <row r="5684" spans="1:11" x14ac:dyDescent="0.2">
      <c r="A5684">
        <v>36821</v>
      </c>
      <c r="B5684">
        <v>302094</v>
      </c>
      <c r="C5684" t="s">
        <v>8961</v>
      </c>
      <c r="D5684">
        <v>10</v>
      </c>
      <c r="E5684">
        <v>10</v>
      </c>
      <c r="F5684">
        <v>0</v>
      </c>
      <c r="G5684">
        <v>0</v>
      </c>
      <c r="H5684">
        <v>48</v>
      </c>
      <c r="I5684">
        <v>0</v>
      </c>
      <c r="J5684">
        <v>3.99</v>
      </c>
      <c r="K5684">
        <v>0</v>
      </c>
    </row>
    <row r="5685" spans="1:11" x14ac:dyDescent="0.2">
      <c r="A5685">
        <v>35979</v>
      </c>
      <c r="B5685">
        <v>302125</v>
      </c>
      <c r="C5685" t="s">
        <v>8962</v>
      </c>
      <c r="D5685">
        <v>10</v>
      </c>
      <c r="E5685">
        <v>12</v>
      </c>
      <c r="F5685">
        <v>0</v>
      </c>
      <c r="G5685">
        <v>0</v>
      </c>
      <c r="H5685">
        <v>20</v>
      </c>
      <c r="I5685">
        <v>0</v>
      </c>
      <c r="J5685">
        <v>11.99</v>
      </c>
      <c r="K5685">
        <v>0</v>
      </c>
    </row>
    <row r="5686" spans="1:11" x14ac:dyDescent="0.2">
      <c r="A5686">
        <v>34833</v>
      </c>
      <c r="B5686">
        <v>302126</v>
      </c>
      <c r="C5686" t="s">
        <v>8963</v>
      </c>
      <c r="D5686">
        <v>10</v>
      </c>
      <c r="E5686">
        <v>10</v>
      </c>
      <c r="F5686">
        <v>0</v>
      </c>
      <c r="G5686">
        <v>0</v>
      </c>
      <c r="H5686">
        <v>20</v>
      </c>
      <c r="I5686">
        <v>0</v>
      </c>
      <c r="J5686">
        <v>9.99</v>
      </c>
      <c r="K5686">
        <v>0</v>
      </c>
    </row>
    <row r="5687" spans="1:11" x14ac:dyDescent="0.2">
      <c r="A5687">
        <v>34834</v>
      </c>
      <c r="B5687">
        <v>302127</v>
      </c>
      <c r="C5687" t="s">
        <v>7691</v>
      </c>
      <c r="D5687">
        <v>10</v>
      </c>
      <c r="E5687">
        <v>12</v>
      </c>
      <c r="F5687">
        <v>0</v>
      </c>
      <c r="G5687">
        <v>0</v>
      </c>
      <c r="H5687">
        <v>72</v>
      </c>
      <c r="I5687">
        <v>0</v>
      </c>
      <c r="J5687">
        <v>4.99</v>
      </c>
      <c r="K5687">
        <v>0</v>
      </c>
    </row>
    <row r="5688" spans="1:11" x14ac:dyDescent="0.2">
      <c r="A5688">
        <v>34835</v>
      </c>
      <c r="B5688">
        <v>302128</v>
      </c>
      <c r="C5688" t="s">
        <v>8964</v>
      </c>
      <c r="D5688">
        <v>10</v>
      </c>
      <c r="E5688">
        <v>14</v>
      </c>
      <c r="F5688">
        <v>0</v>
      </c>
      <c r="G5688">
        <v>0</v>
      </c>
      <c r="H5688">
        <v>32</v>
      </c>
      <c r="I5688">
        <v>0</v>
      </c>
      <c r="J5688">
        <v>9.99</v>
      </c>
      <c r="K5688">
        <v>0</v>
      </c>
    </row>
    <row r="5689" spans="1:11" x14ac:dyDescent="0.2">
      <c r="A5689">
        <v>49805</v>
      </c>
      <c r="B5689">
        <v>302130</v>
      </c>
      <c r="C5689" t="s">
        <v>8965</v>
      </c>
      <c r="D5689">
        <v>10</v>
      </c>
      <c r="E5689">
        <v>20</v>
      </c>
      <c r="F5689">
        <v>0</v>
      </c>
      <c r="G5689">
        <v>0</v>
      </c>
      <c r="H5689">
        <v>56</v>
      </c>
      <c r="I5689">
        <v>0</v>
      </c>
      <c r="J5689">
        <v>4.99</v>
      </c>
      <c r="K5689">
        <v>0</v>
      </c>
    </row>
    <row r="5690" spans="1:11" x14ac:dyDescent="0.2">
      <c r="A5690">
        <v>45433</v>
      </c>
      <c r="B5690">
        <v>302133</v>
      </c>
      <c r="C5690" t="s">
        <v>8966</v>
      </c>
      <c r="D5690">
        <v>10</v>
      </c>
      <c r="E5690">
        <v>30</v>
      </c>
      <c r="F5690">
        <v>0</v>
      </c>
      <c r="G5690">
        <v>0</v>
      </c>
      <c r="H5690">
        <v>132</v>
      </c>
      <c r="I5690">
        <v>0</v>
      </c>
      <c r="J5690">
        <v>1.49</v>
      </c>
      <c r="K5690">
        <v>0</v>
      </c>
    </row>
    <row r="5691" spans="1:11" x14ac:dyDescent="0.2">
      <c r="A5691">
        <v>49806</v>
      </c>
      <c r="B5691">
        <v>302134</v>
      </c>
      <c r="C5691" t="s">
        <v>8967</v>
      </c>
      <c r="D5691">
        <v>10</v>
      </c>
      <c r="E5691">
        <v>8</v>
      </c>
      <c r="F5691">
        <v>0</v>
      </c>
      <c r="G5691">
        <v>0</v>
      </c>
      <c r="H5691">
        <v>60</v>
      </c>
      <c r="I5691">
        <v>0</v>
      </c>
      <c r="J5691">
        <v>8.99</v>
      </c>
      <c r="K5691">
        <v>0</v>
      </c>
    </row>
    <row r="5692" spans="1:11" x14ac:dyDescent="0.2">
      <c r="A5692">
        <v>43845</v>
      </c>
      <c r="B5692">
        <v>302135</v>
      </c>
      <c r="C5692" t="s">
        <v>8224</v>
      </c>
      <c r="D5692">
        <v>10</v>
      </c>
      <c r="E5692">
        <v>16</v>
      </c>
      <c r="F5692">
        <v>3</v>
      </c>
      <c r="G5692">
        <v>48</v>
      </c>
      <c r="H5692">
        <v>50</v>
      </c>
      <c r="I5692">
        <v>0.1</v>
      </c>
      <c r="J5692">
        <v>5.99</v>
      </c>
      <c r="K5692">
        <v>287.52</v>
      </c>
    </row>
    <row r="5693" spans="1:11" x14ac:dyDescent="0.2">
      <c r="A5693">
        <v>49807</v>
      </c>
      <c r="B5693">
        <v>302136</v>
      </c>
      <c r="C5693" t="s">
        <v>8418</v>
      </c>
      <c r="D5693">
        <v>10</v>
      </c>
      <c r="E5693">
        <v>10</v>
      </c>
      <c r="F5693">
        <v>0</v>
      </c>
      <c r="G5693">
        <v>0</v>
      </c>
      <c r="H5693">
        <v>156</v>
      </c>
      <c r="I5693">
        <v>0</v>
      </c>
      <c r="J5693">
        <v>4.99</v>
      </c>
      <c r="K5693">
        <v>0</v>
      </c>
    </row>
    <row r="5694" spans="1:11" x14ac:dyDescent="0.2">
      <c r="A5694">
        <v>49808</v>
      </c>
      <c r="B5694">
        <v>302139</v>
      </c>
      <c r="C5694" t="s">
        <v>8968</v>
      </c>
      <c r="D5694">
        <v>10</v>
      </c>
      <c r="E5694">
        <v>4</v>
      </c>
      <c r="F5694">
        <v>0</v>
      </c>
      <c r="G5694">
        <v>0</v>
      </c>
      <c r="H5694">
        <v>48</v>
      </c>
      <c r="I5694">
        <v>0</v>
      </c>
      <c r="J5694">
        <v>14.99</v>
      </c>
      <c r="K5694">
        <v>0</v>
      </c>
    </row>
    <row r="5695" spans="1:11" x14ac:dyDescent="0.2">
      <c r="A5695">
        <v>43846</v>
      </c>
      <c r="B5695">
        <v>302141</v>
      </c>
      <c r="C5695" t="s">
        <v>8225</v>
      </c>
      <c r="D5695">
        <v>10</v>
      </c>
      <c r="E5695">
        <v>14</v>
      </c>
      <c r="F5695">
        <v>4</v>
      </c>
      <c r="G5695">
        <v>56</v>
      </c>
      <c r="H5695">
        <v>104</v>
      </c>
      <c r="I5695">
        <v>0</v>
      </c>
      <c r="J5695">
        <v>3.99</v>
      </c>
      <c r="K5695">
        <v>223.44</v>
      </c>
    </row>
    <row r="5696" spans="1:11" x14ac:dyDescent="0.2">
      <c r="A5696">
        <v>35980</v>
      </c>
      <c r="B5696">
        <v>302149</v>
      </c>
      <c r="C5696" t="s">
        <v>8969</v>
      </c>
      <c r="D5696">
        <v>10</v>
      </c>
      <c r="E5696">
        <v>14</v>
      </c>
      <c r="F5696">
        <v>0</v>
      </c>
      <c r="G5696">
        <v>0</v>
      </c>
      <c r="H5696">
        <v>84</v>
      </c>
      <c r="I5696">
        <v>0</v>
      </c>
      <c r="J5696">
        <v>5.49</v>
      </c>
      <c r="K5696">
        <v>0</v>
      </c>
    </row>
    <row r="5697" spans="1:11" x14ac:dyDescent="0.2">
      <c r="A5697">
        <v>36822</v>
      </c>
      <c r="B5697">
        <v>302154</v>
      </c>
      <c r="C5697" t="s">
        <v>8949</v>
      </c>
      <c r="D5697">
        <v>10</v>
      </c>
      <c r="E5697">
        <v>14</v>
      </c>
      <c r="F5697">
        <v>0</v>
      </c>
      <c r="G5697">
        <v>0</v>
      </c>
      <c r="H5697">
        <v>66</v>
      </c>
      <c r="I5697">
        <v>0</v>
      </c>
      <c r="J5697">
        <v>4.99</v>
      </c>
      <c r="K5697">
        <v>0</v>
      </c>
    </row>
    <row r="5698" spans="1:11" x14ac:dyDescent="0.2">
      <c r="A5698">
        <v>41849</v>
      </c>
      <c r="B5698">
        <v>302157</v>
      </c>
      <c r="C5698" t="s">
        <v>8419</v>
      </c>
      <c r="D5698">
        <v>10</v>
      </c>
      <c r="E5698">
        <v>12</v>
      </c>
      <c r="F5698">
        <v>0</v>
      </c>
      <c r="G5698">
        <v>0</v>
      </c>
      <c r="H5698">
        <v>63</v>
      </c>
      <c r="I5698">
        <v>0</v>
      </c>
      <c r="J5698">
        <v>3.99</v>
      </c>
      <c r="K5698">
        <v>0</v>
      </c>
    </row>
    <row r="5699" spans="1:11" x14ac:dyDescent="0.2">
      <c r="A5699">
        <v>47915</v>
      </c>
      <c r="B5699">
        <v>302165</v>
      </c>
      <c r="C5699" t="s">
        <v>8970</v>
      </c>
      <c r="D5699">
        <v>10</v>
      </c>
      <c r="E5699">
        <v>12</v>
      </c>
      <c r="F5699">
        <v>0</v>
      </c>
      <c r="G5699">
        <v>0</v>
      </c>
      <c r="H5699">
        <v>56</v>
      </c>
      <c r="I5699">
        <v>0</v>
      </c>
      <c r="J5699">
        <v>1</v>
      </c>
      <c r="K5699">
        <v>0</v>
      </c>
    </row>
    <row r="5700" spans="1:11" x14ac:dyDescent="0.2">
      <c r="A5700">
        <v>34836</v>
      </c>
      <c r="B5700">
        <v>302177</v>
      </c>
      <c r="C5700" t="s">
        <v>8971</v>
      </c>
      <c r="D5700">
        <v>10</v>
      </c>
      <c r="E5700">
        <v>10</v>
      </c>
      <c r="F5700">
        <v>0</v>
      </c>
      <c r="G5700">
        <v>0</v>
      </c>
      <c r="H5700">
        <v>15</v>
      </c>
      <c r="I5700">
        <v>0</v>
      </c>
      <c r="J5700">
        <v>5.99</v>
      </c>
      <c r="K5700">
        <v>0</v>
      </c>
    </row>
    <row r="5701" spans="1:11" x14ac:dyDescent="0.2">
      <c r="A5701">
        <v>34837</v>
      </c>
      <c r="B5701">
        <v>302178</v>
      </c>
      <c r="C5701" t="s">
        <v>8972</v>
      </c>
      <c r="D5701">
        <v>10</v>
      </c>
      <c r="E5701">
        <v>10</v>
      </c>
      <c r="F5701">
        <v>0</v>
      </c>
      <c r="G5701">
        <v>0</v>
      </c>
      <c r="H5701">
        <v>72</v>
      </c>
      <c r="I5701">
        <v>0</v>
      </c>
      <c r="J5701">
        <v>9.99</v>
      </c>
      <c r="K5701">
        <v>0</v>
      </c>
    </row>
    <row r="5702" spans="1:11" x14ac:dyDescent="0.2">
      <c r="A5702">
        <v>38864</v>
      </c>
      <c r="B5702">
        <v>302183</v>
      </c>
      <c r="C5702" t="s">
        <v>8973</v>
      </c>
      <c r="D5702">
        <v>10</v>
      </c>
      <c r="E5702">
        <v>10</v>
      </c>
      <c r="F5702">
        <v>0</v>
      </c>
      <c r="G5702">
        <v>0</v>
      </c>
      <c r="H5702">
        <v>24</v>
      </c>
      <c r="I5702">
        <v>0</v>
      </c>
      <c r="J5702">
        <v>6.99</v>
      </c>
      <c r="K5702">
        <v>0</v>
      </c>
    </row>
    <row r="5703" spans="1:11" x14ac:dyDescent="0.2">
      <c r="A5703">
        <v>38865</v>
      </c>
      <c r="B5703">
        <v>302186</v>
      </c>
      <c r="C5703" t="s">
        <v>8974</v>
      </c>
      <c r="D5703">
        <v>10</v>
      </c>
      <c r="E5703">
        <v>8</v>
      </c>
      <c r="F5703">
        <v>0</v>
      </c>
      <c r="G5703">
        <v>0</v>
      </c>
      <c r="H5703">
        <v>80</v>
      </c>
      <c r="I5703">
        <v>0</v>
      </c>
      <c r="J5703">
        <v>5.99</v>
      </c>
      <c r="K5703">
        <v>0</v>
      </c>
    </row>
    <row r="5704" spans="1:11" x14ac:dyDescent="0.2">
      <c r="A5704">
        <v>38866</v>
      </c>
      <c r="B5704">
        <v>302190</v>
      </c>
      <c r="C5704" t="s">
        <v>8975</v>
      </c>
      <c r="D5704">
        <v>10</v>
      </c>
      <c r="E5704">
        <v>4</v>
      </c>
      <c r="F5704">
        <v>0</v>
      </c>
      <c r="G5704">
        <v>0</v>
      </c>
      <c r="H5704">
        <v>24</v>
      </c>
      <c r="I5704">
        <v>0</v>
      </c>
      <c r="J5704">
        <v>19.989999999999998</v>
      </c>
      <c r="K5704">
        <v>0</v>
      </c>
    </row>
    <row r="5705" spans="1:11" x14ac:dyDescent="0.2">
      <c r="A5705">
        <v>38867</v>
      </c>
      <c r="B5705">
        <v>302193</v>
      </c>
      <c r="C5705" t="s">
        <v>8939</v>
      </c>
      <c r="D5705">
        <v>10</v>
      </c>
      <c r="E5705">
        <v>8</v>
      </c>
      <c r="F5705">
        <v>0</v>
      </c>
      <c r="G5705">
        <v>0</v>
      </c>
      <c r="H5705">
        <v>40</v>
      </c>
      <c r="I5705">
        <v>0</v>
      </c>
      <c r="J5705">
        <v>16.989999999999998</v>
      </c>
      <c r="K5705">
        <v>0</v>
      </c>
    </row>
    <row r="5706" spans="1:11" x14ac:dyDescent="0.2">
      <c r="A5706">
        <v>47991</v>
      </c>
      <c r="B5706">
        <v>302195</v>
      </c>
      <c r="C5706" t="s">
        <v>8976</v>
      </c>
      <c r="D5706">
        <v>10</v>
      </c>
      <c r="E5706">
        <v>14</v>
      </c>
      <c r="F5706">
        <v>0</v>
      </c>
      <c r="G5706">
        <v>0</v>
      </c>
      <c r="H5706">
        <v>30</v>
      </c>
      <c r="I5706">
        <v>0</v>
      </c>
      <c r="J5706">
        <v>1</v>
      </c>
      <c r="K5706">
        <v>0</v>
      </c>
    </row>
    <row r="5707" spans="1:11" x14ac:dyDescent="0.2">
      <c r="A5707">
        <v>47992</v>
      </c>
      <c r="B5707">
        <v>302196</v>
      </c>
      <c r="C5707" t="s">
        <v>7583</v>
      </c>
      <c r="D5707">
        <v>10</v>
      </c>
      <c r="E5707">
        <v>8</v>
      </c>
      <c r="F5707">
        <v>0</v>
      </c>
      <c r="G5707">
        <v>0</v>
      </c>
      <c r="H5707">
        <v>30</v>
      </c>
      <c r="I5707">
        <v>0</v>
      </c>
      <c r="J5707">
        <v>1</v>
      </c>
      <c r="K5707">
        <v>0</v>
      </c>
    </row>
    <row r="5708" spans="1:11" x14ac:dyDescent="0.2">
      <c r="A5708">
        <v>38868</v>
      </c>
      <c r="B5708">
        <v>302197</v>
      </c>
      <c r="C5708" t="s">
        <v>8963</v>
      </c>
      <c r="D5708">
        <v>10</v>
      </c>
      <c r="E5708">
        <v>10</v>
      </c>
      <c r="F5708">
        <v>0</v>
      </c>
      <c r="G5708">
        <v>0</v>
      </c>
      <c r="H5708">
        <v>18</v>
      </c>
      <c r="I5708">
        <v>0</v>
      </c>
      <c r="J5708">
        <v>9.99</v>
      </c>
      <c r="K5708">
        <v>0</v>
      </c>
    </row>
    <row r="5709" spans="1:11" x14ac:dyDescent="0.2">
      <c r="A5709">
        <v>47993</v>
      </c>
      <c r="B5709">
        <v>302198</v>
      </c>
      <c r="C5709" t="s">
        <v>8531</v>
      </c>
      <c r="D5709">
        <v>10</v>
      </c>
      <c r="E5709">
        <v>14</v>
      </c>
      <c r="F5709">
        <v>0</v>
      </c>
      <c r="G5709">
        <v>0</v>
      </c>
      <c r="H5709">
        <v>16</v>
      </c>
      <c r="I5709">
        <v>0</v>
      </c>
      <c r="J5709">
        <v>1</v>
      </c>
      <c r="K5709">
        <v>0</v>
      </c>
    </row>
    <row r="5710" spans="1:11" x14ac:dyDescent="0.2">
      <c r="A5710">
        <v>47994</v>
      </c>
      <c r="B5710">
        <v>302199</v>
      </c>
      <c r="C5710" t="s">
        <v>8561</v>
      </c>
      <c r="D5710">
        <v>10</v>
      </c>
      <c r="E5710">
        <v>14</v>
      </c>
      <c r="F5710">
        <v>0</v>
      </c>
      <c r="G5710">
        <v>0</v>
      </c>
      <c r="H5710">
        <v>20</v>
      </c>
      <c r="I5710">
        <v>0</v>
      </c>
      <c r="J5710">
        <v>1</v>
      </c>
      <c r="K5710">
        <v>0</v>
      </c>
    </row>
    <row r="5711" spans="1:11" x14ac:dyDescent="0.2">
      <c r="A5711">
        <v>39833</v>
      </c>
      <c r="B5711">
        <v>302200</v>
      </c>
      <c r="C5711" t="s">
        <v>8144</v>
      </c>
      <c r="D5711">
        <v>10</v>
      </c>
      <c r="E5711">
        <v>12</v>
      </c>
      <c r="F5711">
        <v>0</v>
      </c>
      <c r="G5711">
        <v>0</v>
      </c>
      <c r="H5711">
        <v>84</v>
      </c>
      <c r="I5711">
        <v>0</v>
      </c>
      <c r="J5711">
        <v>4.99</v>
      </c>
      <c r="K5711">
        <v>0</v>
      </c>
    </row>
    <row r="5712" spans="1:11" x14ac:dyDescent="0.2">
      <c r="A5712">
        <v>35981</v>
      </c>
      <c r="B5712">
        <v>302207</v>
      </c>
      <c r="C5712" t="s">
        <v>8977</v>
      </c>
      <c r="D5712">
        <v>10</v>
      </c>
      <c r="E5712">
        <v>6</v>
      </c>
      <c r="F5712">
        <v>0</v>
      </c>
      <c r="G5712">
        <v>0</v>
      </c>
      <c r="H5712">
        <v>16</v>
      </c>
      <c r="I5712">
        <v>0</v>
      </c>
      <c r="J5712">
        <v>9.99</v>
      </c>
      <c r="K5712">
        <v>0</v>
      </c>
    </row>
    <row r="5713" spans="1:11" x14ac:dyDescent="0.2">
      <c r="A5713">
        <v>40999</v>
      </c>
      <c r="B5713">
        <v>302210</v>
      </c>
      <c r="C5713" t="s">
        <v>8978</v>
      </c>
      <c r="D5713">
        <v>10</v>
      </c>
      <c r="E5713">
        <v>8</v>
      </c>
      <c r="F5713">
        <v>0</v>
      </c>
      <c r="G5713">
        <v>0</v>
      </c>
      <c r="H5713">
        <v>90</v>
      </c>
      <c r="I5713">
        <v>0</v>
      </c>
      <c r="J5713">
        <v>1</v>
      </c>
      <c r="K5713">
        <v>0</v>
      </c>
    </row>
    <row r="5714" spans="1:11" x14ac:dyDescent="0.2">
      <c r="A5714">
        <v>39834</v>
      </c>
      <c r="B5714">
        <v>302229</v>
      </c>
      <c r="C5714" t="s">
        <v>8979</v>
      </c>
      <c r="D5714">
        <v>10</v>
      </c>
      <c r="E5714">
        <v>16</v>
      </c>
      <c r="F5714">
        <v>0</v>
      </c>
      <c r="G5714">
        <v>0</v>
      </c>
      <c r="H5714">
        <v>56</v>
      </c>
      <c r="I5714">
        <v>0</v>
      </c>
      <c r="J5714">
        <v>4.99</v>
      </c>
      <c r="K5714">
        <v>0</v>
      </c>
    </row>
    <row r="5715" spans="1:11" x14ac:dyDescent="0.2">
      <c r="A5715">
        <v>39835</v>
      </c>
      <c r="B5715">
        <v>302230</v>
      </c>
      <c r="C5715" t="s">
        <v>8854</v>
      </c>
      <c r="D5715">
        <v>10</v>
      </c>
      <c r="E5715">
        <v>20</v>
      </c>
      <c r="F5715">
        <v>0</v>
      </c>
      <c r="G5715">
        <v>0</v>
      </c>
      <c r="H5715">
        <v>90</v>
      </c>
      <c r="I5715">
        <v>0</v>
      </c>
      <c r="J5715">
        <v>3.49</v>
      </c>
      <c r="K5715">
        <v>0</v>
      </c>
    </row>
    <row r="5716" spans="1:11" x14ac:dyDescent="0.2">
      <c r="A5716">
        <v>39836</v>
      </c>
      <c r="B5716">
        <v>302233</v>
      </c>
      <c r="C5716" t="s">
        <v>8980</v>
      </c>
      <c r="D5716">
        <v>10</v>
      </c>
      <c r="E5716">
        <v>10</v>
      </c>
      <c r="F5716">
        <v>0</v>
      </c>
      <c r="G5716">
        <v>0</v>
      </c>
      <c r="H5716">
        <v>45</v>
      </c>
      <c r="I5716">
        <v>0</v>
      </c>
      <c r="J5716">
        <v>5.99</v>
      </c>
      <c r="K5716">
        <v>0</v>
      </c>
    </row>
    <row r="5717" spans="1:11" x14ac:dyDescent="0.2">
      <c r="A5717">
        <v>40836</v>
      </c>
      <c r="B5717">
        <v>302234</v>
      </c>
      <c r="C5717" t="s">
        <v>8981</v>
      </c>
      <c r="D5717">
        <v>10</v>
      </c>
      <c r="E5717">
        <v>10</v>
      </c>
      <c r="F5717">
        <v>0</v>
      </c>
      <c r="G5717">
        <v>0</v>
      </c>
      <c r="H5717">
        <v>40</v>
      </c>
      <c r="I5717">
        <v>0</v>
      </c>
      <c r="J5717">
        <v>4.99</v>
      </c>
      <c r="K5717">
        <v>0</v>
      </c>
    </row>
    <row r="5718" spans="1:11" x14ac:dyDescent="0.2">
      <c r="A5718">
        <v>40837</v>
      </c>
      <c r="B5718">
        <v>302260</v>
      </c>
      <c r="C5718" t="s">
        <v>8982</v>
      </c>
      <c r="D5718">
        <v>10</v>
      </c>
      <c r="E5718">
        <v>8</v>
      </c>
      <c r="F5718">
        <v>0</v>
      </c>
      <c r="G5718">
        <v>0</v>
      </c>
      <c r="H5718">
        <v>50</v>
      </c>
      <c r="I5718">
        <v>0</v>
      </c>
      <c r="J5718">
        <v>6.99</v>
      </c>
      <c r="K5718">
        <v>0</v>
      </c>
    </row>
    <row r="5719" spans="1:11" x14ac:dyDescent="0.2">
      <c r="A5719">
        <v>40838</v>
      </c>
      <c r="B5719">
        <v>302264</v>
      </c>
      <c r="C5719" t="s">
        <v>8983</v>
      </c>
      <c r="D5719">
        <v>10</v>
      </c>
      <c r="E5719">
        <v>8</v>
      </c>
      <c r="F5719">
        <v>0</v>
      </c>
      <c r="G5719">
        <v>0</v>
      </c>
      <c r="H5719">
        <v>36</v>
      </c>
      <c r="I5719">
        <v>0</v>
      </c>
      <c r="J5719">
        <v>9.99</v>
      </c>
      <c r="K5719">
        <v>0</v>
      </c>
    </row>
    <row r="5720" spans="1:11" x14ac:dyDescent="0.2">
      <c r="A5720">
        <v>36426</v>
      </c>
      <c r="B5720">
        <v>302271</v>
      </c>
      <c r="C5720" t="s">
        <v>8984</v>
      </c>
      <c r="D5720">
        <v>10</v>
      </c>
      <c r="E5720">
        <v>10</v>
      </c>
      <c r="F5720">
        <v>0</v>
      </c>
      <c r="G5720">
        <v>0</v>
      </c>
      <c r="H5720">
        <v>72</v>
      </c>
      <c r="I5720">
        <v>0</v>
      </c>
      <c r="J5720">
        <v>1</v>
      </c>
      <c r="K5720">
        <v>0</v>
      </c>
    </row>
    <row r="5721" spans="1:11" x14ac:dyDescent="0.2">
      <c r="A5721">
        <v>42841</v>
      </c>
      <c r="B5721">
        <v>302285</v>
      </c>
      <c r="C5721" t="s">
        <v>8985</v>
      </c>
      <c r="D5721">
        <v>10</v>
      </c>
      <c r="E5721">
        <v>28</v>
      </c>
      <c r="F5721">
        <v>2</v>
      </c>
      <c r="G5721">
        <v>56</v>
      </c>
      <c r="H5721">
        <v>32</v>
      </c>
      <c r="I5721">
        <v>0.1</v>
      </c>
      <c r="J5721">
        <v>4.99</v>
      </c>
      <c r="K5721">
        <v>279.44</v>
      </c>
    </row>
    <row r="5722" spans="1:11" x14ac:dyDescent="0.2">
      <c r="A5722">
        <v>52102</v>
      </c>
      <c r="B5722">
        <v>302287</v>
      </c>
      <c r="C5722" t="s">
        <v>8986</v>
      </c>
      <c r="D5722">
        <v>10</v>
      </c>
      <c r="E5722">
        <v>16</v>
      </c>
      <c r="F5722">
        <v>576</v>
      </c>
      <c r="G5722">
        <v>9216</v>
      </c>
      <c r="H5722">
        <v>12</v>
      </c>
      <c r="I5722">
        <v>48</v>
      </c>
      <c r="J5722">
        <v>13.99</v>
      </c>
      <c r="K5722">
        <v>128931.84</v>
      </c>
    </row>
    <row r="5723" spans="1:11" x14ac:dyDescent="0.2">
      <c r="A5723">
        <v>50025</v>
      </c>
      <c r="B5723">
        <v>302301</v>
      </c>
      <c r="C5723" t="s">
        <v>8779</v>
      </c>
      <c r="D5723">
        <v>10</v>
      </c>
      <c r="E5723">
        <v>14</v>
      </c>
      <c r="F5723">
        <v>2</v>
      </c>
      <c r="G5723">
        <v>28</v>
      </c>
      <c r="H5723">
        <v>24</v>
      </c>
      <c r="I5723">
        <v>0.1</v>
      </c>
      <c r="J5723">
        <v>14.99</v>
      </c>
      <c r="K5723">
        <v>419.72</v>
      </c>
    </row>
    <row r="5724" spans="1:11" x14ac:dyDescent="0.2">
      <c r="A5724">
        <v>50809</v>
      </c>
      <c r="B5724">
        <v>302302</v>
      </c>
      <c r="C5724" t="s">
        <v>8987</v>
      </c>
      <c r="D5724">
        <v>10</v>
      </c>
      <c r="E5724">
        <v>1</v>
      </c>
      <c r="F5724">
        <v>-20</v>
      </c>
      <c r="G5724">
        <v>-20</v>
      </c>
      <c r="H5724">
        <v>48</v>
      </c>
      <c r="I5724">
        <v>-0.4</v>
      </c>
      <c r="J5724">
        <v>79.989999999999995</v>
      </c>
      <c r="K5724">
        <v>-1599.8</v>
      </c>
    </row>
    <row r="5725" spans="1:11" x14ac:dyDescent="0.2">
      <c r="A5725">
        <v>39837</v>
      </c>
      <c r="B5725">
        <v>302303</v>
      </c>
      <c r="C5725" t="s">
        <v>8988</v>
      </c>
      <c r="D5725">
        <v>10</v>
      </c>
      <c r="E5725">
        <v>1</v>
      </c>
      <c r="F5725">
        <v>0</v>
      </c>
      <c r="G5725">
        <v>0</v>
      </c>
      <c r="H5725">
        <v>32</v>
      </c>
      <c r="I5725">
        <v>0</v>
      </c>
      <c r="J5725">
        <v>79.989999999999995</v>
      </c>
      <c r="K5725">
        <v>0</v>
      </c>
    </row>
    <row r="5726" spans="1:11" x14ac:dyDescent="0.2">
      <c r="A5726">
        <v>39838</v>
      </c>
      <c r="B5726">
        <v>302304</v>
      </c>
      <c r="C5726" t="s">
        <v>8989</v>
      </c>
      <c r="D5726">
        <v>10</v>
      </c>
      <c r="E5726">
        <v>4</v>
      </c>
      <c r="F5726">
        <v>0</v>
      </c>
      <c r="G5726">
        <v>0</v>
      </c>
      <c r="H5726">
        <v>26</v>
      </c>
      <c r="I5726">
        <v>0</v>
      </c>
      <c r="J5726">
        <v>13.99</v>
      </c>
      <c r="K5726">
        <v>0</v>
      </c>
    </row>
    <row r="5727" spans="1:11" x14ac:dyDescent="0.2">
      <c r="A5727">
        <v>39839</v>
      </c>
      <c r="B5727">
        <v>302306</v>
      </c>
      <c r="C5727" t="s">
        <v>8990</v>
      </c>
      <c r="D5727">
        <v>10</v>
      </c>
      <c r="E5727">
        <v>8</v>
      </c>
      <c r="F5727">
        <v>0</v>
      </c>
      <c r="G5727">
        <v>0</v>
      </c>
      <c r="H5727">
        <v>72</v>
      </c>
      <c r="I5727">
        <v>0</v>
      </c>
      <c r="J5727">
        <v>7.99</v>
      </c>
      <c r="K5727">
        <v>0</v>
      </c>
    </row>
    <row r="5728" spans="1:11" x14ac:dyDescent="0.2">
      <c r="A5728">
        <v>33852</v>
      </c>
      <c r="B5728">
        <v>302307</v>
      </c>
      <c r="C5728" t="s">
        <v>8991</v>
      </c>
      <c r="D5728">
        <v>10</v>
      </c>
      <c r="E5728">
        <v>6</v>
      </c>
      <c r="F5728">
        <v>0</v>
      </c>
      <c r="G5728">
        <v>0</v>
      </c>
      <c r="H5728">
        <v>60</v>
      </c>
      <c r="I5728">
        <v>0</v>
      </c>
      <c r="J5728">
        <v>7.99</v>
      </c>
      <c r="K5728">
        <v>0</v>
      </c>
    </row>
    <row r="5729" spans="1:11" x14ac:dyDescent="0.2">
      <c r="A5729">
        <v>50387</v>
      </c>
      <c r="B5729">
        <v>302308</v>
      </c>
      <c r="C5729" t="s">
        <v>8992</v>
      </c>
      <c r="D5729">
        <v>10</v>
      </c>
      <c r="E5729">
        <v>10</v>
      </c>
      <c r="F5729">
        <v>0</v>
      </c>
      <c r="G5729">
        <v>0</v>
      </c>
      <c r="H5729">
        <v>108</v>
      </c>
      <c r="I5729">
        <v>0</v>
      </c>
      <c r="J5729">
        <v>7.99</v>
      </c>
      <c r="K5729">
        <v>0</v>
      </c>
    </row>
    <row r="5730" spans="1:11" x14ac:dyDescent="0.2">
      <c r="A5730">
        <v>39841</v>
      </c>
      <c r="B5730">
        <v>302309</v>
      </c>
      <c r="C5730" t="s">
        <v>8993</v>
      </c>
      <c r="D5730">
        <v>10</v>
      </c>
      <c r="E5730">
        <v>6</v>
      </c>
      <c r="F5730">
        <v>0</v>
      </c>
      <c r="G5730">
        <v>0</v>
      </c>
      <c r="H5730">
        <v>112</v>
      </c>
      <c r="I5730">
        <v>0</v>
      </c>
      <c r="J5730">
        <v>7.49</v>
      </c>
      <c r="K5730">
        <v>0</v>
      </c>
    </row>
    <row r="5731" spans="1:11" x14ac:dyDescent="0.2">
      <c r="A5731">
        <v>47995</v>
      </c>
      <c r="B5731">
        <v>302314</v>
      </c>
      <c r="C5731" t="s">
        <v>8994</v>
      </c>
      <c r="D5731">
        <v>10</v>
      </c>
      <c r="E5731">
        <v>18</v>
      </c>
      <c r="F5731">
        <v>0</v>
      </c>
      <c r="G5731">
        <v>0</v>
      </c>
      <c r="H5731">
        <v>88</v>
      </c>
      <c r="I5731">
        <v>0</v>
      </c>
      <c r="J5731">
        <v>1</v>
      </c>
      <c r="K5731">
        <v>0</v>
      </c>
    </row>
    <row r="5732" spans="1:11" x14ac:dyDescent="0.2">
      <c r="A5732">
        <v>2260</v>
      </c>
      <c r="B5732">
        <v>302318</v>
      </c>
      <c r="C5732" t="s">
        <v>8995</v>
      </c>
      <c r="D5732">
        <v>10</v>
      </c>
      <c r="E5732">
        <v>12</v>
      </c>
      <c r="F5732">
        <v>264</v>
      </c>
      <c r="G5732">
        <v>3168</v>
      </c>
      <c r="H5732">
        <v>36</v>
      </c>
      <c r="I5732">
        <v>7.3</v>
      </c>
      <c r="J5732">
        <v>6.99</v>
      </c>
      <c r="K5732">
        <v>22144.32</v>
      </c>
    </row>
    <row r="5733" spans="1:11" x14ac:dyDescent="0.2">
      <c r="A5733">
        <v>47911</v>
      </c>
      <c r="B5733">
        <v>302321</v>
      </c>
      <c r="C5733" t="s">
        <v>8996</v>
      </c>
      <c r="D5733">
        <v>10</v>
      </c>
      <c r="E5733">
        <v>15</v>
      </c>
      <c r="F5733">
        <v>0</v>
      </c>
      <c r="G5733">
        <v>0</v>
      </c>
      <c r="H5733">
        <v>110</v>
      </c>
      <c r="I5733">
        <v>0</v>
      </c>
      <c r="J5733">
        <v>1</v>
      </c>
      <c r="K5733">
        <v>0</v>
      </c>
    </row>
    <row r="5734" spans="1:11" x14ac:dyDescent="0.2">
      <c r="A5734">
        <v>38869</v>
      </c>
      <c r="B5734">
        <v>302325</v>
      </c>
      <c r="C5734" t="s">
        <v>8997</v>
      </c>
      <c r="D5734">
        <v>10</v>
      </c>
      <c r="E5734">
        <v>10</v>
      </c>
      <c r="F5734">
        <v>0</v>
      </c>
      <c r="G5734">
        <v>0</v>
      </c>
      <c r="H5734">
        <v>48</v>
      </c>
      <c r="I5734">
        <v>0</v>
      </c>
      <c r="J5734">
        <v>7.99</v>
      </c>
      <c r="K5734">
        <v>0</v>
      </c>
    </row>
    <row r="5735" spans="1:11" x14ac:dyDescent="0.2">
      <c r="A5735">
        <v>41850</v>
      </c>
      <c r="B5735">
        <v>302328</v>
      </c>
      <c r="C5735" t="s">
        <v>8998</v>
      </c>
      <c r="D5735">
        <v>10</v>
      </c>
      <c r="E5735">
        <v>4</v>
      </c>
      <c r="F5735">
        <v>0</v>
      </c>
      <c r="G5735">
        <v>0</v>
      </c>
      <c r="H5735">
        <v>36</v>
      </c>
      <c r="I5735">
        <v>0</v>
      </c>
      <c r="J5735">
        <v>19.989999999999998</v>
      </c>
      <c r="K5735">
        <v>0</v>
      </c>
    </row>
    <row r="5736" spans="1:11" x14ac:dyDescent="0.2">
      <c r="A5736">
        <v>39843</v>
      </c>
      <c r="B5736">
        <v>302334</v>
      </c>
      <c r="C5736" t="s">
        <v>8999</v>
      </c>
      <c r="D5736">
        <v>10</v>
      </c>
      <c r="E5736">
        <v>9</v>
      </c>
      <c r="F5736">
        <v>0</v>
      </c>
      <c r="G5736">
        <v>0</v>
      </c>
      <c r="H5736">
        <v>80</v>
      </c>
      <c r="I5736">
        <v>0</v>
      </c>
      <c r="J5736">
        <v>5.99</v>
      </c>
      <c r="K5736">
        <v>0</v>
      </c>
    </row>
    <row r="5737" spans="1:11" x14ac:dyDescent="0.2">
      <c r="A5737">
        <v>50001</v>
      </c>
      <c r="B5737">
        <v>302336</v>
      </c>
      <c r="C5737" t="s">
        <v>8156</v>
      </c>
      <c r="D5737">
        <v>10</v>
      </c>
      <c r="E5737">
        <v>14</v>
      </c>
      <c r="F5737">
        <v>0</v>
      </c>
      <c r="G5737">
        <v>0</v>
      </c>
      <c r="H5737">
        <v>100</v>
      </c>
      <c r="I5737">
        <v>0</v>
      </c>
      <c r="J5737">
        <v>4.99</v>
      </c>
      <c r="K5737">
        <v>0</v>
      </c>
    </row>
    <row r="5738" spans="1:11" x14ac:dyDescent="0.2">
      <c r="A5738">
        <v>40839</v>
      </c>
      <c r="B5738">
        <v>302339</v>
      </c>
      <c r="C5738" t="s">
        <v>9000</v>
      </c>
      <c r="D5738">
        <v>10</v>
      </c>
      <c r="E5738">
        <v>6</v>
      </c>
      <c r="F5738">
        <v>0</v>
      </c>
      <c r="G5738">
        <v>0</v>
      </c>
      <c r="H5738">
        <v>56</v>
      </c>
      <c r="I5738">
        <v>0</v>
      </c>
      <c r="J5738">
        <v>6.99</v>
      </c>
      <c r="K5738">
        <v>0</v>
      </c>
    </row>
    <row r="5739" spans="1:11" x14ac:dyDescent="0.2">
      <c r="A5739">
        <v>43946</v>
      </c>
      <c r="B5739">
        <v>302352</v>
      </c>
      <c r="C5739" t="s">
        <v>9001</v>
      </c>
      <c r="D5739">
        <v>10</v>
      </c>
      <c r="E5739">
        <v>24</v>
      </c>
      <c r="F5739">
        <v>0</v>
      </c>
      <c r="G5739">
        <v>0</v>
      </c>
      <c r="H5739">
        <v>169</v>
      </c>
      <c r="I5739">
        <v>0</v>
      </c>
      <c r="J5739">
        <v>1</v>
      </c>
      <c r="K5739">
        <v>0</v>
      </c>
    </row>
    <row r="5740" spans="1:11" x14ac:dyDescent="0.2">
      <c r="A5740">
        <v>40840</v>
      </c>
      <c r="B5740">
        <v>302366</v>
      </c>
      <c r="C5740" t="s">
        <v>9002</v>
      </c>
      <c r="D5740">
        <v>10</v>
      </c>
      <c r="E5740">
        <v>4</v>
      </c>
      <c r="F5740">
        <v>0</v>
      </c>
      <c r="G5740">
        <v>0</v>
      </c>
      <c r="H5740">
        <v>120</v>
      </c>
      <c r="I5740">
        <v>0</v>
      </c>
      <c r="J5740">
        <v>39.99</v>
      </c>
      <c r="K5740">
        <v>0</v>
      </c>
    </row>
    <row r="5741" spans="1:11" x14ac:dyDescent="0.2">
      <c r="A5741">
        <v>39844</v>
      </c>
      <c r="B5741">
        <v>302390</v>
      </c>
      <c r="C5741" t="s">
        <v>9003</v>
      </c>
      <c r="D5741">
        <v>10</v>
      </c>
      <c r="E5741">
        <v>18</v>
      </c>
      <c r="F5741">
        <v>0</v>
      </c>
      <c r="G5741">
        <v>0</v>
      </c>
      <c r="H5741">
        <v>70</v>
      </c>
      <c r="I5741">
        <v>0</v>
      </c>
      <c r="J5741">
        <v>3.49</v>
      </c>
      <c r="K5741">
        <v>0</v>
      </c>
    </row>
    <row r="5742" spans="1:11" x14ac:dyDescent="0.2">
      <c r="A5742">
        <v>39845</v>
      </c>
      <c r="B5742">
        <v>302394</v>
      </c>
      <c r="C5742" t="s">
        <v>9004</v>
      </c>
      <c r="D5742">
        <v>10</v>
      </c>
      <c r="E5742">
        <v>2</v>
      </c>
      <c r="F5742">
        <v>0</v>
      </c>
      <c r="G5742">
        <v>0</v>
      </c>
      <c r="H5742">
        <v>120</v>
      </c>
      <c r="I5742">
        <v>0</v>
      </c>
      <c r="J5742">
        <v>24.99</v>
      </c>
      <c r="K5742">
        <v>0</v>
      </c>
    </row>
    <row r="5743" spans="1:11" x14ac:dyDescent="0.2">
      <c r="A5743">
        <v>32834</v>
      </c>
      <c r="B5743">
        <v>302398</v>
      </c>
      <c r="C5743" t="s">
        <v>9005</v>
      </c>
      <c r="D5743">
        <v>10</v>
      </c>
      <c r="E5743">
        <v>5</v>
      </c>
      <c r="F5743">
        <v>0</v>
      </c>
      <c r="G5743">
        <v>0</v>
      </c>
      <c r="H5743">
        <v>360</v>
      </c>
      <c r="I5743">
        <v>0</v>
      </c>
      <c r="J5743">
        <v>6.99</v>
      </c>
      <c r="K5743">
        <v>0</v>
      </c>
    </row>
    <row r="5744" spans="1:11" x14ac:dyDescent="0.2">
      <c r="A5744">
        <v>32835</v>
      </c>
      <c r="B5744">
        <v>302399</v>
      </c>
      <c r="C5744" t="s">
        <v>9006</v>
      </c>
      <c r="D5744">
        <v>10</v>
      </c>
      <c r="E5744">
        <v>10</v>
      </c>
      <c r="F5744">
        <v>0</v>
      </c>
      <c r="G5744">
        <v>0</v>
      </c>
      <c r="H5744">
        <v>313</v>
      </c>
      <c r="I5744">
        <v>0</v>
      </c>
      <c r="J5744">
        <v>4.99</v>
      </c>
      <c r="K5744">
        <v>0</v>
      </c>
    </row>
    <row r="5745" spans="1:12" x14ac:dyDescent="0.2">
      <c r="A5745">
        <v>33853</v>
      </c>
      <c r="B5745">
        <v>302404</v>
      </c>
      <c r="C5745" t="s">
        <v>9007</v>
      </c>
      <c r="D5745">
        <v>10</v>
      </c>
      <c r="E5745">
        <v>10</v>
      </c>
      <c r="F5745">
        <v>0</v>
      </c>
      <c r="G5745">
        <v>0</v>
      </c>
      <c r="H5745">
        <v>60</v>
      </c>
      <c r="I5745">
        <v>0</v>
      </c>
      <c r="J5745">
        <v>4.99</v>
      </c>
      <c r="K5745">
        <v>0</v>
      </c>
    </row>
    <row r="5746" spans="1:12" x14ac:dyDescent="0.2">
      <c r="A5746">
        <v>45434</v>
      </c>
      <c r="B5746">
        <v>302432</v>
      </c>
      <c r="C5746" t="s">
        <v>8780</v>
      </c>
      <c r="D5746">
        <v>10</v>
      </c>
      <c r="E5746">
        <v>14</v>
      </c>
      <c r="F5746">
        <v>0</v>
      </c>
      <c r="G5746">
        <v>0</v>
      </c>
      <c r="H5746">
        <v>40</v>
      </c>
      <c r="I5746">
        <v>0</v>
      </c>
      <c r="J5746">
        <v>5.99</v>
      </c>
      <c r="K5746">
        <v>0</v>
      </c>
    </row>
    <row r="5747" spans="1:12" x14ac:dyDescent="0.2">
      <c r="A5747">
        <v>35982</v>
      </c>
      <c r="B5747">
        <v>302437</v>
      </c>
      <c r="C5747" t="s">
        <v>9008</v>
      </c>
      <c r="D5747">
        <v>10</v>
      </c>
      <c r="E5747">
        <v>12</v>
      </c>
      <c r="F5747">
        <v>0</v>
      </c>
      <c r="G5747">
        <v>0</v>
      </c>
      <c r="H5747">
        <v>30</v>
      </c>
      <c r="I5747">
        <v>0</v>
      </c>
      <c r="J5747">
        <v>5.99</v>
      </c>
      <c r="K5747">
        <v>0</v>
      </c>
    </row>
    <row r="5748" spans="1:12" x14ac:dyDescent="0.2">
      <c r="A5748">
        <v>1325</v>
      </c>
      <c r="B5748">
        <v>302438</v>
      </c>
      <c r="C5748" t="s">
        <v>9009</v>
      </c>
      <c r="D5748">
        <v>11</v>
      </c>
      <c r="E5748">
        <v>8</v>
      </c>
      <c r="F5748">
        <v>0</v>
      </c>
      <c r="G5748">
        <v>0</v>
      </c>
      <c r="H5748">
        <v>30</v>
      </c>
      <c r="I5748">
        <v>0</v>
      </c>
      <c r="J5748">
        <v>7.99</v>
      </c>
      <c r="K5748">
        <v>0</v>
      </c>
      <c r="L5748" t="s">
        <v>3699</v>
      </c>
    </row>
    <row r="5749" spans="1:12" x14ac:dyDescent="0.2">
      <c r="A5749">
        <v>33854</v>
      </c>
      <c r="B5749">
        <v>302440</v>
      </c>
      <c r="C5749" t="s">
        <v>9010</v>
      </c>
      <c r="D5749">
        <v>10</v>
      </c>
      <c r="E5749">
        <v>8</v>
      </c>
      <c r="F5749">
        <v>0</v>
      </c>
      <c r="G5749">
        <v>0</v>
      </c>
      <c r="H5749">
        <v>24</v>
      </c>
      <c r="I5749">
        <v>0</v>
      </c>
      <c r="J5749">
        <v>6.99</v>
      </c>
      <c r="K5749">
        <v>0</v>
      </c>
    </row>
    <row r="5750" spans="1:12" x14ac:dyDescent="0.2">
      <c r="A5750">
        <v>28124</v>
      </c>
      <c r="B5750">
        <v>302441</v>
      </c>
      <c r="C5750" t="s">
        <v>9011</v>
      </c>
      <c r="D5750">
        <v>10</v>
      </c>
      <c r="E5750">
        <v>8</v>
      </c>
      <c r="F5750">
        <v>0</v>
      </c>
      <c r="G5750">
        <v>0</v>
      </c>
      <c r="H5750">
        <v>100</v>
      </c>
      <c r="I5750">
        <v>0</v>
      </c>
      <c r="J5750">
        <v>4.99</v>
      </c>
      <c r="K5750">
        <v>0</v>
      </c>
    </row>
    <row r="5751" spans="1:12" x14ac:dyDescent="0.2">
      <c r="A5751">
        <v>32836</v>
      </c>
      <c r="B5751">
        <v>302442</v>
      </c>
      <c r="C5751" t="s">
        <v>9012</v>
      </c>
      <c r="D5751">
        <v>10</v>
      </c>
      <c r="E5751">
        <v>4</v>
      </c>
      <c r="F5751">
        <v>0</v>
      </c>
      <c r="G5751">
        <v>0</v>
      </c>
      <c r="H5751">
        <v>108</v>
      </c>
      <c r="I5751">
        <v>0</v>
      </c>
      <c r="J5751">
        <v>12.99</v>
      </c>
      <c r="K5751">
        <v>0</v>
      </c>
    </row>
    <row r="5752" spans="1:12" x14ac:dyDescent="0.2">
      <c r="A5752">
        <v>40911</v>
      </c>
      <c r="B5752">
        <v>302443</v>
      </c>
      <c r="C5752" t="s">
        <v>9013</v>
      </c>
      <c r="D5752">
        <v>10</v>
      </c>
      <c r="E5752">
        <v>24</v>
      </c>
      <c r="F5752">
        <v>0</v>
      </c>
      <c r="G5752">
        <v>0</v>
      </c>
      <c r="H5752">
        <v>60</v>
      </c>
      <c r="I5752">
        <v>0</v>
      </c>
      <c r="J5752">
        <v>1</v>
      </c>
      <c r="K5752">
        <v>0</v>
      </c>
    </row>
    <row r="5753" spans="1:12" x14ac:dyDescent="0.2">
      <c r="A5753">
        <v>33855</v>
      </c>
      <c r="B5753">
        <v>302445</v>
      </c>
      <c r="C5753" t="s">
        <v>9014</v>
      </c>
      <c r="D5753">
        <v>10</v>
      </c>
      <c r="E5753">
        <v>10</v>
      </c>
      <c r="F5753">
        <v>0</v>
      </c>
      <c r="G5753">
        <v>0</v>
      </c>
      <c r="H5753">
        <v>42</v>
      </c>
      <c r="I5753">
        <v>0</v>
      </c>
      <c r="J5753">
        <v>4.99</v>
      </c>
      <c r="K5753">
        <v>0</v>
      </c>
    </row>
    <row r="5754" spans="1:12" x14ac:dyDescent="0.2">
      <c r="A5754">
        <v>33856</v>
      </c>
      <c r="B5754">
        <v>302447</v>
      </c>
      <c r="C5754" t="s">
        <v>9015</v>
      </c>
      <c r="D5754">
        <v>10</v>
      </c>
      <c r="E5754">
        <v>2</v>
      </c>
      <c r="F5754">
        <v>0</v>
      </c>
      <c r="G5754">
        <v>0</v>
      </c>
      <c r="H5754">
        <v>18</v>
      </c>
      <c r="I5754">
        <v>0</v>
      </c>
      <c r="J5754">
        <v>37.99</v>
      </c>
      <c r="K5754">
        <v>0</v>
      </c>
    </row>
    <row r="5755" spans="1:12" x14ac:dyDescent="0.2">
      <c r="A5755">
        <v>49028</v>
      </c>
      <c r="B5755">
        <v>302453</v>
      </c>
      <c r="C5755" t="s">
        <v>7534</v>
      </c>
      <c r="D5755">
        <v>10</v>
      </c>
      <c r="E5755">
        <v>2</v>
      </c>
      <c r="F5755">
        <v>0</v>
      </c>
      <c r="G5755">
        <v>0</v>
      </c>
      <c r="H5755">
        <v>36</v>
      </c>
      <c r="I5755">
        <v>0</v>
      </c>
      <c r="J5755">
        <v>44.99</v>
      </c>
      <c r="K5755">
        <v>0</v>
      </c>
    </row>
    <row r="5756" spans="1:12" x14ac:dyDescent="0.2">
      <c r="A5756">
        <v>43847</v>
      </c>
      <c r="B5756">
        <v>302456</v>
      </c>
      <c r="C5756" t="s">
        <v>9016</v>
      </c>
      <c r="D5756">
        <v>6</v>
      </c>
      <c r="E5756">
        <v>10</v>
      </c>
      <c r="F5756">
        <v>-1</v>
      </c>
      <c r="G5756">
        <v>-10</v>
      </c>
      <c r="H5756">
        <v>84</v>
      </c>
      <c r="I5756">
        <v>0</v>
      </c>
      <c r="J5756">
        <v>6.99</v>
      </c>
      <c r="K5756">
        <v>-69.900000000000006</v>
      </c>
    </row>
    <row r="5757" spans="1:12" x14ac:dyDescent="0.2">
      <c r="A5757">
        <v>49030</v>
      </c>
      <c r="B5757">
        <v>302461</v>
      </c>
      <c r="C5757" t="s">
        <v>9017</v>
      </c>
      <c r="D5757">
        <v>10</v>
      </c>
      <c r="E5757">
        <v>12</v>
      </c>
      <c r="F5757">
        <v>1</v>
      </c>
      <c r="G5757">
        <v>11</v>
      </c>
      <c r="H5757">
        <v>72</v>
      </c>
      <c r="I5757">
        <v>0</v>
      </c>
      <c r="J5757">
        <v>7.99</v>
      </c>
      <c r="K5757">
        <v>87.89</v>
      </c>
    </row>
    <row r="5758" spans="1:12" x14ac:dyDescent="0.2">
      <c r="A5758">
        <v>49139</v>
      </c>
      <c r="B5758">
        <v>302462</v>
      </c>
      <c r="C5758" t="s">
        <v>9018</v>
      </c>
      <c r="D5758">
        <v>10</v>
      </c>
      <c r="E5758">
        <v>4</v>
      </c>
      <c r="F5758">
        <v>0</v>
      </c>
      <c r="G5758">
        <v>0</v>
      </c>
      <c r="H5758">
        <v>42</v>
      </c>
      <c r="I5758">
        <v>0</v>
      </c>
      <c r="J5758">
        <v>19.989999999999998</v>
      </c>
      <c r="K5758">
        <v>0</v>
      </c>
    </row>
    <row r="5759" spans="1:12" x14ac:dyDescent="0.2">
      <c r="A5759">
        <v>48821</v>
      </c>
      <c r="B5759">
        <v>302470</v>
      </c>
      <c r="C5759" t="s">
        <v>7807</v>
      </c>
      <c r="D5759">
        <v>10</v>
      </c>
      <c r="E5759">
        <v>14</v>
      </c>
      <c r="F5759">
        <v>2</v>
      </c>
      <c r="G5759">
        <v>28</v>
      </c>
      <c r="H5759">
        <v>56</v>
      </c>
      <c r="I5759">
        <v>0</v>
      </c>
      <c r="J5759">
        <v>11.99</v>
      </c>
      <c r="K5759">
        <v>335.72</v>
      </c>
    </row>
    <row r="5760" spans="1:12" x14ac:dyDescent="0.2">
      <c r="A5760">
        <v>37833</v>
      </c>
      <c r="B5760">
        <v>302471</v>
      </c>
      <c r="C5760" t="s">
        <v>9019</v>
      </c>
      <c r="D5760">
        <v>10</v>
      </c>
      <c r="E5760">
        <v>12</v>
      </c>
      <c r="F5760">
        <v>0</v>
      </c>
      <c r="G5760">
        <v>0</v>
      </c>
      <c r="H5760">
        <v>42</v>
      </c>
      <c r="I5760">
        <v>0</v>
      </c>
      <c r="J5760">
        <v>9.99</v>
      </c>
      <c r="K5760">
        <v>0</v>
      </c>
    </row>
    <row r="5761" spans="1:11" x14ac:dyDescent="0.2">
      <c r="A5761">
        <v>39846</v>
      </c>
      <c r="B5761">
        <v>302473</v>
      </c>
      <c r="C5761" t="s">
        <v>8294</v>
      </c>
      <c r="D5761">
        <v>10</v>
      </c>
      <c r="E5761">
        <v>4</v>
      </c>
      <c r="F5761">
        <v>0</v>
      </c>
      <c r="G5761">
        <v>0</v>
      </c>
      <c r="H5761">
        <v>20</v>
      </c>
      <c r="I5761">
        <v>0</v>
      </c>
      <c r="J5761">
        <v>24.99</v>
      </c>
      <c r="K5761">
        <v>0</v>
      </c>
    </row>
    <row r="5762" spans="1:11" x14ac:dyDescent="0.2">
      <c r="A5762">
        <v>39847</v>
      </c>
      <c r="B5762">
        <v>302475</v>
      </c>
      <c r="C5762" t="s">
        <v>8305</v>
      </c>
      <c r="D5762">
        <v>10</v>
      </c>
      <c r="E5762">
        <v>12</v>
      </c>
      <c r="F5762">
        <v>0</v>
      </c>
      <c r="G5762">
        <v>0</v>
      </c>
      <c r="H5762">
        <v>98</v>
      </c>
      <c r="I5762">
        <v>0</v>
      </c>
      <c r="J5762">
        <v>8.99</v>
      </c>
      <c r="K5762">
        <v>0</v>
      </c>
    </row>
    <row r="5763" spans="1:11" x14ac:dyDescent="0.2">
      <c r="A5763">
        <v>35984</v>
      </c>
      <c r="B5763">
        <v>302477</v>
      </c>
      <c r="C5763" t="s">
        <v>9020</v>
      </c>
      <c r="D5763">
        <v>10</v>
      </c>
      <c r="E5763">
        <v>10</v>
      </c>
      <c r="F5763">
        <v>0</v>
      </c>
      <c r="G5763">
        <v>0</v>
      </c>
      <c r="H5763">
        <v>116</v>
      </c>
      <c r="I5763">
        <v>0</v>
      </c>
      <c r="J5763">
        <v>14.99</v>
      </c>
      <c r="K5763">
        <v>0</v>
      </c>
    </row>
    <row r="5764" spans="1:11" x14ac:dyDescent="0.2">
      <c r="A5764">
        <v>43848</v>
      </c>
      <c r="B5764">
        <v>302480</v>
      </c>
      <c r="C5764" t="s">
        <v>9021</v>
      </c>
      <c r="D5764">
        <v>6</v>
      </c>
      <c r="E5764">
        <v>8</v>
      </c>
      <c r="F5764">
        <v>1</v>
      </c>
      <c r="G5764">
        <v>8</v>
      </c>
      <c r="H5764">
        <v>25</v>
      </c>
      <c r="I5764">
        <v>0</v>
      </c>
      <c r="J5764">
        <v>6.99</v>
      </c>
      <c r="K5764">
        <v>55.92</v>
      </c>
    </row>
    <row r="5765" spans="1:11" x14ac:dyDescent="0.2">
      <c r="A5765">
        <v>45435</v>
      </c>
      <c r="B5765">
        <v>302482</v>
      </c>
      <c r="C5765" t="s">
        <v>6479</v>
      </c>
      <c r="D5765">
        <v>10</v>
      </c>
      <c r="E5765">
        <v>14</v>
      </c>
      <c r="F5765">
        <v>0</v>
      </c>
      <c r="G5765">
        <v>0</v>
      </c>
      <c r="H5765">
        <v>40</v>
      </c>
      <c r="I5765">
        <v>0</v>
      </c>
      <c r="J5765">
        <v>5.99</v>
      </c>
      <c r="K5765">
        <v>0</v>
      </c>
    </row>
    <row r="5766" spans="1:11" x14ac:dyDescent="0.2">
      <c r="A5766">
        <v>40841</v>
      </c>
      <c r="B5766">
        <v>302495</v>
      </c>
      <c r="C5766" t="s">
        <v>9022</v>
      </c>
      <c r="D5766">
        <v>10</v>
      </c>
      <c r="E5766">
        <v>8</v>
      </c>
      <c r="F5766">
        <v>0</v>
      </c>
      <c r="G5766">
        <v>0</v>
      </c>
      <c r="H5766">
        <v>40</v>
      </c>
      <c r="I5766">
        <v>0</v>
      </c>
      <c r="J5766">
        <v>4.99</v>
      </c>
      <c r="K5766">
        <v>0</v>
      </c>
    </row>
    <row r="5767" spans="1:11" x14ac:dyDescent="0.2">
      <c r="A5767">
        <v>40842</v>
      </c>
      <c r="B5767">
        <v>302496</v>
      </c>
      <c r="C5767" t="s">
        <v>9023</v>
      </c>
      <c r="D5767">
        <v>10</v>
      </c>
      <c r="E5767">
        <v>8</v>
      </c>
      <c r="F5767">
        <v>0</v>
      </c>
      <c r="G5767">
        <v>0</v>
      </c>
      <c r="H5767">
        <v>105</v>
      </c>
      <c r="I5767">
        <v>0</v>
      </c>
      <c r="J5767">
        <v>5.99</v>
      </c>
      <c r="K5767">
        <v>0</v>
      </c>
    </row>
    <row r="5768" spans="1:11" x14ac:dyDescent="0.2">
      <c r="A5768">
        <v>34838</v>
      </c>
      <c r="B5768">
        <v>302519</v>
      </c>
      <c r="C5768" t="s">
        <v>9024</v>
      </c>
      <c r="D5768">
        <v>10</v>
      </c>
      <c r="E5768">
        <v>6</v>
      </c>
      <c r="F5768">
        <v>0</v>
      </c>
      <c r="G5768">
        <v>0</v>
      </c>
      <c r="H5768">
        <v>80</v>
      </c>
      <c r="I5768">
        <v>0</v>
      </c>
      <c r="J5768">
        <v>8.99</v>
      </c>
      <c r="K5768">
        <v>0</v>
      </c>
    </row>
    <row r="5769" spans="1:11" x14ac:dyDescent="0.2">
      <c r="A5769">
        <v>38870</v>
      </c>
      <c r="B5769">
        <v>302527</v>
      </c>
      <c r="C5769" t="s">
        <v>9025</v>
      </c>
      <c r="D5769">
        <v>10</v>
      </c>
      <c r="E5769">
        <v>14</v>
      </c>
      <c r="F5769">
        <v>0</v>
      </c>
      <c r="G5769">
        <v>0</v>
      </c>
      <c r="H5769">
        <v>40</v>
      </c>
      <c r="I5769">
        <v>0</v>
      </c>
      <c r="J5769">
        <v>4.99</v>
      </c>
      <c r="K5769">
        <v>0</v>
      </c>
    </row>
    <row r="5770" spans="1:11" x14ac:dyDescent="0.2">
      <c r="A5770">
        <v>32837</v>
      </c>
      <c r="B5770">
        <v>302530</v>
      </c>
      <c r="C5770" t="s">
        <v>9026</v>
      </c>
      <c r="D5770">
        <v>10</v>
      </c>
      <c r="E5770">
        <v>6</v>
      </c>
      <c r="F5770">
        <v>0</v>
      </c>
      <c r="G5770">
        <v>0</v>
      </c>
      <c r="H5770">
        <v>12</v>
      </c>
      <c r="I5770">
        <v>0</v>
      </c>
      <c r="J5770">
        <v>9.99</v>
      </c>
      <c r="K5770">
        <v>0</v>
      </c>
    </row>
    <row r="5771" spans="1:11" x14ac:dyDescent="0.2">
      <c r="A5771">
        <v>32838</v>
      </c>
      <c r="B5771">
        <v>302533</v>
      </c>
      <c r="C5771" t="s">
        <v>9027</v>
      </c>
      <c r="D5771">
        <v>10</v>
      </c>
      <c r="E5771">
        <v>10</v>
      </c>
      <c r="F5771">
        <v>0</v>
      </c>
      <c r="G5771">
        <v>0</v>
      </c>
      <c r="H5771">
        <v>40</v>
      </c>
      <c r="I5771">
        <v>0</v>
      </c>
      <c r="J5771">
        <v>4.99</v>
      </c>
      <c r="K5771">
        <v>0</v>
      </c>
    </row>
    <row r="5772" spans="1:11" x14ac:dyDescent="0.2">
      <c r="A5772">
        <v>50117</v>
      </c>
      <c r="B5772">
        <v>302534</v>
      </c>
      <c r="C5772" t="s">
        <v>8943</v>
      </c>
      <c r="D5772">
        <v>10</v>
      </c>
      <c r="E5772">
        <v>10</v>
      </c>
      <c r="F5772">
        <v>-1</v>
      </c>
      <c r="G5772">
        <v>-10</v>
      </c>
      <c r="H5772">
        <v>20</v>
      </c>
      <c r="I5772">
        <v>-0.1</v>
      </c>
      <c r="J5772">
        <v>9.99</v>
      </c>
      <c r="K5772">
        <v>-99.9</v>
      </c>
    </row>
    <row r="5773" spans="1:11" x14ac:dyDescent="0.2">
      <c r="A5773">
        <v>50118</v>
      </c>
      <c r="B5773">
        <v>302535</v>
      </c>
      <c r="C5773" t="s">
        <v>8945</v>
      </c>
      <c r="D5773">
        <v>10</v>
      </c>
      <c r="E5773">
        <v>10</v>
      </c>
      <c r="F5773">
        <v>0</v>
      </c>
      <c r="G5773">
        <v>0</v>
      </c>
      <c r="H5773">
        <v>100</v>
      </c>
      <c r="I5773">
        <v>0</v>
      </c>
      <c r="J5773">
        <v>9.99</v>
      </c>
      <c r="K5773">
        <v>0</v>
      </c>
    </row>
    <row r="5774" spans="1:11" x14ac:dyDescent="0.2">
      <c r="A5774">
        <v>38871</v>
      </c>
      <c r="B5774">
        <v>302536</v>
      </c>
      <c r="C5774" t="s">
        <v>9028</v>
      </c>
      <c r="D5774">
        <v>10</v>
      </c>
      <c r="E5774">
        <v>10</v>
      </c>
      <c r="F5774">
        <v>0</v>
      </c>
      <c r="G5774">
        <v>0</v>
      </c>
      <c r="H5774">
        <v>18</v>
      </c>
      <c r="I5774">
        <v>0</v>
      </c>
      <c r="J5774">
        <v>6.99</v>
      </c>
      <c r="K5774">
        <v>0</v>
      </c>
    </row>
    <row r="5775" spans="1:11" x14ac:dyDescent="0.2">
      <c r="A5775">
        <v>36826</v>
      </c>
      <c r="B5775">
        <v>302541</v>
      </c>
      <c r="C5775" t="s">
        <v>9029</v>
      </c>
      <c r="D5775">
        <v>10</v>
      </c>
      <c r="E5775">
        <v>6</v>
      </c>
      <c r="F5775">
        <v>0</v>
      </c>
      <c r="G5775">
        <v>0</v>
      </c>
      <c r="H5775">
        <v>50</v>
      </c>
      <c r="I5775">
        <v>0</v>
      </c>
      <c r="J5775">
        <v>12.99</v>
      </c>
      <c r="K5775">
        <v>0</v>
      </c>
    </row>
    <row r="5776" spans="1:11" x14ac:dyDescent="0.2">
      <c r="A5776">
        <v>45436</v>
      </c>
      <c r="B5776">
        <v>302543</v>
      </c>
      <c r="C5776" t="s">
        <v>8799</v>
      </c>
      <c r="D5776">
        <v>10</v>
      </c>
      <c r="E5776">
        <v>14</v>
      </c>
      <c r="F5776">
        <v>2</v>
      </c>
      <c r="G5776">
        <v>28</v>
      </c>
      <c r="H5776">
        <v>54</v>
      </c>
      <c r="I5776">
        <v>0</v>
      </c>
      <c r="J5776">
        <v>3.99</v>
      </c>
      <c r="K5776">
        <v>111.72</v>
      </c>
    </row>
    <row r="5777" spans="1:11" x14ac:dyDescent="0.2">
      <c r="A5777">
        <v>36827</v>
      </c>
      <c r="B5777">
        <v>302544</v>
      </c>
      <c r="C5777" t="s">
        <v>9030</v>
      </c>
      <c r="D5777">
        <v>10</v>
      </c>
      <c r="E5777">
        <v>6</v>
      </c>
      <c r="F5777">
        <v>0</v>
      </c>
      <c r="G5777">
        <v>0</v>
      </c>
      <c r="H5777">
        <v>84</v>
      </c>
      <c r="I5777">
        <v>0</v>
      </c>
      <c r="J5777">
        <v>9.99</v>
      </c>
      <c r="K5777">
        <v>0</v>
      </c>
    </row>
    <row r="5778" spans="1:11" x14ac:dyDescent="0.2">
      <c r="A5778">
        <v>47907</v>
      </c>
      <c r="B5778">
        <v>302548</v>
      </c>
      <c r="C5778" t="s">
        <v>9031</v>
      </c>
      <c r="D5778">
        <v>10</v>
      </c>
      <c r="E5778">
        <v>36</v>
      </c>
      <c r="F5778">
        <v>0</v>
      </c>
      <c r="G5778">
        <v>0</v>
      </c>
      <c r="H5778">
        <v>156</v>
      </c>
      <c r="I5778">
        <v>0</v>
      </c>
      <c r="J5778">
        <v>1</v>
      </c>
      <c r="K5778">
        <v>0</v>
      </c>
    </row>
    <row r="5779" spans="1:11" x14ac:dyDescent="0.2">
      <c r="A5779">
        <v>33875</v>
      </c>
      <c r="B5779">
        <v>302555</v>
      </c>
      <c r="C5779" t="s">
        <v>7782</v>
      </c>
      <c r="D5779">
        <v>10</v>
      </c>
      <c r="E5779">
        <v>12</v>
      </c>
      <c r="F5779">
        <v>0</v>
      </c>
      <c r="G5779">
        <v>0</v>
      </c>
      <c r="H5779">
        <v>42</v>
      </c>
      <c r="I5779">
        <v>0</v>
      </c>
      <c r="J5779">
        <v>3.99</v>
      </c>
      <c r="K5779">
        <v>0</v>
      </c>
    </row>
    <row r="5780" spans="1:11" x14ac:dyDescent="0.2">
      <c r="A5780">
        <v>40912</v>
      </c>
      <c r="B5780">
        <v>302557</v>
      </c>
      <c r="C5780" t="s">
        <v>7804</v>
      </c>
      <c r="D5780">
        <v>10</v>
      </c>
      <c r="E5780">
        <v>12</v>
      </c>
      <c r="F5780">
        <v>0</v>
      </c>
      <c r="G5780">
        <v>0</v>
      </c>
      <c r="H5780">
        <v>112</v>
      </c>
      <c r="I5780">
        <v>0</v>
      </c>
      <c r="J5780">
        <v>1</v>
      </c>
      <c r="K5780">
        <v>0</v>
      </c>
    </row>
    <row r="5781" spans="1:11" x14ac:dyDescent="0.2">
      <c r="A5781">
        <v>38872</v>
      </c>
      <c r="B5781">
        <v>302558</v>
      </c>
      <c r="C5781" t="s">
        <v>9032</v>
      </c>
      <c r="D5781">
        <v>10</v>
      </c>
      <c r="E5781">
        <v>11</v>
      </c>
      <c r="F5781">
        <v>0</v>
      </c>
      <c r="G5781">
        <v>0</v>
      </c>
      <c r="H5781">
        <v>16</v>
      </c>
      <c r="I5781">
        <v>0</v>
      </c>
      <c r="J5781">
        <v>6.99</v>
      </c>
      <c r="K5781">
        <v>0</v>
      </c>
    </row>
    <row r="5782" spans="1:11" x14ac:dyDescent="0.2">
      <c r="A5782">
        <v>38873</v>
      </c>
      <c r="B5782">
        <v>302565</v>
      </c>
      <c r="C5782" t="s">
        <v>9033</v>
      </c>
      <c r="D5782">
        <v>10</v>
      </c>
      <c r="E5782">
        <v>10</v>
      </c>
      <c r="F5782">
        <v>0</v>
      </c>
      <c r="G5782">
        <v>0</v>
      </c>
      <c r="H5782">
        <v>4</v>
      </c>
      <c r="I5782">
        <v>0</v>
      </c>
      <c r="J5782">
        <v>9.99</v>
      </c>
      <c r="K5782">
        <v>0</v>
      </c>
    </row>
    <row r="5783" spans="1:11" x14ac:dyDescent="0.2">
      <c r="A5783">
        <v>38874</v>
      </c>
      <c r="B5783">
        <v>302568</v>
      </c>
      <c r="C5783" t="s">
        <v>9034</v>
      </c>
      <c r="D5783">
        <v>10</v>
      </c>
      <c r="E5783">
        <v>4</v>
      </c>
      <c r="F5783">
        <v>0</v>
      </c>
      <c r="G5783">
        <v>0</v>
      </c>
      <c r="H5783">
        <v>29</v>
      </c>
      <c r="I5783">
        <v>0</v>
      </c>
      <c r="J5783">
        <v>27.99</v>
      </c>
      <c r="K5783">
        <v>0</v>
      </c>
    </row>
    <row r="5784" spans="1:11" x14ac:dyDescent="0.2">
      <c r="A5784">
        <v>38875</v>
      </c>
      <c r="B5784">
        <v>302575</v>
      </c>
      <c r="C5784" t="s">
        <v>9035</v>
      </c>
      <c r="D5784">
        <v>10</v>
      </c>
      <c r="E5784">
        <v>2</v>
      </c>
      <c r="F5784">
        <v>0</v>
      </c>
      <c r="G5784">
        <v>0</v>
      </c>
      <c r="H5784">
        <v>100</v>
      </c>
      <c r="I5784">
        <v>0</v>
      </c>
      <c r="J5784">
        <v>23.99</v>
      </c>
      <c r="K5784">
        <v>0</v>
      </c>
    </row>
    <row r="5785" spans="1:11" x14ac:dyDescent="0.2">
      <c r="A5785">
        <v>41851</v>
      </c>
      <c r="B5785">
        <v>302584</v>
      </c>
      <c r="C5785" t="s">
        <v>9036</v>
      </c>
      <c r="D5785">
        <v>10</v>
      </c>
      <c r="E5785">
        <v>4</v>
      </c>
      <c r="F5785">
        <v>0</v>
      </c>
      <c r="G5785">
        <v>0</v>
      </c>
      <c r="H5785">
        <v>28</v>
      </c>
      <c r="I5785">
        <v>0</v>
      </c>
      <c r="J5785">
        <v>9.99</v>
      </c>
      <c r="K5785">
        <v>0</v>
      </c>
    </row>
    <row r="5786" spans="1:11" x14ac:dyDescent="0.2">
      <c r="A5786">
        <v>36828</v>
      </c>
      <c r="B5786">
        <v>302585</v>
      </c>
      <c r="C5786" t="s">
        <v>9037</v>
      </c>
      <c r="D5786">
        <v>10</v>
      </c>
      <c r="E5786">
        <v>2</v>
      </c>
      <c r="F5786">
        <v>0</v>
      </c>
      <c r="G5786">
        <v>0</v>
      </c>
      <c r="H5786">
        <v>16</v>
      </c>
      <c r="I5786">
        <v>0</v>
      </c>
      <c r="J5786">
        <v>34.99</v>
      </c>
      <c r="K5786">
        <v>0</v>
      </c>
    </row>
    <row r="5787" spans="1:11" x14ac:dyDescent="0.2">
      <c r="A5787">
        <v>39848</v>
      </c>
      <c r="B5787">
        <v>302593</v>
      </c>
      <c r="C5787" t="s">
        <v>9038</v>
      </c>
      <c r="D5787">
        <v>10</v>
      </c>
      <c r="E5787">
        <v>6</v>
      </c>
      <c r="F5787">
        <v>0</v>
      </c>
      <c r="G5787">
        <v>0</v>
      </c>
      <c r="H5787">
        <v>117</v>
      </c>
      <c r="I5787">
        <v>0</v>
      </c>
      <c r="J5787">
        <v>11.99</v>
      </c>
      <c r="K5787">
        <v>0</v>
      </c>
    </row>
    <row r="5788" spans="1:11" x14ac:dyDescent="0.2">
      <c r="A5788">
        <v>47410</v>
      </c>
      <c r="B5788">
        <v>302594</v>
      </c>
      <c r="C5788" t="s">
        <v>7828</v>
      </c>
      <c r="D5788">
        <v>10</v>
      </c>
      <c r="E5788">
        <v>14</v>
      </c>
      <c r="F5788">
        <v>0</v>
      </c>
      <c r="G5788">
        <v>0</v>
      </c>
      <c r="H5788">
        <v>36</v>
      </c>
      <c r="I5788">
        <v>0</v>
      </c>
      <c r="J5788">
        <v>7.99</v>
      </c>
      <c r="K5788">
        <v>0</v>
      </c>
    </row>
    <row r="5789" spans="1:11" x14ac:dyDescent="0.2">
      <c r="A5789">
        <v>43849</v>
      </c>
      <c r="B5789">
        <v>302600</v>
      </c>
      <c r="C5789" t="s">
        <v>9039</v>
      </c>
      <c r="D5789">
        <v>10</v>
      </c>
      <c r="E5789">
        <v>6</v>
      </c>
      <c r="F5789">
        <v>0</v>
      </c>
      <c r="G5789">
        <v>0</v>
      </c>
      <c r="H5789">
        <v>72</v>
      </c>
      <c r="I5789">
        <v>0</v>
      </c>
      <c r="J5789">
        <v>9.99</v>
      </c>
      <c r="K5789">
        <v>0</v>
      </c>
    </row>
    <row r="5790" spans="1:11" x14ac:dyDescent="0.2">
      <c r="A5790">
        <v>40843</v>
      </c>
      <c r="B5790">
        <v>302602</v>
      </c>
      <c r="C5790" t="s">
        <v>9040</v>
      </c>
      <c r="D5790">
        <v>10</v>
      </c>
      <c r="E5790">
        <v>1</v>
      </c>
      <c r="F5790">
        <v>1</v>
      </c>
      <c r="G5790">
        <v>1</v>
      </c>
      <c r="H5790">
        <v>100</v>
      </c>
      <c r="I5790">
        <v>0</v>
      </c>
      <c r="J5790">
        <v>58.99</v>
      </c>
      <c r="K5790">
        <v>58.99</v>
      </c>
    </row>
    <row r="5791" spans="1:11" x14ac:dyDescent="0.2">
      <c r="A5791">
        <v>40844</v>
      </c>
      <c r="B5791">
        <v>302604</v>
      </c>
      <c r="C5791" t="s">
        <v>9041</v>
      </c>
      <c r="D5791">
        <v>10</v>
      </c>
      <c r="E5791">
        <v>6</v>
      </c>
      <c r="F5791">
        <v>0</v>
      </c>
      <c r="G5791">
        <v>0</v>
      </c>
      <c r="H5791">
        <v>100</v>
      </c>
      <c r="I5791">
        <v>0</v>
      </c>
      <c r="J5791">
        <v>7.99</v>
      </c>
      <c r="K5791">
        <v>0</v>
      </c>
    </row>
    <row r="5792" spans="1:11" x14ac:dyDescent="0.2">
      <c r="A5792">
        <v>40845</v>
      </c>
      <c r="B5792">
        <v>302606</v>
      </c>
      <c r="C5792" t="s">
        <v>9042</v>
      </c>
      <c r="D5792">
        <v>10</v>
      </c>
      <c r="E5792">
        <v>10</v>
      </c>
      <c r="F5792">
        <v>0</v>
      </c>
      <c r="G5792">
        <v>0</v>
      </c>
      <c r="H5792">
        <v>100</v>
      </c>
      <c r="I5792">
        <v>0</v>
      </c>
      <c r="J5792">
        <v>7.99</v>
      </c>
      <c r="K5792">
        <v>0</v>
      </c>
    </row>
    <row r="5793" spans="1:12" x14ac:dyDescent="0.2">
      <c r="A5793">
        <v>39849</v>
      </c>
      <c r="B5793">
        <v>302609</v>
      </c>
      <c r="C5793" t="s">
        <v>9043</v>
      </c>
      <c r="D5793">
        <v>10</v>
      </c>
      <c r="E5793">
        <v>6</v>
      </c>
      <c r="F5793">
        <v>0</v>
      </c>
      <c r="G5793">
        <v>0</v>
      </c>
      <c r="H5793">
        <v>100</v>
      </c>
      <c r="I5793">
        <v>0</v>
      </c>
      <c r="J5793">
        <v>11.99</v>
      </c>
      <c r="K5793">
        <v>0</v>
      </c>
    </row>
    <row r="5794" spans="1:12" x14ac:dyDescent="0.2">
      <c r="A5794">
        <v>36427</v>
      </c>
      <c r="B5794">
        <v>302637</v>
      </c>
      <c r="C5794" t="s">
        <v>9044</v>
      </c>
      <c r="D5794">
        <v>11</v>
      </c>
      <c r="E5794">
        <v>8</v>
      </c>
      <c r="F5794">
        <v>195</v>
      </c>
      <c r="G5794">
        <v>1560</v>
      </c>
      <c r="H5794">
        <v>13</v>
      </c>
      <c r="I5794">
        <v>15</v>
      </c>
      <c r="J5794">
        <v>9.99</v>
      </c>
      <c r="K5794">
        <v>15584.4</v>
      </c>
      <c r="L5794" t="s">
        <v>3699</v>
      </c>
    </row>
    <row r="5795" spans="1:12" x14ac:dyDescent="0.2">
      <c r="A5795">
        <v>47920</v>
      </c>
      <c r="B5795">
        <v>302638</v>
      </c>
      <c r="C5795" t="s">
        <v>9045</v>
      </c>
      <c r="D5795">
        <v>10</v>
      </c>
      <c r="E5795">
        <v>12</v>
      </c>
      <c r="F5795">
        <v>0</v>
      </c>
      <c r="G5795">
        <v>0</v>
      </c>
      <c r="H5795">
        <v>84</v>
      </c>
      <c r="I5795">
        <v>0</v>
      </c>
      <c r="J5795">
        <v>1</v>
      </c>
      <c r="K5795">
        <v>0</v>
      </c>
    </row>
    <row r="5796" spans="1:12" x14ac:dyDescent="0.2">
      <c r="A5796">
        <v>48055</v>
      </c>
      <c r="B5796">
        <v>302642</v>
      </c>
      <c r="C5796" t="s">
        <v>9046</v>
      </c>
      <c r="D5796">
        <v>10</v>
      </c>
      <c r="E5796">
        <v>14</v>
      </c>
      <c r="F5796">
        <v>0</v>
      </c>
      <c r="G5796">
        <v>0</v>
      </c>
      <c r="H5796">
        <v>100</v>
      </c>
      <c r="I5796">
        <v>0</v>
      </c>
      <c r="J5796">
        <v>3.99</v>
      </c>
      <c r="K5796">
        <v>0</v>
      </c>
    </row>
    <row r="5797" spans="1:12" x14ac:dyDescent="0.2">
      <c r="A5797">
        <v>43850</v>
      </c>
      <c r="B5797">
        <v>302663</v>
      </c>
      <c r="C5797" t="s">
        <v>9047</v>
      </c>
      <c r="D5797">
        <v>10</v>
      </c>
      <c r="E5797">
        <v>1</v>
      </c>
      <c r="F5797">
        <v>0</v>
      </c>
      <c r="G5797">
        <v>0</v>
      </c>
      <c r="H5797">
        <v>18</v>
      </c>
      <c r="I5797">
        <v>0</v>
      </c>
      <c r="J5797">
        <v>69.989999999999995</v>
      </c>
      <c r="K5797">
        <v>0</v>
      </c>
    </row>
    <row r="5798" spans="1:12" x14ac:dyDescent="0.2">
      <c r="A5798">
        <v>43851</v>
      </c>
      <c r="B5798">
        <v>302664</v>
      </c>
      <c r="C5798" t="s">
        <v>9048</v>
      </c>
      <c r="D5798">
        <v>10</v>
      </c>
      <c r="E5798">
        <v>1</v>
      </c>
      <c r="F5798">
        <v>0</v>
      </c>
      <c r="G5798">
        <v>0</v>
      </c>
      <c r="H5798">
        <v>16</v>
      </c>
      <c r="I5798">
        <v>0</v>
      </c>
      <c r="J5798">
        <v>24.99</v>
      </c>
      <c r="K5798">
        <v>0</v>
      </c>
    </row>
    <row r="5799" spans="1:12" x14ac:dyDescent="0.2">
      <c r="A5799">
        <v>52103</v>
      </c>
      <c r="B5799">
        <v>302668</v>
      </c>
      <c r="C5799" t="s">
        <v>9049</v>
      </c>
      <c r="D5799">
        <v>10</v>
      </c>
      <c r="E5799">
        <v>14</v>
      </c>
      <c r="F5799">
        <v>595</v>
      </c>
      <c r="G5799">
        <v>8330</v>
      </c>
      <c r="H5799">
        <v>35</v>
      </c>
      <c r="I5799">
        <v>17</v>
      </c>
      <c r="J5799">
        <v>11.99</v>
      </c>
      <c r="K5799">
        <v>99876.7</v>
      </c>
    </row>
    <row r="5800" spans="1:12" x14ac:dyDescent="0.2">
      <c r="A5800">
        <v>44825</v>
      </c>
      <c r="B5800">
        <v>302669</v>
      </c>
      <c r="C5800" t="s">
        <v>9050</v>
      </c>
      <c r="D5800">
        <v>10</v>
      </c>
      <c r="E5800">
        <v>12</v>
      </c>
      <c r="F5800">
        <v>2</v>
      </c>
      <c r="G5800">
        <v>24</v>
      </c>
      <c r="H5800">
        <v>36</v>
      </c>
      <c r="I5800">
        <v>0.1</v>
      </c>
      <c r="J5800">
        <v>4.99</v>
      </c>
      <c r="K5800">
        <v>119.76</v>
      </c>
    </row>
    <row r="5801" spans="1:12" x14ac:dyDescent="0.2">
      <c r="A5801">
        <v>44826</v>
      </c>
      <c r="B5801">
        <v>302670</v>
      </c>
      <c r="C5801" t="s">
        <v>9051</v>
      </c>
      <c r="D5801">
        <v>10</v>
      </c>
      <c r="E5801">
        <v>12</v>
      </c>
      <c r="F5801">
        <v>-1</v>
      </c>
      <c r="G5801">
        <v>-7</v>
      </c>
      <c r="H5801">
        <v>25</v>
      </c>
      <c r="I5801">
        <v>0</v>
      </c>
      <c r="J5801">
        <v>4.99</v>
      </c>
      <c r="K5801">
        <v>-34.93</v>
      </c>
    </row>
    <row r="5802" spans="1:12" x14ac:dyDescent="0.2">
      <c r="A5802">
        <v>44827</v>
      </c>
      <c r="B5802">
        <v>302672</v>
      </c>
      <c r="C5802" t="s">
        <v>9052</v>
      </c>
      <c r="D5802">
        <v>10</v>
      </c>
      <c r="E5802">
        <v>12</v>
      </c>
      <c r="F5802">
        <v>2</v>
      </c>
      <c r="G5802">
        <v>24</v>
      </c>
      <c r="H5802">
        <v>28</v>
      </c>
      <c r="I5802">
        <v>0.1</v>
      </c>
      <c r="J5802">
        <v>4.99</v>
      </c>
      <c r="K5802">
        <v>119.76</v>
      </c>
    </row>
    <row r="5803" spans="1:12" x14ac:dyDescent="0.2">
      <c r="A5803">
        <v>42842</v>
      </c>
      <c r="B5803">
        <v>302674</v>
      </c>
      <c r="C5803" t="s">
        <v>9053</v>
      </c>
      <c r="D5803">
        <v>10</v>
      </c>
      <c r="E5803">
        <v>8</v>
      </c>
      <c r="F5803">
        <v>-1</v>
      </c>
      <c r="G5803">
        <v>-8</v>
      </c>
      <c r="H5803">
        <v>40</v>
      </c>
      <c r="I5803">
        <v>0</v>
      </c>
      <c r="J5803">
        <v>5.99</v>
      </c>
      <c r="K5803">
        <v>-47.92</v>
      </c>
    </row>
    <row r="5804" spans="1:12" x14ac:dyDescent="0.2">
      <c r="A5804">
        <v>43852</v>
      </c>
      <c r="B5804">
        <v>302676</v>
      </c>
      <c r="C5804" t="s">
        <v>9054</v>
      </c>
      <c r="D5804">
        <v>10</v>
      </c>
      <c r="E5804">
        <v>11</v>
      </c>
      <c r="F5804">
        <v>-1</v>
      </c>
      <c r="G5804">
        <v>-11</v>
      </c>
      <c r="H5804">
        <v>12</v>
      </c>
      <c r="I5804">
        <v>-0.1</v>
      </c>
      <c r="J5804">
        <v>6.99</v>
      </c>
      <c r="K5804">
        <v>-76.89</v>
      </c>
    </row>
    <row r="5805" spans="1:12" x14ac:dyDescent="0.2">
      <c r="A5805">
        <v>44828</v>
      </c>
      <c r="B5805">
        <v>302678</v>
      </c>
      <c r="C5805" t="s">
        <v>9055</v>
      </c>
      <c r="D5805">
        <v>10</v>
      </c>
      <c r="E5805">
        <v>4</v>
      </c>
      <c r="F5805">
        <v>0</v>
      </c>
      <c r="G5805">
        <v>0</v>
      </c>
      <c r="H5805">
        <v>6</v>
      </c>
      <c r="I5805">
        <v>0</v>
      </c>
      <c r="J5805">
        <v>39.99</v>
      </c>
      <c r="K5805">
        <v>0</v>
      </c>
    </row>
    <row r="5806" spans="1:12" x14ac:dyDescent="0.2">
      <c r="A5806">
        <v>43853</v>
      </c>
      <c r="B5806">
        <v>302679</v>
      </c>
      <c r="C5806" t="s">
        <v>9056</v>
      </c>
      <c r="D5806">
        <v>10</v>
      </c>
      <c r="E5806">
        <v>10</v>
      </c>
      <c r="F5806">
        <v>0</v>
      </c>
      <c r="G5806">
        <v>0</v>
      </c>
      <c r="H5806">
        <v>36</v>
      </c>
      <c r="I5806">
        <v>0</v>
      </c>
      <c r="J5806">
        <v>11.99</v>
      </c>
      <c r="K5806">
        <v>0</v>
      </c>
    </row>
    <row r="5807" spans="1:12" x14ac:dyDescent="0.2">
      <c r="A5807">
        <v>43854</v>
      </c>
      <c r="B5807">
        <v>302684</v>
      </c>
      <c r="C5807" t="s">
        <v>9057</v>
      </c>
      <c r="D5807">
        <v>10</v>
      </c>
      <c r="E5807">
        <v>6</v>
      </c>
      <c r="F5807">
        <v>17</v>
      </c>
      <c r="G5807">
        <v>102</v>
      </c>
      <c r="H5807">
        <v>330</v>
      </c>
      <c r="I5807">
        <v>0.1</v>
      </c>
      <c r="J5807">
        <v>3.49</v>
      </c>
      <c r="K5807">
        <v>355.98</v>
      </c>
    </row>
    <row r="5808" spans="1:12" x14ac:dyDescent="0.2">
      <c r="A5808">
        <v>40406</v>
      </c>
      <c r="B5808">
        <v>302712</v>
      </c>
      <c r="C5808" t="s">
        <v>9058</v>
      </c>
      <c r="D5808">
        <v>10</v>
      </c>
      <c r="E5808">
        <v>12</v>
      </c>
      <c r="F5808">
        <v>1</v>
      </c>
      <c r="G5808">
        <v>12</v>
      </c>
      <c r="H5808">
        <v>117</v>
      </c>
      <c r="I5808">
        <v>0</v>
      </c>
      <c r="J5808">
        <v>1</v>
      </c>
      <c r="K5808">
        <v>12</v>
      </c>
    </row>
    <row r="5809" spans="1:11" x14ac:dyDescent="0.2">
      <c r="A5809">
        <v>40407</v>
      </c>
      <c r="B5809">
        <v>302718</v>
      </c>
      <c r="C5809" t="s">
        <v>9059</v>
      </c>
      <c r="D5809">
        <v>10</v>
      </c>
      <c r="E5809">
        <v>12</v>
      </c>
      <c r="F5809">
        <v>2</v>
      </c>
      <c r="G5809">
        <v>24</v>
      </c>
      <c r="H5809">
        <v>112</v>
      </c>
      <c r="I5809">
        <v>0</v>
      </c>
      <c r="J5809">
        <v>1</v>
      </c>
      <c r="K5809">
        <v>24</v>
      </c>
    </row>
    <row r="5810" spans="1:11" x14ac:dyDescent="0.2">
      <c r="A5810">
        <v>40408</v>
      </c>
      <c r="B5810">
        <v>302719</v>
      </c>
      <c r="C5810" t="s">
        <v>8129</v>
      </c>
      <c r="D5810">
        <v>10</v>
      </c>
      <c r="E5810">
        <v>12</v>
      </c>
      <c r="F5810">
        <v>2</v>
      </c>
      <c r="G5810">
        <v>24</v>
      </c>
      <c r="H5810">
        <v>99</v>
      </c>
      <c r="I5810">
        <v>0</v>
      </c>
      <c r="J5810">
        <v>1</v>
      </c>
      <c r="K5810">
        <v>24</v>
      </c>
    </row>
    <row r="5811" spans="1:11" x14ac:dyDescent="0.2">
      <c r="A5811">
        <v>40409</v>
      </c>
      <c r="B5811">
        <v>302720</v>
      </c>
      <c r="C5811" t="s">
        <v>9060</v>
      </c>
      <c r="D5811">
        <v>10</v>
      </c>
      <c r="E5811">
        <v>12</v>
      </c>
      <c r="F5811">
        <v>0</v>
      </c>
      <c r="G5811">
        <v>0</v>
      </c>
      <c r="H5811">
        <v>130</v>
      </c>
      <c r="I5811">
        <v>0</v>
      </c>
      <c r="J5811">
        <v>1</v>
      </c>
      <c r="K5811">
        <v>0</v>
      </c>
    </row>
    <row r="5812" spans="1:11" x14ac:dyDescent="0.2">
      <c r="A5812">
        <v>40410</v>
      </c>
      <c r="B5812">
        <v>302721</v>
      </c>
      <c r="C5812" t="s">
        <v>9061</v>
      </c>
      <c r="D5812">
        <v>10</v>
      </c>
      <c r="E5812">
        <v>12</v>
      </c>
      <c r="F5812">
        <v>1</v>
      </c>
      <c r="G5812">
        <v>12</v>
      </c>
      <c r="H5812">
        <v>60</v>
      </c>
      <c r="I5812">
        <v>0</v>
      </c>
      <c r="J5812">
        <v>1</v>
      </c>
      <c r="K5812">
        <v>12</v>
      </c>
    </row>
    <row r="5813" spans="1:11" x14ac:dyDescent="0.2">
      <c r="A5813">
        <v>47908</v>
      </c>
      <c r="B5813">
        <v>302722</v>
      </c>
      <c r="C5813" t="s">
        <v>9062</v>
      </c>
      <c r="D5813">
        <v>10</v>
      </c>
      <c r="E5813">
        <v>24</v>
      </c>
      <c r="F5813">
        <v>0</v>
      </c>
      <c r="G5813">
        <v>0</v>
      </c>
      <c r="H5813">
        <v>48</v>
      </c>
      <c r="I5813">
        <v>0</v>
      </c>
      <c r="J5813">
        <v>1</v>
      </c>
      <c r="K5813">
        <v>0</v>
      </c>
    </row>
    <row r="5814" spans="1:11" x14ac:dyDescent="0.2">
      <c r="A5814">
        <v>40411</v>
      </c>
      <c r="B5814">
        <v>302726</v>
      </c>
      <c r="C5814" t="s">
        <v>9063</v>
      </c>
      <c r="D5814">
        <v>10</v>
      </c>
      <c r="E5814">
        <v>12</v>
      </c>
      <c r="F5814">
        <v>1</v>
      </c>
      <c r="G5814">
        <v>12</v>
      </c>
      <c r="H5814">
        <v>60</v>
      </c>
      <c r="I5814">
        <v>0</v>
      </c>
      <c r="J5814">
        <v>1</v>
      </c>
      <c r="K5814">
        <v>12</v>
      </c>
    </row>
    <row r="5815" spans="1:11" x14ac:dyDescent="0.2">
      <c r="A5815">
        <v>40412</v>
      </c>
      <c r="B5815">
        <v>302727</v>
      </c>
      <c r="C5815" t="s">
        <v>8892</v>
      </c>
      <c r="D5815">
        <v>10</v>
      </c>
      <c r="E5815">
        <v>12</v>
      </c>
      <c r="F5815">
        <v>0</v>
      </c>
      <c r="G5815">
        <v>0</v>
      </c>
      <c r="H5815">
        <v>35</v>
      </c>
      <c r="I5815">
        <v>0</v>
      </c>
      <c r="J5815">
        <v>1</v>
      </c>
      <c r="K5815">
        <v>0</v>
      </c>
    </row>
    <row r="5816" spans="1:11" x14ac:dyDescent="0.2">
      <c r="A5816">
        <v>46110</v>
      </c>
      <c r="B5816">
        <v>302730</v>
      </c>
      <c r="C5816" t="s">
        <v>8890</v>
      </c>
      <c r="D5816">
        <v>10</v>
      </c>
      <c r="E5816">
        <v>12</v>
      </c>
      <c r="F5816">
        <v>0</v>
      </c>
      <c r="G5816">
        <v>0</v>
      </c>
      <c r="H5816">
        <v>100</v>
      </c>
      <c r="I5816">
        <v>0</v>
      </c>
      <c r="J5816">
        <v>3.99</v>
      </c>
      <c r="K5816">
        <v>0</v>
      </c>
    </row>
    <row r="5817" spans="1:11" x14ac:dyDescent="0.2">
      <c r="A5817">
        <v>40413</v>
      </c>
      <c r="B5817">
        <v>302731</v>
      </c>
      <c r="C5817" t="s">
        <v>9064</v>
      </c>
      <c r="D5817">
        <v>10</v>
      </c>
      <c r="E5817">
        <v>12</v>
      </c>
      <c r="F5817">
        <v>0</v>
      </c>
      <c r="G5817">
        <v>0</v>
      </c>
      <c r="H5817">
        <v>120</v>
      </c>
      <c r="I5817">
        <v>0</v>
      </c>
      <c r="J5817">
        <v>1</v>
      </c>
      <c r="K5817">
        <v>0</v>
      </c>
    </row>
    <row r="5818" spans="1:11" x14ac:dyDescent="0.2">
      <c r="A5818">
        <v>40414</v>
      </c>
      <c r="B5818">
        <v>302733</v>
      </c>
      <c r="C5818" t="s">
        <v>9065</v>
      </c>
      <c r="D5818">
        <v>10</v>
      </c>
      <c r="E5818">
        <v>12</v>
      </c>
      <c r="F5818">
        <v>0</v>
      </c>
      <c r="G5818">
        <v>0</v>
      </c>
      <c r="H5818">
        <v>126</v>
      </c>
      <c r="I5818">
        <v>0</v>
      </c>
      <c r="J5818">
        <v>1</v>
      </c>
      <c r="K5818">
        <v>0</v>
      </c>
    </row>
    <row r="5819" spans="1:11" x14ac:dyDescent="0.2">
      <c r="A5819">
        <v>39850</v>
      </c>
      <c r="B5819">
        <v>302737</v>
      </c>
      <c r="C5819" t="s">
        <v>7502</v>
      </c>
      <c r="D5819">
        <v>10</v>
      </c>
      <c r="E5819">
        <v>12</v>
      </c>
      <c r="F5819">
        <v>0</v>
      </c>
      <c r="G5819">
        <v>0</v>
      </c>
      <c r="H5819">
        <v>6</v>
      </c>
      <c r="I5819">
        <v>0</v>
      </c>
      <c r="J5819">
        <v>11.99</v>
      </c>
      <c r="K5819">
        <v>0</v>
      </c>
    </row>
    <row r="5820" spans="1:11" x14ac:dyDescent="0.2">
      <c r="A5820">
        <v>39851</v>
      </c>
      <c r="B5820">
        <v>302764</v>
      </c>
      <c r="C5820" t="s">
        <v>9066</v>
      </c>
      <c r="D5820">
        <v>10</v>
      </c>
      <c r="E5820">
        <v>8</v>
      </c>
      <c r="F5820">
        <v>0</v>
      </c>
      <c r="G5820">
        <v>0</v>
      </c>
      <c r="H5820">
        <v>60</v>
      </c>
      <c r="I5820">
        <v>0</v>
      </c>
      <c r="J5820">
        <v>6.99</v>
      </c>
      <c r="K5820">
        <v>0</v>
      </c>
    </row>
    <row r="5821" spans="1:11" x14ac:dyDescent="0.2">
      <c r="A5821">
        <v>50810</v>
      </c>
      <c r="B5821">
        <v>302766</v>
      </c>
      <c r="C5821" t="s">
        <v>9067</v>
      </c>
      <c r="D5821">
        <v>10</v>
      </c>
      <c r="E5821">
        <v>2</v>
      </c>
      <c r="F5821">
        <v>2</v>
      </c>
      <c r="G5821">
        <v>4</v>
      </c>
      <c r="H5821">
        <v>48</v>
      </c>
      <c r="I5821">
        <v>0</v>
      </c>
      <c r="J5821">
        <v>24.99</v>
      </c>
      <c r="K5821">
        <v>99.96</v>
      </c>
    </row>
    <row r="5822" spans="1:11" x14ac:dyDescent="0.2">
      <c r="A5822">
        <v>40415</v>
      </c>
      <c r="B5822">
        <v>302768</v>
      </c>
      <c r="C5822" t="s">
        <v>9068</v>
      </c>
      <c r="D5822">
        <v>10</v>
      </c>
      <c r="E5822">
        <v>12</v>
      </c>
      <c r="F5822">
        <v>3</v>
      </c>
      <c r="G5822">
        <v>36</v>
      </c>
      <c r="H5822">
        <v>126</v>
      </c>
      <c r="I5822">
        <v>0</v>
      </c>
      <c r="J5822">
        <v>1</v>
      </c>
      <c r="K5822">
        <v>36</v>
      </c>
    </row>
    <row r="5823" spans="1:11" x14ac:dyDescent="0.2">
      <c r="A5823">
        <v>39421</v>
      </c>
      <c r="B5823">
        <v>302770</v>
      </c>
      <c r="C5823" t="s">
        <v>8801</v>
      </c>
      <c r="D5823">
        <v>10</v>
      </c>
      <c r="E5823">
        <v>14</v>
      </c>
      <c r="F5823">
        <v>0</v>
      </c>
      <c r="G5823">
        <v>0</v>
      </c>
      <c r="H5823">
        <v>42</v>
      </c>
      <c r="I5823">
        <v>0</v>
      </c>
      <c r="J5823">
        <v>1</v>
      </c>
      <c r="K5823">
        <v>0</v>
      </c>
    </row>
    <row r="5824" spans="1:11" x14ac:dyDescent="0.2">
      <c r="A5824">
        <v>45429</v>
      </c>
      <c r="B5824">
        <v>302772</v>
      </c>
      <c r="C5824" t="s">
        <v>6479</v>
      </c>
      <c r="D5824">
        <v>10</v>
      </c>
      <c r="E5824">
        <v>14</v>
      </c>
      <c r="F5824">
        <v>0</v>
      </c>
      <c r="G5824">
        <v>0</v>
      </c>
      <c r="H5824">
        <v>35</v>
      </c>
      <c r="I5824">
        <v>0</v>
      </c>
      <c r="J5824">
        <v>5.99</v>
      </c>
      <c r="K5824">
        <v>0</v>
      </c>
    </row>
    <row r="5825" spans="1:11" x14ac:dyDescent="0.2">
      <c r="B5825">
        <v>302775</v>
      </c>
      <c r="C5825" t="s">
        <v>9069</v>
      </c>
      <c r="D5825">
        <v>10</v>
      </c>
      <c r="E5825">
        <v>14</v>
      </c>
      <c r="F5825">
        <v>0</v>
      </c>
      <c r="G5825">
        <v>0</v>
      </c>
      <c r="H5825">
        <v>100</v>
      </c>
      <c r="I5825">
        <v>0</v>
      </c>
      <c r="J5825">
        <v>12.99</v>
      </c>
      <c r="K5825">
        <v>0</v>
      </c>
    </row>
    <row r="5826" spans="1:11" x14ac:dyDescent="0.2">
      <c r="A5826">
        <v>5130</v>
      </c>
      <c r="B5826">
        <v>302779</v>
      </c>
      <c r="C5826" t="s">
        <v>9070</v>
      </c>
      <c r="D5826">
        <v>10</v>
      </c>
      <c r="E5826">
        <v>14</v>
      </c>
      <c r="F5826">
        <v>172</v>
      </c>
      <c r="G5826">
        <v>2408</v>
      </c>
      <c r="H5826">
        <v>96</v>
      </c>
      <c r="I5826">
        <v>1.8</v>
      </c>
      <c r="J5826">
        <v>6.99</v>
      </c>
      <c r="K5826">
        <v>16831.919999999998</v>
      </c>
    </row>
    <row r="5827" spans="1:11" x14ac:dyDescent="0.2">
      <c r="A5827">
        <v>34839</v>
      </c>
      <c r="B5827">
        <v>302780</v>
      </c>
      <c r="C5827" t="s">
        <v>9071</v>
      </c>
      <c r="D5827">
        <v>10</v>
      </c>
      <c r="E5827">
        <v>2</v>
      </c>
      <c r="F5827">
        <v>0</v>
      </c>
      <c r="G5827">
        <v>0</v>
      </c>
      <c r="H5827">
        <v>60</v>
      </c>
      <c r="I5827">
        <v>0</v>
      </c>
      <c r="J5827">
        <v>39.99</v>
      </c>
      <c r="K5827">
        <v>0</v>
      </c>
    </row>
    <row r="5828" spans="1:11" x14ac:dyDescent="0.2">
      <c r="A5828">
        <v>38876</v>
      </c>
      <c r="B5828">
        <v>302782</v>
      </c>
      <c r="C5828" t="s">
        <v>9072</v>
      </c>
      <c r="D5828">
        <v>10</v>
      </c>
      <c r="E5828">
        <v>4</v>
      </c>
      <c r="F5828">
        <v>0</v>
      </c>
      <c r="G5828">
        <v>0</v>
      </c>
      <c r="H5828">
        <v>16</v>
      </c>
      <c r="I5828">
        <v>0</v>
      </c>
      <c r="J5828">
        <v>14.99</v>
      </c>
      <c r="K5828">
        <v>0</v>
      </c>
    </row>
    <row r="5829" spans="1:11" x14ac:dyDescent="0.2">
      <c r="A5829">
        <v>50026</v>
      </c>
      <c r="B5829">
        <v>302783</v>
      </c>
      <c r="C5829" t="s">
        <v>9073</v>
      </c>
      <c r="D5829">
        <v>10</v>
      </c>
      <c r="E5829">
        <v>4</v>
      </c>
      <c r="F5829">
        <v>0</v>
      </c>
      <c r="G5829">
        <v>0</v>
      </c>
      <c r="H5829">
        <v>60</v>
      </c>
      <c r="I5829">
        <v>0</v>
      </c>
      <c r="J5829">
        <v>16.989999999999998</v>
      </c>
      <c r="K5829">
        <v>0</v>
      </c>
    </row>
    <row r="5830" spans="1:11" x14ac:dyDescent="0.2">
      <c r="A5830">
        <v>50388</v>
      </c>
      <c r="B5830">
        <v>302784</v>
      </c>
      <c r="C5830" t="s">
        <v>9074</v>
      </c>
      <c r="D5830">
        <v>10</v>
      </c>
      <c r="E5830">
        <v>2</v>
      </c>
      <c r="F5830">
        <v>0</v>
      </c>
      <c r="G5830">
        <v>0</v>
      </c>
      <c r="H5830">
        <v>60</v>
      </c>
      <c r="I5830">
        <v>0</v>
      </c>
      <c r="J5830">
        <v>29.99</v>
      </c>
      <c r="K5830">
        <v>0</v>
      </c>
    </row>
    <row r="5831" spans="1:11" x14ac:dyDescent="0.2">
      <c r="A5831">
        <v>34841</v>
      </c>
      <c r="B5831">
        <v>302785</v>
      </c>
      <c r="C5831" t="s">
        <v>9075</v>
      </c>
      <c r="D5831">
        <v>10</v>
      </c>
      <c r="E5831">
        <v>6</v>
      </c>
      <c r="F5831">
        <v>0</v>
      </c>
      <c r="G5831">
        <v>0</v>
      </c>
      <c r="H5831">
        <v>132</v>
      </c>
      <c r="I5831">
        <v>0</v>
      </c>
      <c r="J5831">
        <v>16.989999999999998</v>
      </c>
      <c r="K5831">
        <v>0</v>
      </c>
    </row>
    <row r="5832" spans="1:11" x14ac:dyDescent="0.2">
      <c r="A5832">
        <v>34842</v>
      </c>
      <c r="B5832">
        <v>302786</v>
      </c>
      <c r="C5832" t="s">
        <v>9076</v>
      </c>
      <c r="D5832">
        <v>10</v>
      </c>
      <c r="E5832">
        <v>6</v>
      </c>
      <c r="F5832">
        <v>0</v>
      </c>
      <c r="G5832">
        <v>0</v>
      </c>
      <c r="H5832">
        <v>72</v>
      </c>
      <c r="I5832">
        <v>0</v>
      </c>
      <c r="J5832">
        <v>34.99</v>
      </c>
      <c r="K5832">
        <v>0</v>
      </c>
    </row>
    <row r="5833" spans="1:11" x14ac:dyDescent="0.2">
      <c r="A5833">
        <v>2261</v>
      </c>
      <c r="B5833">
        <v>302797</v>
      </c>
      <c r="C5833" t="s">
        <v>9077</v>
      </c>
      <c r="D5833">
        <v>10</v>
      </c>
      <c r="E5833">
        <v>1</v>
      </c>
      <c r="F5833">
        <v>261</v>
      </c>
      <c r="G5833">
        <v>261</v>
      </c>
      <c r="H5833">
        <v>48</v>
      </c>
      <c r="I5833">
        <v>5.4</v>
      </c>
      <c r="J5833">
        <v>49.99</v>
      </c>
      <c r="K5833">
        <v>13047.39</v>
      </c>
    </row>
    <row r="5834" spans="1:11" x14ac:dyDescent="0.2">
      <c r="A5834">
        <v>42843</v>
      </c>
      <c r="B5834">
        <v>302803</v>
      </c>
      <c r="C5834" t="s">
        <v>9078</v>
      </c>
      <c r="D5834">
        <v>10</v>
      </c>
      <c r="E5834">
        <v>20</v>
      </c>
      <c r="F5834">
        <v>0</v>
      </c>
      <c r="G5834">
        <v>0</v>
      </c>
      <c r="H5834">
        <v>78</v>
      </c>
      <c r="I5834">
        <v>0</v>
      </c>
      <c r="J5834">
        <v>3.99</v>
      </c>
      <c r="K5834">
        <v>0</v>
      </c>
    </row>
    <row r="5835" spans="1:11" x14ac:dyDescent="0.2">
      <c r="A5835">
        <v>31838</v>
      </c>
      <c r="B5835">
        <v>302804</v>
      </c>
      <c r="C5835" t="s">
        <v>9079</v>
      </c>
      <c r="D5835">
        <v>10</v>
      </c>
      <c r="E5835">
        <v>48</v>
      </c>
      <c r="F5835">
        <v>0</v>
      </c>
      <c r="G5835">
        <v>0</v>
      </c>
      <c r="H5835">
        <v>56</v>
      </c>
      <c r="I5835">
        <v>0</v>
      </c>
      <c r="J5835">
        <v>2.99</v>
      </c>
      <c r="K5835">
        <v>0</v>
      </c>
    </row>
    <row r="5836" spans="1:11" x14ac:dyDescent="0.2">
      <c r="A5836">
        <v>38419</v>
      </c>
      <c r="B5836">
        <v>302809</v>
      </c>
      <c r="C5836" t="s">
        <v>9080</v>
      </c>
      <c r="D5836">
        <v>10</v>
      </c>
      <c r="E5836">
        <v>48</v>
      </c>
      <c r="F5836">
        <v>1</v>
      </c>
      <c r="G5836">
        <v>48</v>
      </c>
      <c r="H5836">
        <v>181</v>
      </c>
      <c r="I5836">
        <v>0</v>
      </c>
      <c r="J5836">
        <v>1</v>
      </c>
      <c r="K5836">
        <v>48</v>
      </c>
    </row>
    <row r="5837" spans="1:11" x14ac:dyDescent="0.2">
      <c r="A5837">
        <v>47996</v>
      </c>
      <c r="B5837">
        <v>302816</v>
      </c>
      <c r="C5837" t="s">
        <v>8915</v>
      </c>
      <c r="D5837">
        <v>10</v>
      </c>
      <c r="E5837">
        <v>14</v>
      </c>
      <c r="F5837">
        <v>0</v>
      </c>
      <c r="G5837">
        <v>0</v>
      </c>
      <c r="H5837">
        <v>30</v>
      </c>
      <c r="I5837">
        <v>0</v>
      </c>
      <c r="J5837">
        <v>1</v>
      </c>
      <c r="K5837">
        <v>0</v>
      </c>
    </row>
    <row r="5838" spans="1:11" x14ac:dyDescent="0.2">
      <c r="A5838">
        <v>47997</v>
      </c>
      <c r="B5838">
        <v>302817</v>
      </c>
      <c r="C5838" t="s">
        <v>8732</v>
      </c>
      <c r="D5838">
        <v>10</v>
      </c>
      <c r="E5838">
        <v>14</v>
      </c>
      <c r="F5838">
        <v>0</v>
      </c>
      <c r="G5838">
        <v>0</v>
      </c>
      <c r="H5838">
        <v>36</v>
      </c>
      <c r="I5838">
        <v>0</v>
      </c>
      <c r="J5838">
        <v>1</v>
      </c>
      <c r="K5838">
        <v>0</v>
      </c>
    </row>
    <row r="5839" spans="1:11" x14ac:dyDescent="0.2">
      <c r="A5839">
        <v>52104</v>
      </c>
      <c r="B5839">
        <v>302829</v>
      </c>
      <c r="C5839" t="s">
        <v>9081</v>
      </c>
      <c r="D5839">
        <v>10</v>
      </c>
      <c r="E5839">
        <v>12</v>
      </c>
      <c r="F5839">
        <v>400</v>
      </c>
      <c r="G5839">
        <v>4800</v>
      </c>
      <c r="H5839">
        <v>100</v>
      </c>
      <c r="I5839">
        <v>4</v>
      </c>
      <c r="J5839">
        <v>5.99</v>
      </c>
      <c r="K5839">
        <v>28752</v>
      </c>
    </row>
    <row r="5840" spans="1:11" x14ac:dyDescent="0.2">
      <c r="A5840">
        <v>47998</v>
      </c>
      <c r="B5840">
        <v>302831</v>
      </c>
      <c r="C5840" t="s">
        <v>8923</v>
      </c>
      <c r="D5840">
        <v>10</v>
      </c>
      <c r="E5840">
        <v>12</v>
      </c>
      <c r="F5840">
        <v>0</v>
      </c>
      <c r="G5840">
        <v>0</v>
      </c>
      <c r="H5840">
        <v>24</v>
      </c>
      <c r="I5840">
        <v>0</v>
      </c>
      <c r="J5840">
        <v>1</v>
      </c>
      <c r="K5840">
        <v>0</v>
      </c>
    </row>
    <row r="5841" spans="1:11" x14ac:dyDescent="0.2">
      <c r="A5841">
        <v>39853</v>
      </c>
      <c r="B5841">
        <v>302832</v>
      </c>
      <c r="C5841" t="s">
        <v>9082</v>
      </c>
      <c r="D5841">
        <v>10</v>
      </c>
      <c r="E5841">
        <v>20</v>
      </c>
      <c r="F5841">
        <v>0</v>
      </c>
      <c r="G5841">
        <v>0</v>
      </c>
      <c r="H5841">
        <v>100</v>
      </c>
      <c r="I5841">
        <v>0</v>
      </c>
      <c r="J5841">
        <v>2.4900000000000002</v>
      </c>
      <c r="K5841">
        <v>0</v>
      </c>
    </row>
    <row r="5842" spans="1:11" x14ac:dyDescent="0.2">
      <c r="A5842">
        <v>47999</v>
      </c>
      <c r="B5842">
        <v>302833</v>
      </c>
      <c r="C5842" t="s">
        <v>9083</v>
      </c>
      <c r="D5842">
        <v>10</v>
      </c>
      <c r="E5842">
        <v>20</v>
      </c>
      <c r="F5842">
        <v>0</v>
      </c>
      <c r="G5842">
        <v>0</v>
      </c>
      <c r="H5842">
        <v>100</v>
      </c>
      <c r="I5842">
        <v>0</v>
      </c>
      <c r="J5842">
        <v>1</v>
      </c>
      <c r="K5842">
        <v>0</v>
      </c>
    </row>
    <row r="5843" spans="1:11" x14ac:dyDescent="0.2">
      <c r="A5843">
        <v>39854</v>
      </c>
      <c r="B5843">
        <v>302835</v>
      </c>
      <c r="C5843" t="s">
        <v>9084</v>
      </c>
      <c r="D5843">
        <v>10</v>
      </c>
      <c r="E5843">
        <v>8</v>
      </c>
      <c r="F5843">
        <v>0</v>
      </c>
      <c r="G5843">
        <v>0</v>
      </c>
      <c r="H5843">
        <v>92</v>
      </c>
      <c r="I5843">
        <v>0</v>
      </c>
      <c r="J5843">
        <v>14.99</v>
      </c>
      <c r="K5843">
        <v>0</v>
      </c>
    </row>
    <row r="5844" spans="1:11" x14ac:dyDescent="0.2">
      <c r="A5844">
        <v>52105</v>
      </c>
      <c r="B5844">
        <v>302836</v>
      </c>
      <c r="C5844" t="s">
        <v>9085</v>
      </c>
      <c r="D5844">
        <v>10</v>
      </c>
      <c r="E5844">
        <v>12</v>
      </c>
      <c r="F5844">
        <v>425</v>
      </c>
      <c r="G5844">
        <v>5100</v>
      </c>
      <c r="H5844">
        <v>80</v>
      </c>
      <c r="I5844">
        <v>5.3</v>
      </c>
      <c r="J5844">
        <v>5.99</v>
      </c>
      <c r="K5844">
        <v>30549</v>
      </c>
    </row>
    <row r="5845" spans="1:11" x14ac:dyDescent="0.2">
      <c r="A5845">
        <v>39422</v>
      </c>
      <c r="B5845">
        <v>302838</v>
      </c>
      <c r="C5845" t="s">
        <v>9086</v>
      </c>
      <c r="D5845">
        <v>10</v>
      </c>
      <c r="E5845">
        <v>20</v>
      </c>
      <c r="F5845">
        <v>0</v>
      </c>
      <c r="G5845">
        <v>0</v>
      </c>
      <c r="H5845">
        <v>119</v>
      </c>
      <c r="I5845">
        <v>0</v>
      </c>
      <c r="J5845">
        <v>1</v>
      </c>
      <c r="K5845">
        <v>0</v>
      </c>
    </row>
    <row r="5846" spans="1:11" x14ac:dyDescent="0.2">
      <c r="A5846">
        <v>39423</v>
      </c>
      <c r="B5846">
        <v>302839</v>
      </c>
      <c r="C5846" t="s">
        <v>8842</v>
      </c>
      <c r="D5846">
        <v>10</v>
      </c>
      <c r="E5846">
        <v>20</v>
      </c>
      <c r="F5846">
        <v>0</v>
      </c>
      <c r="G5846">
        <v>0</v>
      </c>
      <c r="H5846">
        <v>96</v>
      </c>
      <c r="I5846">
        <v>0</v>
      </c>
      <c r="J5846">
        <v>1</v>
      </c>
      <c r="K5846">
        <v>0</v>
      </c>
    </row>
    <row r="5847" spans="1:11" x14ac:dyDescent="0.2">
      <c r="A5847">
        <v>39855</v>
      </c>
      <c r="B5847">
        <v>302845</v>
      </c>
      <c r="C5847" t="s">
        <v>9087</v>
      </c>
      <c r="D5847">
        <v>10</v>
      </c>
      <c r="E5847">
        <v>10</v>
      </c>
      <c r="F5847">
        <v>0</v>
      </c>
      <c r="G5847">
        <v>0</v>
      </c>
      <c r="H5847">
        <v>15</v>
      </c>
      <c r="I5847">
        <v>0</v>
      </c>
      <c r="J5847">
        <v>5.99</v>
      </c>
      <c r="K5847">
        <v>0</v>
      </c>
    </row>
    <row r="5848" spans="1:11" x14ac:dyDescent="0.2">
      <c r="A5848">
        <v>41437</v>
      </c>
      <c r="B5848">
        <v>302848</v>
      </c>
      <c r="C5848" t="s">
        <v>9088</v>
      </c>
      <c r="D5848">
        <v>10</v>
      </c>
      <c r="E5848">
        <v>12</v>
      </c>
      <c r="F5848">
        <v>1</v>
      </c>
      <c r="G5848">
        <v>12</v>
      </c>
      <c r="H5848">
        <v>36</v>
      </c>
      <c r="I5848">
        <v>0</v>
      </c>
      <c r="J5848">
        <v>1</v>
      </c>
      <c r="K5848">
        <v>12</v>
      </c>
    </row>
    <row r="5849" spans="1:11" x14ac:dyDescent="0.2">
      <c r="A5849">
        <v>41438</v>
      </c>
      <c r="B5849">
        <v>302852</v>
      </c>
      <c r="C5849" t="s">
        <v>9089</v>
      </c>
      <c r="D5849">
        <v>10</v>
      </c>
      <c r="E5849">
        <v>12</v>
      </c>
      <c r="F5849">
        <v>0</v>
      </c>
      <c r="G5849">
        <v>0</v>
      </c>
      <c r="H5849">
        <v>48</v>
      </c>
      <c r="I5849">
        <v>0</v>
      </c>
      <c r="J5849">
        <v>1</v>
      </c>
      <c r="K5849">
        <v>0</v>
      </c>
    </row>
    <row r="5850" spans="1:11" x14ac:dyDescent="0.2">
      <c r="A5850">
        <v>42411</v>
      </c>
      <c r="B5850">
        <v>302902</v>
      </c>
      <c r="C5850" t="s">
        <v>9090</v>
      </c>
      <c r="D5850">
        <v>10</v>
      </c>
      <c r="E5850">
        <v>12</v>
      </c>
      <c r="F5850">
        <v>1</v>
      </c>
      <c r="G5850">
        <v>12</v>
      </c>
      <c r="H5850">
        <v>176</v>
      </c>
      <c r="I5850">
        <v>0</v>
      </c>
      <c r="J5850">
        <v>1</v>
      </c>
      <c r="K5850">
        <v>12</v>
      </c>
    </row>
    <row r="5851" spans="1:11" x14ac:dyDescent="0.2">
      <c r="A5851">
        <v>42412</v>
      </c>
      <c r="B5851">
        <v>302903</v>
      </c>
      <c r="C5851" t="s">
        <v>9090</v>
      </c>
      <c r="D5851">
        <v>10</v>
      </c>
      <c r="E5851">
        <v>12</v>
      </c>
      <c r="F5851">
        <v>0</v>
      </c>
      <c r="G5851">
        <v>0</v>
      </c>
      <c r="H5851">
        <v>98</v>
      </c>
      <c r="I5851">
        <v>0</v>
      </c>
      <c r="J5851">
        <v>1</v>
      </c>
      <c r="K5851">
        <v>0</v>
      </c>
    </row>
    <row r="5852" spans="1:11" x14ac:dyDescent="0.2">
      <c r="A5852">
        <v>42413</v>
      </c>
      <c r="B5852">
        <v>302904</v>
      </c>
      <c r="C5852" t="s">
        <v>8147</v>
      </c>
      <c r="D5852">
        <v>10</v>
      </c>
      <c r="E5852">
        <v>16</v>
      </c>
      <c r="F5852">
        <v>0</v>
      </c>
      <c r="G5852">
        <v>0</v>
      </c>
      <c r="H5852">
        <v>36</v>
      </c>
      <c r="I5852">
        <v>0</v>
      </c>
      <c r="J5852">
        <v>1</v>
      </c>
      <c r="K5852">
        <v>0</v>
      </c>
    </row>
    <row r="5853" spans="1:11" x14ac:dyDescent="0.2">
      <c r="A5853">
        <v>47401</v>
      </c>
      <c r="B5853">
        <v>302927</v>
      </c>
      <c r="C5853" t="s">
        <v>9091</v>
      </c>
      <c r="D5853">
        <v>10</v>
      </c>
      <c r="E5853">
        <v>14</v>
      </c>
      <c r="F5853">
        <v>0</v>
      </c>
      <c r="G5853">
        <v>0</v>
      </c>
      <c r="H5853">
        <v>47</v>
      </c>
      <c r="I5853">
        <v>0</v>
      </c>
      <c r="J5853">
        <v>6.99</v>
      </c>
      <c r="K5853">
        <v>0</v>
      </c>
    </row>
    <row r="5854" spans="1:11" x14ac:dyDescent="0.2">
      <c r="A5854">
        <v>48100</v>
      </c>
      <c r="B5854">
        <v>302931</v>
      </c>
      <c r="C5854" t="s">
        <v>9092</v>
      </c>
      <c r="D5854">
        <v>10</v>
      </c>
      <c r="E5854">
        <v>8</v>
      </c>
      <c r="F5854">
        <v>2</v>
      </c>
      <c r="G5854">
        <v>16</v>
      </c>
      <c r="H5854">
        <v>108</v>
      </c>
      <c r="I5854">
        <v>0</v>
      </c>
      <c r="J5854">
        <v>3.99</v>
      </c>
      <c r="K5854">
        <v>63.84</v>
      </c>
    </row>
    <row r="5855" spans="1:11" x14ac:dyDescent="0.2">
      <c r="A5855">
        <v>44418</v>
      </c>
      <c r="B5855">
        <v>302933</v>
      </c>
      <c r="C5855" t="s">
        <v>9093</v>
      </c>
      <c r="D5855">
        <v>10</v>
      </c>
      <c r="E5855">
        <v>24</v>
      </c>
      <c r="F5855">
        <v>0</v>
      </c>
      <c r="G5855">
        <v>0</v>
      </c>
      <c r="H5855">
        <v>100</v>
      </c>
      <c r="I5855">
        <v>0</v>
      </c>
      <c r="J5855">
        <v>4.99</v>
      </c>
      <c r="K5855">
        <v>0</v>
      </c>
    </row>
    <row r="5856" spans="1:11" x14ac:dyDescent="0.2">
      <c r="A5856">
        <v>44439</v>
      </c>
      <c r="B5856">
        <v>302936</v>
      </c>
      <c r="C5856" t="s">
        <v>9094</v>
      </c>
      <c r="D5856">
        <v>10</v>
      </c>
      <c r="E5856">
        <v>10</v>
      </c>
      <c r="F5856">
        <v>0</v>
      </c>
      <c r="G5856">
        <v>0</v>
      </c>
      <c r="H5856">
        <v>1</v>
      </c>
      <c r="I5856">
        <v>0</v>
      </c>
      <c r="J5856">
        <v>19.989999999999998</v>
      </c>
      <c r="K5856">
        <v>0</v>
      </c>
    </row>
    <row r="5857" spans="1:11" x14ac:dyDescent="0.2">
      <c r="A5857">
        <v>44419</v>
      </c>
      <c r="B5857">
        <v>302937</v>
      </c>
      <c r="C5857" t="s">
        <v>9095</v>
      </c>
      <c r="D5857">
        <v>10</v>
      </c>
      <c r="E5857">
        <v>10</v>
      </c>
      <c r="F5857">
        <v>0</v>
      </c>
      <c r="G5857">
        <v>0</v>
      </c>
      <c r="H5857">
        <v>100</v>
      </c>
      <c r="I5857">
        <v>0</v>
      </c>
      <c r="J5857">
        <v>9.99</v>
      </c>
      <c r="K5857">
        <v>0</v>
      </c>
    </row>
    <row r="5858" spans="1:11" x14ac:dyDescent="0.2">
      <c r="A5858">
        <v>47402</v>
      </c>
      <c r="B5858">
        <v>302940</v>
      </c>
      <c r="C5858" t="s">
        <v>9096</v>
      </c>
      <c r="D5858">
        <v>10</v>
      </c>
      <c r="E5858">
        <v>11</v>
      </c>
      <c r="F5858">
        <v>0</v>
      </c>
      <c r="G5858">
        <v>0</v>
      </c>
      <c r="H5858">
        <v>16</v>
      </c>
      <c r="I5858">
        <v>0</v>
      </c>
      <c r="J5858">
        <v>10.99</v>
      </c>
      <c r="K5858">
        <v>0</v>
      </c>
    </row>
    <row r="5859" spans="1:11" x14ac:dyDescent="0.2">
      <c r="A5859">
        <v>49105</v>
      </c>
      <c r="B5859">
        <v>302961</v>
      </c>
      <c r="C5859" t="s">
        <v>9097</v>
      </c>
      <c r="D5859">
        <v>10</v>
      </c>
      <c r="E5859">
        <v>15</v>
      </c>
      <c r="F5859">
        <v>0</v>
      </c>
      <c r="G5859">
        <v>0</v>
      </c>
      <c r="H5859">
        <v>72</v>
      </c>
      <c r="I5859">
        <v>0</v>
      </c>
      <c r="J5859">
        <v>3.99</v>
      </c>
      <c r="K5859">
        <v>0</v>
      </c>
    </row>
    <row r="5860" spans="1:11" x14ac:dyDescent="0.2">
      <c r="A5860">
        <v>49119</v>
      </c>
      <c r="B5860">
        <v>302965</v>
      </c>
      <c r="C5860" t="s">
        <v>9098</v>
      </c>
      <c r="D5860">
        <v>10</v>
      </c>
      <c r="E5860">
        <v>4</v>
      </c>
      <c r="F5860">
        <v>0</v>
      </c>
      <c r="G5860">
        <v>0</v>
      </c>
      <c r="H5860">
        <v>15</v>
      </c>
      <c r="I5860">
        <v>0</v>
      </c>
      <c r="J5860">
        <v>21.99</v>
      </c>
      <c r="K5860">
        <v>0</v>
      </c>
    </row>
    <row r="5861" spans="1:11" x14ac:dyDescent="0.2">
      <c r="A5861">
        <v>49120</v>
      </c>
      <c r="B5861">
        <v>302972</v>
      </c>
      <c r="C5861" t="s">
        <v>9099</v>
      </c>
      <c r="D5861">
        <v>10</v>
      </c>
      <c r="E5861">
        <v>2</v>
      </c>
      <c r="F5861">
        <v>3</v>
      </c>
      <c r="G5861">
        <v>6</v>
      </c>
      <c r="H5861">
        <v>40</v>
      </c>
      <c r="I5861">
        <v>0.1</v>
      </c>
      <c r="J5861">
        <v>29.99</v>
      </c>
      <c r="K5861">
        <v>179.94</v>
      </c>
    </row>
    <row r="5862" spans="1:11" x14ac:dyDescent="0.2">
      <c r="A5862">
        <v>49100</v>
      </c>
      <c r="B5862">
        <v>302974</v>
      </c>
      <c r="C5862" t="s">
        <v>9100</v>
      </c>
      <c r="D5862">
        <v>10</v>
      </c>
      <c r="E5862">
        <v>6</v>
      </c>
      <c r="F5862">
        <v>1</v>
      </c>
      <c r="G5862">
        <v>6</v>
      </c>
      <c r="H5862">
        <v>35</v>
      </c>
      <c r="I5862">
        <v>0</v>
      </c>
      <c r="J5862">
        <v>16.989999999999998</v>
      </c>
      <c r="K5862">
        <v>101.94</v>
      </c>
    </row>
    <row r="5863" spans="1:11" x14ac:dyDescent="0.2">
      <c r="A5863">
        <v>46035</v>
      </c>
      <c r="B5863">
        <v>302990</v>
      </c>
      <c r="C5863" t="s">
        <v>9101</v>
      </c>
      <c r="D5863">
        <v>10</v>
      </c>
      <c r="E5863">
        <v>80</v>
      </c>
      <c r="F5863">
        <v>0</v>
      </c>
      <c r="G5863">
        <v>0</v>
      </c>
      <c r="H5863">
        <v>90</v>
      </c>
      <c r="I5863">
        <v>0</v>
      </c>
      <c r="J5863">
        <v>0.5</v>
      </c>
      <c r="K5863">
        <v>0</v>
      </c>
    </row>
    <row r="5864" spans="1:11" x14ac:dyDescent="0.2">
      <c r="A5864">
        <v>46005</v>
      </c>
      <c r="B5864">
        <v>302995</v>
      </c>
      <c r="C5864" t="s">
        <v>9102</v>
      </c>
      <c r="D5864">
        <v>10</v>
      </c>
      <c r="E5864">
        <v>80</v>
      </c>
      <c r="F5864">
        <v>1</v>
      </c>
      <c r="G5864">
        <v>66</v>
      </c>
      <c r="H5864">
        <v>4</v>
      </c>
      <c r="I5864">
        <v>0.2</v>
      </c>
      <c r="J5864">
        <v>1</v>
      </c>
      <c r="K5864">
        <v>66</v>
      </c>
    </row>
    <row r="5865" spans="1:11" x14ac:dyDescent="0.2">
      <c r="A5865">
        <v>46006</v>
      </c>
      <c r="B5865">
        <v>303001</v>
      </c>
      <c r="C5865" t="s">
        <v>9103</v>
      </c>
      <c r="D5865">
        <v>10</v>
      </c>
      <c r="E5865">
        <v>72</v>
      </c>
      <c r="F5865">
        <v>0</v>
      </c>
      <c r="G5865">
        <v>0</v>
      </c>
      <c r="H5865">
        <v>100</v>
      </c>
      <c r="I5865">
        <v>0</v>
      </c>
      <c r="J5865">
        <v>1</v>
      </c>
      <c r="K5865">
        <v>0</v>
      </c>
    </row>
    <row r="5866" spans="1:11" x14ac:dyDescent="0.2">
      <c r="A5866">
        <v>47407</v>
      </c>
      <c r="B5866">
        <v>303046</v>
      </c>
      <c r="C5866" t="s">
        <v>9104</v>
      </c>
      <c r="D5866">
        <v>10</v>
      </c>
      <c r="E5866">
        <v>8</v>
      </c>
      <c r="F5866">
        <v>0</v>
      </c>
      <c r="G5866">
        <v>0</v>
      </c>
      <c r="H5866">
        <v>24</v>
      </c>
      <c r="I5866">
        <v>0</v>
      </c>
      <c r="J5866">
        <v>9.89</v>
      </c>
      <c r="K5866">
        <v>0</v>
      </c>
    </row>
    <row r="5867" spans="1:11" x14ac:dyDescent="0.2">
      <c r="A5867">
        <v>51814</v>
      </c>
      <c r="B5867">
        <v>303047</v>
      </c>
      <c r="C5867" t="s">
        <v>9105</v>
      </c>
      <c r="D5867">
        <v>10</v>
      </c>
      <c r="E5867">
        <v>4</v>
      </c>
      <c r="F5867">
        <v>51</v>
      </c>
      <c r="G5867">
        <v>203</v>
      </c>
      <c r="H5867">
        <v>119</v>
      </c>
      <c r="I5867">
        <v>0.4</v>
      </c>
      <c r="J5867">
        <v>19.989999999999998</v>
      </c>
      <c r="K5867">
        <v>4057.97</v>
      </c>
    </row>
    <row r="5868" spans="1:11" x14ac:dyDescent="0.2">
      <c r="A5868">
        <v>48822</v>
      </c>
      <c r="B5868">
        <v>303063</v>
      </c>
      <c r="C5868" t="s">
        <v>9106</v>
      </c>
      <c r="D5868">
        <v>10</v>
      </c>
      <c r="E5868">
        <v>8</v>
      </c>
      <c r="F5868">
        <v>1</v>
      </c>
      <c r="G5868">
        <v>8</v>
      </c>
      <c r="H5868">
        <v>100</v>
      </c>
      <c r="I5868">
        <v>0</v>
      </c>
      <c r="J5868">
        <v>12.99</v>
      </c>
      <c r="K5868">
        <v>103.92</v>
      </c>
    </row>
    <row r="5869" spans="1:11" x14ac:dyDescent="0.2">
      <c r="A5869">
        <v>49122</v>
      </c>
      <c r="B5869">
        <v>303113</v>
      </c>
      <c r="C5869" t="s">
        <v>9107</v>
      </c>
      <c r="D5869">
        <v>10</v>
      </c>
      <c r="E5869">
        <v>6</v>
      </c>
      <c r="F5869">
        <v>0</v>
      </c>
      <c r="G5869">
        <v>0</v>
      </c>
      <c r="H5869">
        <v>100</v>
      </c>
      <c r="I5869">
        <v>0</v>
      </c>
      <c r="J5869">
        <v>9.99</v>
      </c>
      <c r="K5869">
        <v>0</v>
      </c>
    </row>
    <row r="5870" spans="1:11" x14ac:dyDescent="0.2">
      <c r="A5870">
        <v>49123</v>
      </c>
      <c r="B5870">
        <v>303115</v>
      </c>
      <c r="C5870" t="s">
        <v>8407</v>
      </c>
      <c r="D5870">
        <v>10</v>
      </c>
      <c r="E5870">
        <v>10</v>
      </c>
      <c r="F5870">
        <v>4</v>
      </c>
      <c r="G5870">
        <v>40</v>
      </c>
      <c r="H5870">
        <v>80</v>
      </c>
      <c r="I5870">
        <v>0.1</v>
      </c>
      <c r="J5870">
        <v>11.99</v>
      </c>
      <c r="K5870">
        <v>479.6</v>
      </c>
    </row>
    <row r="5871" spans="1:11" x14ac:dyDescent="0.2">
      <c r="A5871">
        <v>49124</v>
      </c>
      <c r="B5871">
        <v>303119</v>
      </c>
      <c r="C5871" t="s">
        <v>9108</v>
      </c>
      <c r="D5871">
        <v>10</v>
      </c>
      <c r="E5871">
        <v>6</v>
      </c>
      <c r="F5871">
        <v>0</v>
      </c>
      <c r="G5871">
        <v>0</v>
      </c>
      <c r="H5871">
        <v>90</v>
      </c>
      <c r="I5871">
        <v>0</v>
      </c>
      <c r="J5871">
        <v>8.99</v>
      </c>
      <c r="K5871">
        <v>0</v>
      </c>
    </row>
    <row r="5872" spans="1:11" x14ac:dyDescent="0.2">
      <c r="A5872">
        <v>49125</v>
      </c>
      <c r="B5872">
        <v>303120</v>
      </c>
      <c r="C5872" t="s">
        <v>9109</v>
      </c>
      <c r="D5872">
        <v>10</v>
      </c>
      <c r="E5872">
        <v>10</v>
      </c>
      <c r="F5872">
        <v>0</v>
      </c>
      <c r="G5872">
        <v>0</v>
      </c>
      <c r="H5872">
        <v>100</v>
      </c>
      <c r="I5872">
        <v>0</v>
      </c>
      <c r="J5872">
        <v>7.99</v>
      </c>
      <c r="K5872">
        <v>0</v>
      </c>
    </row>
    <row r="5873" spans="1:11" x14ac:dyDescent="0.2">
      <c r="A5873">
        <v>49126</v>
      </c>
      <c r="B5873">
        <v>303125</v>
      </c>
      <c r="C5873" t="s">
        <v>9110</v>
      </c>
      <c r="D5873">
        <v>10</v>
      </c>
      <c r="E5873">
        <v>20</v>
      </c>
      <c r="F5873">
        <v>3</v>
      </c>
      <c r="G5873">
        <v>60</v>
      </c>
      <c r="H5873">
        <v>84</v>
      </c>
      <c r="I5873">
        <v>0</v>
      </c>
      <c r="J5873">
        <v>5.99</v>
      </c>
      <c r="K5873">
        <v>359.4</v>
      </c>
    </row>
    <row r="5874" spans="1:11" x14ac:dyDescent="0.2">
      <c r="A5874">
        <v>49127</v>
      </c>
      <c r="B5874">
        <v>303127</v>
      </c>
      <c r="C5874" t="s">
        <v>8542</v>
      </c>
      <c r="D5874">
        <v>10</v>
      </c>
      <c r="E5874">
        <v>12</v>
      </c>
      <c r="F5874">
        <v>0</v>
      </c>
      <c r="G5874">
        <v>0</v>
      </c>
      <c r="H5874">
        <v>90</v>
      </c>
      <c r="I5874">
        <v>0</v>
      </c>
      <c r="J5874">
        <v>4.99</v>
      </c>
      <c r="K5874">
        <v>0</v>
      </c>
    </row>
    <row r="5875" spans="1:11" x14ac:dyDescent="0.2">
      <c r="A5875">
        <v>49101</v>
      </c>
      <c r="B5875">
        <v>303128</v>
      </c>
      <c r="C5875" t="s">
        <v>9111</v>
      </c>
      <c r="D5875">
        <v>10</v>
      </c>
      <c r="E5875">
        <v>2</v>
      </c>
      <c r="F5875">
        <v>1</v>
      </c>
      <c r="G5875">
        <v>2</v>
      </c>
      <c r="H5875">
        <v>45</v>
      </c>
      <c r="I5875">
        <v>0</v>
      </c>
      <c r="J5875">
        <v>19.989999999999998</v>
      </c>
      <c r="K5875">
        <v>39.979999999999997</v>
      </c>
    </row>
    <row r="5876" spans="1:11" x14ac:dyDescent="0.2">
      <c r="A5876">
        <v>49129</v>
      </c>
      <c r="B5876">
        <v>303129</v>
      </c>
      <c r="C5876" t="s">
        <v>9112</v>
      </c>
      <c r="D5876">
        <v>10</v>
      </c>
      <c r="E5876">
        <v>2</v>
      </c>
      <c r="F5876">
        <v>1</v>
      </c>
      <c r="G5876">
        <v>2</v>
      </c>
      <c r="H5876">
        <v>100</v>
      </c>
      <c r="I5876">
        <v>0</v>
      </c>
      <c r="J5876">
        <v>21.99</v>
      </c>
      <c r="K5876">
        <v>43.98</v>
      </c>
    </row>
    <row r="5877" spans="1:11" x14ac:dyDescent="0.2">
      <c r="A5877">
        <v>49130</v>
      </c>
      <c r="B5877">
        <v>303130</v>
      </c>
      <c r="C5877" t="s">
        <v>9113</v>
      </c>
      <c r="D5877">
        <v>10</v>
      </c>
      <c r="E5877">
        <v>20</v>
      </c>
      <c r="F5877">
        <v>0</v>
      </c>
      <c r="G5877">
        <v>0</v>
      </c>
      <c r="H5877">
        <v>40</v>
      </c>
      <c r="I5877">
        <v>0</v>
      </c>
      <c r="J5877">
        <v>1.99</v>
      </c>
      <c r="K5877">
        <v>0</v>
      </c>
    </row>
    <row r="5878" spans="1:11" x14ac:dyDescent="0.2">
      <c r="A5878">
        <v>49106</v>
      </c>
      <c r="B5878">
        <v>303131</v>
      </c>
      <c r="C5878" t="s">
        <v>9114</v>
      </c>
      <c r="D5878">
        <v>10</v>
      </c>
      <c r="E5878">
        <v>20</v>
      </c>
      <c r="F5878">
        <v>0</v>
      </c>
      <c r="G5878">
        <v>0</v>
      </c>
      <c r="H5878">
        <v>119</v>
      </c>
      <c r="I5878">
        <v>0</v>
      </c>
      <c r="J5878">
        <v>1.99</v>
      </c>
      <c r="K5878">
        <v>0</v>
      </c>
    </row>
    <row r="5879" spans="1:11" x14ac:dyDescent="0.2">
      <c r="A5879">
        <v>49131</v>
      </c>
      <c r="B5879">
        <v>303133</v>
      </c>
      <c r="C5879" t="s">
        <v>9115</v>
      </c>
      <c r="D5879">
        <v>10</v>
      </c>
      <c r="E5879">
        <v>14</v>
      </c>
      <c r="F5879">
        <v>0</v>
      </c>
      <c r="G5879">
        <v>0</v>
      </c>
      <c r="H5879">
        <v>100</v>
      </c>
      <c r="I5879">
        <v>0</v>
      </c>
      <c r="J5879">
        <v>2.99</v>
      </c>
      <c r="K5879">
        <v>0</v>
      </c>
    </row>
    <row r="5880" spans="1:11" x14ac:dyDescent="0.2">
      <c r="A5880">
        <v>47411</v>
      </c>
      <c r="B5880">
        <v>303165</v>
      </c>
      <c r="C5880" t="s">
        <v>9116</v>
      </c>
      <c r="D5880">
        <v>10</v>
      </c>
      <c r="E5880">
        <v>2</v>
      </c>
      <c r="F5880">
        <v>2</v>
      </c>
      <c r="G5880">
        <v>3</v>
      </c>
      <c r="H5880">
        <v>15</v>
      </c>
      <c r="I5880">
        <v>0.1</v>
      </c>
      <c r="J5880">
        <v>33.99</v>
      </c>
      <c r="K5880">
        <v>101.97</v>
      </c>
    </row>
    <row r="5881" spans="1:11" x14ac:dyDescent="0.2">
      <c r="A5881">
        <v>47813</v>
      </c>
      <c r="B5881">
        <v>303177</v>
      </c>
      <c r="C5881" t="s">
        <v>9117</v>
      </c>
      <c r="D5881">
        <v>10</v>
      </c>
      <c r="E5881">
        <v>3</v>
      </c>
      <c r="F5881">
        <v>-2</v>
      </c>
      <c r="G5881">
        <v>-6</v>
      </c>
      <c r="H5881">
        <v>42</v>
      </c>
      <c r="I5881">
        <v>0</v>
      </c>
      <c r="J5881">
        <v>14.99</v>
      </c>
      <c r="K5881">
        <v>-89.94</v>
      </c>
    </row>
    <row r="5882" spans="1:11" x14ac:dyDescent="0.2">
      <c r="A5882">
        <v>51815</v>
      </c>
      <c r="B5882">
        <v>303178</v>
      </c>
      <c r="C5882" t="s">
        <v>9118</v>
      </c>
      <c r="D5882">
        <v>10</v>
      </c>
      <c r="E5882">
        <v>1</v>
      </c>
      <c r="F5882">
        <v>1038</v>
      </c>
      <c r="G5882">
        <v>1038</v>
      </c>
      <c r="H5882">
        <v>48</v>
      </c>
      <c r="I5882">
        <v>21.6</v>
      </c>
      <c r="J5882">
        <v>14.99</v>
      </c>
      <c r="K5882">
        <v>15559.62</v>
      </c>
    </row>
    <row r="5883" spans="1:11" x14ac:dyDescent="0.2">
      <c r="A5883">
        <v>47418</v>
      </c>
      <c r="B5883">
        <v>303179</v>
      </c>
      <c r="C5883" t="s">
        <v>9119</v>
      </c>
      <c r="D5883">
        <v>10</v>
      </c>
      <c r="E5883">
        <v>20</v>
      </c>
      <c r="F5883">
        <v>0</v>
      </c>
      <c r="G5883">
        <v>0</v>
      </c>
      <c r="H5883">
        <v>45</v>
      </c>
      <c r="I5883">
        <v>0</v>
      </c>
      <c r="J5883">
        <v>2.99</v>
      </c>
      <c r="K5883">
        <v>0</v>
      </c>
    </row>
    <row r="5884" spans="1:11" x14ac:dyDescent="0.2">
      <c r="A5884">
        <v>47419</v>
      </c>
      <c r="B5884">
        <v>303180</v>
      </c>
      <c r="C5884" t="s">
        <v>9120</v>
      </c>
      <c r="D5884">
        <v>10</v>
      </c>
      <c r="E5884">
        <v>26</v>
      </c>
      <c r="F5884">
        <v>0</v>
      </c>
      <c r="G5884">
        <v>0</v>
      </c>
      <c r="H5884">
        <v>100</v>
      </c>
      <c r="I5884">
        <v>0</v>
      </c>
      <c r="J5884">
        <v>2.99</v>
      </c>
      <c r="K5884">
        <v>0</v>
      </c>
    </row>
    <row r="5885" spans="1:11" x14ac:dyDescent="0.2">
      <c r="A5885">
        <v>51816</v>
      </c>
      <c r="B5885">
        <v>303182</v>
      </c>
      <c r="C5885" t="s">
        <v>9121</v>
      </c>
      <c r="D5885">
        <v>10</v>
      </c>
      <c r="E5885">
        <v>10</v>
      </c>
      <c r="F5885">
        <v>150</v>
      </c>
      <c r="G5885">
        <v>1503</v>
      </c>
      <c r="H5885">
        <v>120</v>
      </c>
      <c r="I5885">
        <v>1.3</v>
      </c>
      <c r="J5885">
        <v>3.99</v>
      </c>
      <c r="K5885">
        <v>5996.97</v>
      </c>
    </row>
    <row r="5886" spans="1:11" x14ac:dyDescent="0.2">
      <c r="A5886">
        <v>1395</v>
      </c>
      <c r="B5886">
        <v>303208</v>
      </c>
      <c r="C5886" t="s">
        <v>9122</v>
      </c>
      <c r="D5886">
        <v>10</v>
      </c>
      <c r="E5886">
        <v>1</v>
      </c>
      <c r="F5886">
        <v>4701</v>
      </c>
      <c r="G5886">
        <v>4701</v>
      </c>
      <c r="H5886">
        <v>30</v>
      </c>
      <c r="I5886">
        <v>156.69999999999999</v>
      </c>
      <c r="J5886">
        <v>39.99</v>
      </c>
      <c r="K5886">
        <v>187992.99</v>
      </c>
    </row>
    <row r="5887" spans="1:11" x14ac:dyDescent="0.2">
      <c r="A5887">
        <v>51817</v>
      </c>
      <c r="B5887">
        <v>303243</v>
      </c>
      <c r="C5887" t="s">
        <v>9123</v>
      </c>
      <c r="D5887">
        <v>10</v>
      </c>
      <c r="E5887">
        <v>8</v>
      </c>
      <c r="F5887">
        <v>223</v>
      </c>
      <c r="G5887">
        <v>1784</v>
      </c>
      <c r="H5887">
        <v>100</v>
      </c>
      <c r="I5887">
        <v>2.2000000000000002</v>
      </c>
      <c r="J5887">
        <v>3.49</v>
      </c>
      <c r="K5887">
        <v>6226.16</v>
      </c>
    </row>
    <row r="5888" spans="1:11" x14ac:dyDescent="0.2">
      <c r="A5888">
        <v>51818</v>
      </c>
      <c r="B5888">
        <v>303244</v>
      </c>
      <c r="C5888" t="s">
        <v>9124</v>
      </c>
      <c r="D5888">
        <v>10</v>
      </c>
      <c r="E5888">
        <v>8</v>
      </c>
      <c r="F5888">
        <v>19</v>
      </c>
      <c r="G5888">
        <v>153</v>
      </c>
      <c r="H5888">
        <v>72</v>
      </c>
      <c r="I5888">
        <v>0.3</v>
      </c>
      <c r="J5888">
        <v>12.99</v>
      </c>
      <c r="K5888">
        <v>1987.47</v>
      </c>
    </row>
    <row r="5889" spans="1:11" x14ac:dyDescent="0.2">
      <c r="A5889">
        <v>51819</v>
      </c>
      <c r="B5889">
        <v>303245</v>
      </c>
      <c r="C5889" t="s">
        <v>9125</v>
      </c>
      <c r="D5889">
        <v>10</v>
      </c>
      <c r="E5889">
        <v>12</v>
      </c>
      <c r="F5889">
        <v>30</v>
      </c>
      <c r="G5889">
        <v>358</v>
      </c>
      <c r="H5889">
        <v>72</v>
      </c>
      <c r="I5889">
        <v>0.4</v>
      </c>
      <c r="J5889">
        <v>7.99</v>
      </c>
      <c r="K5889">
        <v>2860.42</v>
      </c>
    </row>
    <row r="5890" spans="1:11" x14ac:dyDescent="0.2">
      <c r="A5890">
        <v>51820</v>
      </c>
      <c r="B5890">
        <v>303246</v>
      </c>
      <c r="C5890" t="s">
        <v>9126</v>
      </c>
      <c r="D5890">
        <v>10</v>
      </c>
      <c r="E5890">
        <v>10</v>
      </c>
      <c r="F5890">
        <v>21</v>
      </c>
      <c r="G5890">
        <v>205</v>
      </c>
      <c r="H5890">
        <v>195</v>
      </c>
      <c r="I5890">
        <v>0.1</v>
      </c>
      <c r="J5890">
        <v>3.49</v>
      </c>
      <c r="K5890">
        <v>715.45</v>
      </c>
    </row>
    <row r="5891" spans="1:11" x14ac:dyDescent="0.2">
      <c r="A5891">
        <v>46816</v>
      </c>
      <c r="B5891">
        <v>303254</v>
      </c>
      <c r="C5891" t="s">
        <v>9127</v>
      </c>
      <c r="D5891">
        <v>10</v>
      </c>
      <c r="E5891">
        <v>8</v>
      </c>
      <c r="F5891">
        <v>6</v>
      </c>
      <c r="G5891">
        <v>48</v>
      </c>
      <c r="H5891">
        <v>30</v>
      </c>
      <c r="I5891">
        <v>0.2</v>
      </c>
      <c r="J5891">
        <v>7.99</v>
      </c>
      <c r="K5891">
        <v>383.52</v>
      </c>
    </row>
    <row r="5892" spans="1:11" x14ac:dyDescent="0.2">
      <c r="A5892">
        <v>46817</v>
      </c>
      <c r="B5892">
        <v>303256</v>
      </c>
      <c r="C5892" t="s">
        <v>9128</v>
      </c>
      <c r="D5892">
        <v>10</v>
      </c>
      <c r="E5892">
        <v>6</v>
      </c>
      <c r="F5892">
        <v>0</v>
      </c>
      <c r="G5892">
        <v>0</v>
      </c>
      <c r="H5892">
        <v>84</v>
      </c>
      <c r="I5892">
        <v>0</v>
      </c>
      <c r="J5892">
        <v>9.99</v>
      </c>
      <c r="K5892">
        <v>0</v>
      </c>
    </row>
    <row r="5893" spans="1:11" x14ac:dyDescent="0.2">
      <c r="A5893">
        <v>42403</v>
      </c>
      <c r="B5893">
        <v>303257</v>
      </c>
      <c r="C5893" t="s">
        <v>9129</v>
      </c>
      <c r="D5893">
        <v>10</v>
      </c>
      <c r="E5893">
        <v>50</v>
      </c>
      <c r="F5893">
        <v>0</v>
      </c>
      <c r="G5893">
        <v>0</v>
      </c>
      <c r="H5893">
        <v>24</v>
      </c>
      <c r="I5893">
        <v>0</v>
      </c>
      <c r="J5893">
        <v>1</v>
      </c>
      <c r="K5893">
        <v>0</v>
      </c>
    </row>
    <row r="5894" spans="1:11" x14ac:dyDescent="0.2">
      <c r="A5894">
        <v>46818</v>
      </c>
      <c r="B5894">
        <v>303263</v>
      </c>
      <c r="C5894" t="s">
        <v>9130</v>
      </c>
      <c r="D5894">
        <v>10</v>
      </c>
      <c r="E5894">
        <v>4</v>
      </c>
      <c r="F5894">
        <v>0</v>
      </c>
      <c r="G5894">
        <v>0</v>
      </c>
      <c r="H5894">
        <v>30</v>
      </c>
      <c r="I5894">
        <v>0</v>
      </c>
      <c r="J5894">
        <v>49.99</v>
      </c>
      <c r="K5894">
        <v>0</v>
      </c>
    </row>
    <row r="5895" spans="1:11" x14ac:dyDescent="0.2">
      <c r="A5895">
        <v>48823</v>
      </c>
      <c r="B5895">
        <v>303279</v>
      </c>
      <c r="C5895" t="s">
        <v>9131</v>
      </c>
      <c r="D5895">
        <v>10</v>
      </c>
      <c r="E5895">
        <v>20</v>
      </c>
      <c r="F5895">
        <v>1</v>
      </c>
      <c r="G5895">
        <v>20</v>
      </c>
      <c r="H5895">
        <v>80</v>
      </c>
      <c r="I5895">
        <v>0</v>
      </c>
      <c r="J5895">
        <v>2.99</v>
      </c>
      <c r="K5895">
        <v>59.8</v>
      </c>
    </row>
    <row r="5896" spans="1:11" x14ac:dyDescent="0.2">
      <c r="A5896">
        <v>47814</v>
      </c>
      <c r="B5896">
        <v>303280</v>
      </c>
      <c r="C5896" t="s">
        <v>7897</v>
      </c>
      <c r="D5896">
        <v>10</v>
      </c>
      <c r="E5896">
        <v>2</v>
      </c>
      <c r="F5896">
        <v>1</v>
      </c>
      <c r="G5896">
        <v>2</v>
      </c>
      <c r="H5896">
        <v>20</v>
      </c>
      <c r="I5896">
        <v>0.1</v>
      </c>
      <c r="J5896">
        <v>49.99</v>
      </c>
      <c r="K5896">
        <v>99.98</v>
      </c>
    </row>
    <row r="5897" spans="1:11" x14ac:dyDescent="0.2">
      <c r="A5897">
        <v>47815</v>
      </c>
      <c r="B5897">
        <v>303281</v>
      </c>
      <c r="C5897" t="s">
        <v>9132</v>
      </c>
      <c r="D5897">
        <v>10</v>
      </c>
      <c r="E5897">
        <v>9</v>
      </c>
      <c r="F5897">
        <v>0</v>
      </c>
      <c r="G5897">
        <v>0</v>
      </c>
      <c r="H5897">
        <v>40</v>
      </c>
      <c r="I5897">
        <v>0</v>
      </c>
      <c r="J5897">
        <v>4.99</v>
      </c>
      <c r="K5897">
        <v>0</v>
      </c>
    </row>
    <row r="5898" spans="1:11" x14ac:dyDescent="0.2">
      <c r="A5898">
        <v>47816</v>
      </c>
      <c r="B5898">
        <v>303283</v>
      </c>
      <c r="C5898" t="s">
        <v>9133</v>
      </c>
      <c r="D5898">
        <v>10</v>
      </c>
      <c r="E5898">
        <v>8</v>
      </c>
      <c r="F5898">
        <v>1</v>
      </c>
      <c r="G5898">
        <v>8</v>
      </c>
      <c r="H5898">
        <v>42</v>
      </c>
      <c r="I5898">
        <v>0</v>
      </c>
      <c r="J5898">
        <v>8.99</v>
      </c>
      <c r="K5898">
        <v>71.92</v>
      </c>
    </row>
    <row r="5899" spans="1:11" x14ac:dyDescent="0.2">
      <c r="A5899">
        <v>47817</v>
      </c>
      <c r="B5899">
        <v>303285</v>
      </c>
      <c r="C5899" t="s">
        <v>8256</v>
      </c>
      <c r="D5899">
        <v>10</v>
      </c>
      <c r="E5899">
        <v>6</v>
      </c>
      <c r="F5899">
        <v>1</v>
      </c>
      <c r="G5899">
        <v>6</v>
      </c>
      <c r="H5899">
        <v>72</v>
      </c>
      <c r="I5899">
        <v>0</v>
      </c>
      <c r="J5899">
        <v>4.99</v>
      </c>
      <c r="K5899">
        <v>29.94</v>
      </c>
    </row>
    <row r="5900" spans="1:11" x14ac:dyDescent="0.2">
      <c r="A5900">
        <v>48824</v>
      </c>
      <c r="B5900">
        <v>303304</v>
      </c>
      <c r="C5900" t="s">
        <v>9134</v>
      </c>
      <c r="D5900">
        <v>10</v>
      </c>
      <c r="E5900">
        <v>24</v>
      </c>
      <c r="F5900">
        <v>1</v>
      </c>
      <c r="G5900">
        <v>24</v>
      </c>
      <c r="H5900">
        <v>77</v>
      </c>
      <c r="I5900">
        <v>0</v>
      </c>
      <c r="J5900">
        <v>2.99</v>
      </c>
      <c r="K5900">
        <v>71.760000000000005</v>
      </c>
    </row>
    <row r="5901" spans="1:11" x14ac:dyDescent="0.2">
      <c r="A5901">
        <v>48825</v>
      </c>
      <c r="B5901">
        <v>303308</v>
      </c>
      <c r="C5901" t="s">
        <v>9135</v>
      </c>
      <c r="D5901">
        <v>10</v>
      </c>
      <c r="E5901">
        <v>4</v>
      </c>
      <c r="F5901">
        <v>1</v>
      </c>
      <c r="G5901">
        <v>4</v>
      </c>
      <c r="H5901">
        <v>44</v>
      </c>
      <c r="I5901">
        <v>0</v>
      </c>
      <c r="J5901">
        <v>19.989999999999998</v>
      </c>
      <c r="K5901">
        <v>79.959999999999994</v>
      </c>
    </row>
    <row r="5902" spans="1:11" x14ac:dyDescent="0.2">
      <c r="A5902">
        <v>48826</v>
      </c>
      <c r="B5902">
        <v>303315</v>
      </c>
      <c r="C5902" t="s">
        <v>9136</v>
      </c>
      <c r="D5902">
        <v>10</v>
      </c>
      <c r="E5902">
        <v>24</v>
      </c>
      <c r="F5902">
        <v>2</v>
      </c>
      <c r="G5902">
        <v>48</v>
      </c>
      <c r="H5902">
        <v>70</v>
      </c>
      <c r="I5902">
        <v>0</v>
      </c>
      <c r="J5902">
        <v>1.99</v>
      </c>
      <c r="K5902">
        <v>95.52</v>
      </c>
    </row>
    <row r="5903" spans="1:11" x14ac:dyDescent="0.2">
      <c r="A5903">
        <v>42409</v>
      </c>
      <c r="B5903">
        <v>303317</v>
      </c>
      <c r="C5903" t="s">
        <v>7592</v>
      </c>
      <c r="D5903">
        <v>10</v>
      </c>
      <c r="E5903">
        <v>1</v>
      </c>
      <c r="F5903">
        <v>1</v>
      </c>
      <c r="G5903">
        <v>1</v>
      </c>
      <c r="H5903">
        <v>28</v>
      </c>
      <c r="I5903">
        <v>0</v>
      </c>
      <c r="J5903">
        <v>44.99</v>
      </c>
      <c r="K5903">
        <v>44.99</v>
      </c>
    </row>
    <row r="5904" spans="1:11" x14ac:dyDescent="0.2">
      <c r="A5904">
        <v>47818</v>
      </c>
      <c r="B5904">
        <v>303318</v>
      </c>
      <c r="C5904" t="s">
        <v>9137</v>
      </c>
      <c r="D5904">
        <v>10</v>
      </c>
      <c r="E5904">
        <v>4</v>
      </c>
      <c r="F5904">
        <v>0</v>
      </c>
      <c r="G5904">
        <v>0</v>
      </c>
      <c r="H5904">
        <v>45</v>
      </c>
      <c r="I5904">
        <v>0</v>
      </c>
      <c r="J5904">
        <v>14.99</v>
      </c>
      <c r="K5904">
        <v>0</v>
      </c>
    </row>
    <row r="5905" spans="1:11" x14ac:dyDescent="0.2">
      <c r="A5905">
        <v>48121</v>
      </c>
      <c r="B5905">
        <v>303343</v>
      </c>
      <c r="C5905" t="s">
        <v>9138</v>
      </c>
      <c r="D5905">
        <v>10</v>
      </c>
      <c r="E5905">
        <v>2</v>
      </c>
      <c r="F5905">
        <v>6</v>
      </c>
      <c r="G5905">
        <v>12</v>
      </c>
      <c r="H5905">
        <v>30</v>
      </c>
      <c r="I5905">
        <v>0.2</v>
      </c>
      <c r="J5905">
        <v>24.99</v>
      </c>
      <c r="K5905">
        <v>299.88</v>
      </c>
    </row>
    <row r="5906" spans="1:11" x14ac:dyDescent="0.2">
      <c r="A5906">
        <v>40416</v>
      </c>
      <c r="B5906">
        <v>303355</v>
      </c>
      <c r="C5906" t="s">
        <v>9139</v>
      </c>
      <c r="D5906">
        <v>10</v>
      </c>
      <c r="E5906">
        <v>6</v>
      </c>
      <c r="F5906">
        <v>0</v>
      </c>
      <c r="G5906">
        <v>0</v>
      </c>
      <c r="H5906">
        <v>70</v>
      </c>
      <c r="I5906">
        <v>0</v>
      </c>
      <c r="J5906">
        <v>7.99</v>
      </c>
      <c r="K5906">
        <v>0</v>
      </c>
    </row>
    <row r="5907" spans="1:11" x14ac:dyDescent="0.2">
      <c r="A5907">
        <v>45811</v>
      </c>
      <c r="B5907">
        <v>303357</v>
      </c>
      <c r="C5907" t="s">
        <v>9140</v>
      </c>
      <c r="D5907">
        <v>10</v>
      </c>
      <c r="E5907">
        <v>2</v>
      </c>
      <c r="F5907">
        <v>1</v>
      </c>
      <c r="G5907">
        <v>2</v>
      </c>
      <c r="H5907">
        <v>30</v>
      </c>
      <c r="I5907">
        <v>0</v>
      </c>
      <c r="J5907">
        <v>39.99</v>
      </c>
      <c r="K5907">
        <v>79.98</v>
      </c>
    </row>
    <row r="5908" spans="1:11" x14ac:dyDescent="0.2">
      <c r="A5908">
        <v>45812</v>
      </c>
      <c r="B5908">
        <v>303359</v>
      </c>
      <c r="C5908" t="s">
        <v>9141</v>
      </c>
      <c r="D5908">
        <v>10</v>
      </c>
      <c r="E5908">
        <v>8</v>
      </c>
      <c r="F5908">
        <v>0</v>
      </c>
      <c r="G5908">
        <v>0</v>
      </c>
      <c r="H5908">
        <v>161</v>
      </c>
      <c r="I5908">
        <v>0</v>
      </c>
      <c r="J5908">
        <v>7.99</v>
      </c>
      <c r="K5908">
        <v>0</v>
      </c>
    </row>
    <row r="5909" spans="1:11" x14ac:dyDescent="0.2">
      <c r="A5909">
        <v>40419</v>
      </c>
      <c r="B5909">
        <v>303361</v>
      </c>
      <c r="C5909" t="s">
        <v>9142</v>
      </c>
      <c r="D5909">
        <v>10</v>
      </c>
      <c r="E5909">
        <v>24</v>
      </c>
      <c r="F5909">
        <v>0</v>
      </c>
      <c r="G5909">
        <v>0</v>
      </c>
      <c r="H5909">
        <v>120</v>
      </c>
      <c r="I5909">
        <v>0</v>
      </c>
      <c r="J5909">
        <v>1</v>
      </c>
      <c r="K5909">
        <v>0</v>
      </c>
    </row>
    <row r="5910" spans="1:11" x14ac:dyDescent="0.2">
      <c r="A5910">
        <v>51111</v>
      </c>
      <c r="B5910">
        <v>303394</v>
      </c>
      <c r="C5910" t="s">
        <v>9143</v>
      </c>
      <c r="D5910">
        <v>10</v>
      </c>
      <c r="E5910">
        <v>10</v>
      </c>
      <c r="F5910">
        <v>12</v>
      </c>
      <c r="G5910">
        <v>120</v>
      </c>
      <c r="H5910">
        <v>40</v>
      </c>
      <c r="I5910">
        <v>0.3</v>
      </c>
      <c r="J5910">
        <v>5.99</v>
      </c>
      <c r="K5910">
        <v>718.8</v>
      </c>
    </row>
    <row r="5911" spans="1:11" x14ac:dyDescent="0.2">
      <c r="A5911">
        <v>51117</v>
      </c>
      <c r="B5911">
        <v>303395</v>
      </c>
      <c r="C5911" t="s">
        <v>9144</v>
      </c>
      <c r="D5911">
        <v>10</v>
      </c>
      <c r="E5911">
        <v>6</v>
      </c>
      <c r="F5911">
        <v>8</v>
      </c>
      <c r="G5911">
        <v>48</v>
      </c>
      <c r="H5911">
        <v>20</v>
      </c>
      <c r="I5911">
        <v>0.4</v>
      </c>
      <c r="J5911">
        <v>9.99</v>
      </c>
      <c r="K5911">
        <v>479.52</v>
      </c>
    </row>
    <row r="5912" spans="1:11" x14ac:dyDescent="0.2">
      <c r="A5912">
        <v>51118</v>
      </c>
      <c r="B5912">
        <v>303396</v>
      </c>
      <c r="C5912" t="s">
        <v>9145</v>
      </c>
      <c r="D5912">
        <v>10</v>
      </c>
      <c r="E5912">
        <v>22</v>
      </c>
      <c r="F5912">
        <v>11</v>
      </c>
      <c r="G5912">
        <v>242</v>
      </c>
      <c r="H5912">
        <v>100</v>
      </c>
      <c r="I5912">
        <v>0.1</v>
      </c>
      <c r="J5912">
        <v>2.99</v>
      </c>
      <c r="K5912">
        <v>723.58</v>
      </c>
    </row>
    <row r="5913" spans="1:11" x14ac:dyDescent="0.2">
      <c r="A5913">
        <v>51110</v>
      </c>
      <c r="B5913">
        <v>303397</v>
      </c>
      <c r="C5913" t="s">
        <v>9146</v>
      </c>
      <c r="D5913">
        <v>10</v>
      </c>
      <c r="E5913">
        <v>6</v>
      </c>
      <c r="F5913">
        <v>27</v>
      </c>
      <c r="G5913">
        <v>162</v>
      </c>
      <c r="H5913">
        <v>57</v>
      </c>
      <c r="I5913">
        <v>0.5</v>
      </c>
      <c r="J5913">
        <v>6.99</v>
      </c>
      <c r="K5913">
        <v>1132.3800000000001</v>
      </c>
    </row>
    <row r="5914" spans="1:11" x14ac:dyDescent="0.2">
      <c r="A5914">
        <v>51119</v>
      </c>
      <c r="B5914">
        <v>303399</v>
      </c>
      <c r="C5914" t="s">
        <v>9147</v>
      </c>
      <c r="D5914">
        <v>10</v>
      </c>
      <c r="E5914">
        <v>12</v>
      </c>
      <c r="F5914">
        <v>27</v>
      </c>
      <c r="G5914">
        <v>324</v>
      </c>
      <c r="H5914">
        <v>96</v>
      </c>
      <c r="I5914">
        <v>0.3</v>
      </c>
      <c r="J5914">
        <v>1.99</v>
      </c>
      <c r="K5914">
        <v>644.76</v>
      </c>
    </row>
    <row r="5915" spans="1:11" x14ac:dyDescent="0.2">
      <c r="A5915">
        <v>51109</v>
      </c>
      <c r="B5915">
        <v>303402</v>
      </c>
      <c r="C5915" t="s">
        <v>9148</v>
      </c>
      <c r="D5915">
        <v>10</v>
      </c>
      <c r="E5915">
        <v>4</v>
      </c>
      <c r="F5915">
        <v>17</v>
      </c>
      <c r="G5915">
        <v>68</v>
      </c>
      <c r="H5915">
        <v>84</v>
      </c>
      <c r="I5915">
        <v>0.2</v>
      </c>
      <c r="J5915">
        <v>19.989999999999998</v>
      </c>
      <c r="K5915">
        <v>1359.32</v>
      </c>
    </row>
    <row r="5916" spans="1:11" x14ac:dyDescent="0.2">
      <c r="A5916">
        <v>51121</v>
      </c>
      <c r="B5916">
        <v>303404</v>
      </c>
      <c r="C5916" t="s">
        <v>9149</v>
      </c>
      <c r="D5916">
        <v>10</v>
      </c>
      <c r="E5916">
        <v>18</v>
      </c>
      <c r="F5916">
        <v>11</v>
      </c>
      <c r="G5916">
        <v>198</v>
      </c>
      <c r="H5916">
        <v>36</v>
      </c>
      <c r="I5916">
        <v>0.3</v>
      </c>
      <c r="J5916">
        <v>2.99</v>
      </c>
      <c r="K5916">
        <v>592.02</v>
      </c>
    </row>
    <row r="5917" spans="1:11" x14ac:dyDescent="0.2">
      <c r="A5917">
        <v>51122</v>
      </c>
      <c r="B5917">
        <v>303405</v>
      </c>
      <c r="C5917" t="s">
        <v>9150</v>
      </c>
      <c r="D5917">
        <v>10</v>
      </c>
      <c r="E5917">
        <v>8</v>
      </c>
      <c r="F5917">
        <v>14</v>
      </c>
      <c r="G5917">
        <v>112</v>
      </c>
      <c r="H5917">
        <v>70</v>
      </c>
      <c r="I5917">
        <v>0.2</v>
      </c>
      <c r="J5917">
        <v>6.99</v>
      </c>
      <c r="K5917">
        <v>782.88</v>
      </c>
    </row>
    <row r="5918" spans="1:11" x14ac:dyDescent="0.2">
      <c r="A5918">
        <v>51123</v>
      </c>
      <c r="B5918">
        <v>303407</v>
      </c>
      <c r="C5918" t="s">
        <v>9151</v>
      </c>
      <c r="D5918">
        <v>10</v>
      </c>
      <c r="E5918">
        <v>24</v>
      </c>
      <c r="F5918">
        <v>17</v>
      </c>
      <c r="G5918">
        <v>408</v>
      </c>
      <c r="H5918">
        <v>56</v>
      </c>
      <c r="I5918">
        <v>0.3</v>
      </c>
      <c r="J5918">
        <v>2.99</v>
      </c>
      <c r="K5918">
        <v>1219.92</v>
      </c>
    </row>
    <row r="5919" spans="1:11" x14ac:dyDescent="0.2">
      <c r="A5919">
        <v>51124</v>
      </c>
      <c r="B5919">
        <v>303411</v>
      </c>
      <c r="C5919" t="s">
        <v>9152</v>
      </c>
      <c r="D5919">
        <v>10</v>
      </c>
      <c r="E5919">
        <v>10</v>
      </c>
      <c r="F5919">
        <v>20</v>
      </c>
      <c r="G5919">
        <v>200</v>
      </c>
      <c r="H5919">
        <v>40</v>
      </c>
      <c r="I5919">
        <v>0.5</v>
      </c>
      <c r="J5919">
        <v>2.99</v>
      </c>
      <c r="K5919">
        <v>598</v>
      </c>
    </row>
    <row r="5920" spans="1:11" x14ac:dyDescent="0.2">
      <c r="A5920">
        <v>51108</v>
      </c>
      <c r="B5920">
        <v>303417</v>
      </c>
      <c r="C5920" t="s">
        <v>9153</v>
      </c>
      <c r="D5920">
        <v>10</v>
      </c>
      <c r="E5920">
        <v>10</v>
      </c>
      <c r="F5920">
        <v>27</v>
      </c>
      <c r="G5920">
        <v>270</v>
      </c>
      <c r="H5920">
        <v>77</v>
      </c>
      <c r="I5920">
        <v>0.4</v>
      </c>
      <c r="J5920">
        <v>2.99</v>
      </c>
      <c r="K5920">
        <v>807.3</v>
      </c>
    </row>
    <row r="5921" spans="1:11" x14ac:dyDescent="0.2">
      <c r="A5921">
        <v>51125</v>
      </c>
      <c r="B5921">
        <v>303419</v>
      </c>
      <c r="C5921" t="s">
        <v>9154</v>
      </c>
      <c r="D5921">
        <v>10</v>
      </c>
      <c r="E5921">
        <v>1</v>
      </c>
      <c r="F5921">
        <v>51</v>
      </c>
      <c r="G5921">
        <v>51</v>
      </c>
      <c r="H5921">
        <v>40</v>
      </c>
      <c r="I5921">
        <v>1.3</v>
      </c>
      <c r="J5921">
        <v>16.989999999999998</v>
      </c>
      <c r="K5921">
        <v>866.49</v>
      </c>
    </row>
    <row r="5922" spans="1:11" x14ac:dyDescent="0.2">
      <c r="A5922">
        <v>51126</v>
      </c>
      <c r="B5922">
        <v>303420</v>
      </c>
      <c r="C5922" t="s">
        <v>9155</v>
      </c>
      <c r="D5922">
        <v>10</v>
      </c>
      <c r="E5922">
        <v>12</v>
      </c>
      <c r="F5922">
        <v>18</v>
      </c>
      <c r="G5922">
        <v>216</v>
      </c>
      <c r="H5922">
        <v>54</v>
      </c>
      <c r="I5922">
        <v>0.3</v>
      </c>
      <c r="J5922">
        <v>2.99</v>
      </c>
      <c r="K5922">
        <v>645.84</v>
      </c>
    </row>
    <row r="5923" spans="1:11" x14ac:dyDescent="0.2">
      <c r="A5923">
        <v>48033</v>
      </c>
      <c r="B5923">
        <v>303559</v>
      </c>
      <c r="C5923" t="s">
        <v>9156</v>
      </c>
      <c r="D5923">
        <v>10</v>
      </c>
      <c r="E5923">
        <v>12</v>
      </c>
      <c r="F5923">
        <v>3</v>
      </c>
      <c r="G5923">
        <v>36</v>
      </c>
      <c r="H5923">
        <v>40</v>
      </c>
      <c r="I5923">
        <v>0.1</v>
      </c>
      <c r="J5923">
        <v>5.99</v>
      </c>
      <c r="K5923">
        <v>215.64</v>
      </c>
    </row>
    <row r="5924" spans="1:11" x14ac:dyDescent="0.2">
      <c r="A5924">
        <v>48013</v>
      </c>
      <c r="B5924">
        <v>303560</v>
      </c>
      <c r="C5924" t="s">
        <v>9157</v>
      </c>
      <c r="D5924">
        <v>10</v>
      </c>
      <c r="E5924">
        <v>20</v>
      </c>
      <c r="F5924">
        <v>0</v>
      </c>
      <c r="G5924">
        <v>0</v>
      </c>
      <c r="H5924">
        <v>44</v>
      </c>
      <c r="I5924">
        <v>0</v>
      </c>
      <c r="J5924">
        <v>4.99</v>
      </c>
      <c r="K5924">
        <v>0</v>
      </c>
    </row>
    <row r="5925" spans="1:11" x14ac:dyDescent="0.2">
      <c r="A5925">
        <v>48034</v>
      </c>
      <c r="B5925">
        <v>303565</v>
      </c>
      <c r="C5925" t="s">
        <v>9158</v>
      </c>
      <c r="D5925">
        <v>10</v>
      </c>
      <c r="E5925">
        <v>2</v>
      </c>
      <c r="F5925">
        <v>0</v>
      </c>
      <c r="G5925">
        <v>0</v>
      </c>
      <c r="H5925">
        <v>120</v>
      </c>
      <c r="I5925">
        <v>0</v>
      </c>
      <c r="J5925">
        <v>11.99</v>
      </c>
      <c r="K5925">
        <v>0</v>
      </c>
    </row>
    <row r="5926" spans="1:11" x14ac:dyDescent="0.2">
      <c r="A5926">
        <v>48011</v>
      </c>
      <c r="B5926">
        <v>303566</v>
      </c>
      <c r="C5926" t="s">
        <v>9159</v>
      </c>
      <c r="D5926">
        <v>10</v>
      </c>
      <c r="E5926">
        <v>10</v>
      </c>
      <c r="F5926">
        <v>0</v>
      </c>
      <c r="G5926">
        <v>0</v>
      </c>
      <c r="H5926">
        <v>100</v>
      </c>
      <c r="I5926">
        <v>0</v>
      </c>
      <c r="J5926">
        <v>5.49</v>
      </c>
      <c r="K5926">
        <v>0</v>
      </c>
    </row>
    <row r="5927" spans="1:11" x14ac:dyDescent="0.2">
      <c r="A5927">
        <v>48035</v>
      </c>
      <c r="B5927">
        <v>303568</v>
      </c>
      <c r="C5927" t="s">
        <v>9160</v>
      </c>
      <c r="D5927">
        <v>10</v>
      </c>
      <c r="E5927">
        <v>6</v>
      </c>
      <c r="F5927">
        <v>2</v>
      </c>
      <c r="G5927">
        <v>12</v>
      </c>
      <c r="H5927">
        <v>100</v>
      </c>
      <c r="I5927">
        <v>0</v>
      </c>
      <c r="J5927">
        <v>4.99</v>
      </c>
      <c r="K5927">
        <v>59.88</v>
      </c>
    </row>
    <row r="5928" spans="1:11" x14ac:dyDescent="0.2">
      <c r="A5928">
        <v>48036</v>
      </c>
      <c r="B5928">
        <v>303569</v>
      </c>
      <c r="C5928" t="s">
        <v>9161</v>
      </c>
      <c r="D5928">
        <v>10</v>
      </c>
      <c r="E5928">
        <v>12</v>
      </c>
      <c r="F5928">
        <v>0</v>
      </c>
      <c r="G5928">
        <v>0</v>
      </c>
      <c r="H5928">
        <v>42</v>
      </c>
      <c r="I5928">
        <v>0</v>
      </c>
      <c r="J5928">
        <v>4.99</v>
      </c>
      <c r="K5928">
        <v>0</v>
      </c>
    </row>
    <row r="5929" spans="1:11" x14ac:dyDescent="0.2">
      <c r="A5929">
        <v>50100</v>
      </c>
      <c r="B5929">
        <v>303577</v>
      </c>
      <c r="C5929" t="s">
        <v>9162</v>
      </c>
      <c r="D5929">
        <v>10</v>
      </c>
      <c r="E5929">
        <v>12</v>
      </c>
      <c r="F5929">
        <v>0</v>
      </c>
      <c r="G5929">
        <v>0</v>
      </c>
      <c r="H5929">
        <v>255</v>
      </c>
      <c r="I5929">
        <v>0</v>
      </c>
      <c r="J5929">
        <v>2.99</v>
      </c>
      <c r="K5929">
        <v>0</v>
      </c>
    </row>
    <row r="5930" spans="1:11" x14ac:dyDescent="0.2">
      <c r="A5930">
        <v>46131</v>
      </c>
      <c r="B5930">
        <v>303615</v>
      </c>
      <c r="C5930" t="s">
        <v>9163</v>
      </c>
      <c r="D5930">
        <v>10</v>
      </c>
      <c r="E5930">
        <v>20</v>
      </c>
      <c r="F5930">
        <v>3</v>
      </c>
      <c r="G5930">
        <v>60</v>
      </c>
      <c r="H5930">
        <v>63</v>
      </c>
      <c r="I5930">
        <v>0</v>
      </c>
      <c r="J5930">
        <v>1.49</v>
      </c>
      <c r="K5930">
        <v>89.4</v>
      </c>
    </row>
    <row r="5931" spans="1:11" x14ac:dyDescent="0.2">
      <c r="A5931">
        <v>46132</v>
      </c>
      <c r="B5931">
        <v>303617</v>
      </c>
      <c r="C5931" t="s">
        <v>9164</v>
      </c>
      <c r="D5931">
        <v>10</v>
      </c>
      <c r="E5931">
        <v>30</v>
      </c>
      <c r="F5931">
        <v>-2</v>
      </c>
      <c r="G5931">
        <v>-60</v>
      </c>
      <c r="H5931">
        <v>308</v>
      </c>
      <c r="I5931">
        <v>0</v>
      </c>
      <c r="J5931">
        <v>1.49</v>
      </c>
      <c r="K5931">
        <v>-89.4</v>
      </c>
    </row>
    <row r="5932" spans="1:11" x14ac:dyDescent="0.2">
      <c r="A5932">
        <v>44420</v>
      </c>
      <c r="B5932">
        <v>303641</v>
      </c>
      <c r="C5932" t="s">
        <v>9165</v>
      </c>
      <c r="D5932">
        <v>10</v>
      </c>
      <c r="E5932">
        <v>12</v>
      </c>
      <c r="F5932">
        <v>17</v>
      </c>
      <c r="G5932">
        <v>204</v>
      </c>
      <c r="H5932">
        <v>36</v>
      </c>
      <c r="I5932">
        <v>0.5</v>
      </c>
      <c r="J5932">
        <v>6.99</v>
      </c>
      <c r="K5932">
        <v>1425.96</v>
      </c>
    </row>
    <row r="5933" spans="1:11" x14ac:dyDescent="0.2">
      <c r="A5933">
        <v>44421</v>
      </c>
      <c r="B5933">
        <v>303642</v>
      </c>
      <c r="C5933" t="s">
        <v>9166</v>
      </c>
      <c r="D5933">
        <v>10</v>
      </c>
      <c r="E5933">
        <v>1</v>
      </c>
      <c r="F5933">
        <v>-1</v>
      </c>
      <c r="G5933">
        <v>-1</v>
      </c>
      <c r="H5933">
        <v>56</v>
      </c>
      <c r="I5933">
        <v>0</v>
      </c>
      <c r="J5933">
        <v>59.99</v>
      </c>
      <c r="K5933">
        <v>-59.99</v>
      </c>
    </row>
    <row r="5934" spans="1:11" x14ac:dyDescent="0.2">
      <c r="A5934">
        <v>44422</v>
      </c>
      <c r="B5934">
        <v>303643</v>
      </c>
      <c r="C5934" t="s">
        <v>9167</v>
      </c>
      <c r="D5934">
        <v>10</v>
      </c>
      <c r="E5934">
        <v>14</v>
      </c>
      <c r="F5934">
        <v>0</v>
      </c>
      <c r="G5934">
        <v>0</v>
      </c>
      <c r="H5934">
        <v>100</v>
      </c>
      <c r="I5934">
        <v>0</v>
      </c>
      <c r="J5934">
        <v>7.99</v>
      </c>
      <c r="K5934">
        <v>0</v>
      </c>
    </row>
    <row r="5935" spans="1:11" x14ac:dyDescent="0.2">
      <c r="A5935">
        <v>1314</v>
      </c>
      <c r="B5935">
        <v>303644</v>
      </c>
      <c r="C5935" t="s">
        <v>7657</v>
      </c>
      <c r="D5935">
        <v>10</v>
      </c>
      <c r="E5935">
        <v>1</v>
      </c>
      <c r="F5935">
        <v>510</v>
      </c>
      <c r="G5935">
        <v>510</v>
      </c>
      <c r="H5935">
        <v>32</v>
      </c>
      <c r="I5935">
        <v>15.9</v>
      </c>
      <c r="J5935">
        <v>49.99</v>
      </c>
      <c r="K5935">
        <v>25494.9</v>
      </c>
    </row>
    <row r="5936" spans="1:11" x14ac:dyDescent="0.2">
      <c r="A5936">
        <v>48122</v>
      </c>
      <c r="B5936">
        <v>303645</v>
      </c>
      <c r="C5936" t="s">
        <v>9168</v>
      </c>
      <c r="D5936">
        <v>10</v>
      </c>
      <c r="E5936">
        <v>3</v>
      </c>
      <c r="F5936">
        <v>2</v>
      </c>
      <c r="G5936">
        <v>6</v>
      </c>
      <c r="H5936">
        <v>30</v>
      </c>
      <c r="I5936">
        <v>0.1</v>
      </c>
      <c r="J5936">
        <v>21.99</v>
      </c>
      <c r="K5936">
        <v>131.94</v>
      </c>
    </row>
    <row r="5937" spans="1:11" x14ac:dyDescent="0.2">
      <c r="A5937">
        <v>44423</v>
      </c>
      <c r="B5937">
        <v>303647</v>
      </c>
      <c r="C5937" t="s">
        <v>9169</v>
      </c>
      <c r="D5937">
        <v>10</v>
      </c>
      <c r="E5937">
        <v>12</v>
      </c>
      <c r="F5937">
        <v>1</v>
      </c>
      <c r="G5937">
        <v>12</v>
      </c>
      <c r="H5937">
        <v>30</v>
      </c>
      <c r="I5937">
        <v>0</v>
      </c>
      <c r="J5937">
        <v>9.99</v>
      </c>
      <c r="K5937">
        <v>119.88</v>
      </c>
    </row>
    <row r="5938" spans="1:11" x14ac:dyDescent="0.2">
      <c r="A5938">
        <v>48123</v>
      </c>
      <c r="B5938">
        <v>303648</v>
      </c>
      <c r="C5938" t="s">
        <v>9170</v>
      </c>
      <c r="D5938">
        <v>10</v>
      </c>
      <c r="E5938">
        <v>1</v>
      </c>
      <c r="F5938">
        <v>0</v>
      </c>
      <c r="G5938">
        <v>0</v>
      </c>
      <c r="H5938">
        <v>100</v>
      </c>
      <c r="I5938">
        <v>0</v>
      </c>
      <c r="J5938">
        <v>44.99</v>
      </c>
      <c r="K5938">
        <v>0</v>
      </c>
    </row>
    <row r="5939" spans="1:11" x14ac:dyDescent="0.2">
      <c r="A5939">
        <v>44424</v>
      </c>
      <c r="B5939">
        <v>303649</v>
      </c>
      <c r="C5939" t="s">
        <v>9171</v>
      </c>
      <c r="D5939">
        <v>10</v>
      </c>
      <c r="E5939">
        <v>4</v>
      </c>
      <c r="F5939">
        <v>0</v>
      </c>
      <c r="G5939">
        <v>0</v>
      </c>
      <c r="H5939">
        <v>100</v>
      </c>
      <c r="I5939">
        <v>0</v>
      </c>
      <c r="J5939">
        <v>29.99</v>
      </c>
      <c r="K5939">
        <v>0</v>
      </c>
    </row>
    <row r="5940" spans="1:11" x14ac:dyDescent="0.2">
      <c r="A5940">
        <v>48124</v>
      </c>
      <c r="B5940">
        <v>303652</v>
      </c>
      <c r="C5940" t="s">
        <v>9172</v>
      </c>
      <c r="D5940">
        <v>10</v>
      </c>
      <c r="E5940">
        <v>6</v>
      </c>
      <c r="F5940">
        <v>0</v>
      </c>
      <c r="G5940">
        <v>0</v>
      </c>
      <c r="H5940">
        <v>40</v>
      </c>
      <c r="I5940">
        <v>0</v>
      </c>
      <c r="J5940">
        <v>9.99</v>
      </c>
      <c r="K5940">
        <v>0</v>
      </c>
    </row>
    <row r="5941" spans="1:11" x14ac:dyDescent="0.2">
      <c r="A5941">
        <v>48125</v>
      </c>
      <c r="B5941">
        <v>303665</v>
      </c>
      <c r="C5941" t="s">
        <v>9173</v>
      </c>
      <c r="D5941">
        <v>10</v>
      </c>
      <c r="E5941">
        <v>12</v>
      </c>
      <c r="F5941">
        <v>0</v>
      </c>
      <c r="G5941">
        <v>0</v>
      </c>
      <c r="H5941">
        <v>15</v>
      </c>
      <c r="I5941">
        <v>0</v>
      </c>
      <c r="J5941">
        <v>12.99</v>
      </c>
      <c r="K5941">
        <v>0</v>
      </c>
    </row>
    <row r="5942" spans="1:11" x14ac:dyDescent="0.2">
      <c r="A5942">
        <v>48126</v>
      </c>
      <c r="B5942">
        <v>303666</v>
      </c>
      <c r="C5942" t="s">
        <v>9174</v>
      </c>
      <c r="D5942">
        <v>10</v>
      </c>
      <c r="E5942">
        <v>18</v>
      </c>
      <c r="F5942">
        <v>0</v>
      </c>
      <c r="G5942">
        <v>0</v>
      </c>
      <c r="H5942">
        <v>84</v>
      </c>
      <c r="I5942">
        <v>0</v>
      </c>
      <c r="J5942">
        <v>5.99</v>
      </c>
      <c r="K5942">
        <v>0</v>
      </c>
    </row>
    <row r="5943" spans="1:11" x14ac:dyDescent="0.2">
      <c r="A5943">
        <v>48127</v>
      </c>
      <c r="B5943">
        <v>303667</v>
      </c>
      <c r="C5943" t="s">
        <v>7655</v>
      </c>
      <c r="D5943">
        <v>10</v>
      </c>
      <c r="E5943">
        <v>4</v>
      </c>
      <c r="F5943">
        <v>0</v>
      </c>
      <c r="G5943">
        <v>0</v>
      </c>
      <c r="H5943">
        <v>25</v>
      </c>
      <c r="I5943">
        <v>0</v>
      </c>
      <c r="J5943">
        <v>19.989999999999998</v>
      </c>
      <c r="K5943">
        <v>0</v>
      </c>
    </row>
    <row r="5944" spans="1:11" x14ac:dyDescent="0.2">
      <c r="A5944">
        <v>44425</v>
      </c>
      <c r="B5944">
        <v>303669</v>
      </c>
      <c r="C5944" t="s">
        <v>9175</v>
      </c>
      <c r="D5944">
        <v>10</v>
      </c>
      <c r="E5944">
        <v>12</v>
      </c>
      <c r="F5944">
        <v>-1</v>
      </c>
      <c r="G5944">
        <v>-12</v>
      </c>
      <c r="H5944">
        <v>100</v>
      </c>
      <c r="I5944">
        <v>0</v>
      </c>
      <c r="J5944">
        <v>8.99</v>
      </c>
      <c r="K5944">
        <v>-107.88</v>
      </c>
    </row>
    <row r="5945" spans="1:11" x14ac:dyDescent="0.2">
      <c r="A5945">
        <v>44426</v>
      </c>
      <c r="B5945">
        <v>303670</v>
      </c>
      <c r="C5945" t="s">
        <v>9176</v>
      </c>
      <c r="D5945">
        <v>10</v>
      </c>
      <c r="E5945">
        <v>4</v>
      </c>
      <c r="F5945">
        <v>1</v>
      </c>
      <c r="G5945">
        <v>4</v>
      </c>
      <c r="H5945">
        <v>100</v>
      </c>
      <c r="I5945">
        <v>0</v>
      </c>
      <c r="J5945">
        <v>14.99</v>
      </c>
      <c r="K5945">
        <v>59.96</v>
      </c>
    </row>
    <row r="5946" spans="1:11" x14ac:dyDescent="0.2">
      <c r="A5946">
        <v>48128</v>
      </c>
      <c r="B5946">
        <v>303671</v>
      </c>
      <c r="C5946" t="s">
        <v>9177</v>
      </c>
      <c r="D5946">
        <v>10</v>
      </c>
      <c r="E5946">
        <v>4</v>
      </c>
      <c r="F5946">
        <v>0</v>
      </c>
      <c r="G5946">
        <v>1</v>
      </c>
      <c r="H5946">
        <v>40</v>
      </c>
      <c r="I5946">
        <v>0</v>
      </c>
      <c r="J5946">
        <v>19.989999999999998</v>
      </c>
      <c r="K5946">
        <v>19.989999999999998</v>
      </c>
    </row>
    <row r="5947" spans="1:11" x14ac:dyDescent="0.2">
      <c r="A5947">
        <v>48129</v>
      </c>
      <c r="B5947">
        <v>303672</v>
      </c>
      <c r="C5947" t="s">
        <v>9178</v>
      </c>
      <c r="D5947">
        <v>10</v>
      </c>
      <c r="E5947">
        <v>24</v>
      </c>
      <c r="F5947">
        <v>1</v>
      </c>
      <c r="G5947">
        <v>24</v>
      </c>
      <c r="H5947">
        <v>63</v>
      </c>
      <c r="I5947">
        <v>0</v>
      </c>
      <c r="J5947">
        <v>4.99</v>
      </c>
      <c r="K5947">
        <v>119.76</v>
      </c>
    </row>
    <row r="5948" spans="1:11" x14ac:dyDescent="0.2">
      <c r="A5948">
        <v>44427</v>
      </c>
      <c r="B5948">
        <v>303673</v>
      </c>
      <c r="C5948" t="s">
        <v>9179</v>
      </c>
      <c r="D5948">
        <v>10</v>
      </c>
      <c r="E5948">
        <v>4</v>
      </c>
      <c r="F5948">
        <v>3</v>
      </c>
      <c r="G5948">
        <v>12</v>
      </c>
      <c r="H5948">
        <v>100</v>
      </c>
      <c r="I5948">
        <v>0</v>
      </c>
      <c r="J5948">
        <v>19.989999999999998</v>
      </c>
      <c r="K5948">
        <v>239.88</v>
      </c>
    </row>
    <row r="5949" spans="1:11" x14ac:dyDescent="0.2">
      <c r="A5949">
        <v>44428</v>
      </c>
      <c r="B5949">
        <v>303674</v>
      </c>
      <c r="C5949" t="s">
        <v>9180</v>
      </c>
      <c r="D5949">
        <v>10</v>
      </c>
      <c r="E5949">
        <v>6</v>
      </c>
      <c r="F5949">
        <v>-2</v>
      </c>
      <c r="G5949">
        <v>-12</v>
      </c>
      <c r="H5949">
        <v>100</v>
      </c>
      <c r="I5949">
        <v>0</v>
      </c>
      <c r="J5949">
        <v>9.99</v>
      </c>
      <c r="K5949">
        <v>-119.88</v>
      </c>
    </row>
    <row r="5950" spans="1:11" x14ac:dyDescent="0.2">
      <c r="A5950">
        <v>44429</v>
      </c>
      <c r="B5950">
        <v>303676</v>
      </c>
      <c r="C5950" t="s">
        <v>9181</v>
      </c>
      <c r="D5950">
        <v>10</v>
      </c>
      <c r="E5950">
        <v>4</v>
      </c>
      <c r="F5950">
        <v>1</v>
      </c>
      <c r="G5950">
        <v>4</v>
      </c>
      <c r="H5950">
        <v>30</v>
      </c>
      <c r="I5950">
        <v>0</v>
      </c>
      <c r="J5950">
        <v>19.989999999999998</v>
      </c>
      <c r="K5950">
        <v>79.959999999999994</v>
      </c>
    </row>
    <row r="5951" spans="1:11" x14ac:dyDescent="0.2">
      <c r="A5951">
        <v>46037</v>
      </c>
      <c r="B5951">
        <v>303704</v>
      </c>
      <c r="C5951" t="s">
        <v>9182</v>
      </c>
      <c r="D5951">
        <v>10</v>
      </c>
      <c r="E5951">
        <v>60</v>
      </c>
      <c r="F5951">
        <v>1</v>
      </c>
      <c r="G5951">
        <v>60</v>
      </c>
      <c r="H5951">
        <v>100</v>
      </c>
      <c r="I5951">
        <v>0</v>
      </c>
      <c r="J5951">
        <v>0.5</v>
      </c>
      <c r="K5951">
        <v>30</v>
      </c>
    </row>
    <row r="5952" spans="1:11" x14ac:dyDescent="0.2">
      <c r="A5952">
        <v>50811</v>
      </c>
      <c r="B5952">
        <v>303729</v>
      </c>
      <c r="C5952" t="s">
        <v>9183</v>
      </c>
      <c r="D5952">
        <v>10</v>
      </c>
      <c r="E5952">
        <v>2</v>
      </c>
      <c r="F5952">
        <v>5</v>
      </c>
      <c r="G5952">
        <v>9</v>
      </c>
      <c r="H5952">
        <v>114</v>
      </c>
      <c r="I5952">
        <v>0</v>
      </c>
      <c r="J5952">
        <v>16.989999999999998</v>
      </c>
      <c r="K5952">
        <v>152.91</v>
      </c>
    </row>
    <row r="5953" spans="1:11" x14ac:dyDescent="0.2">
      <c r="A5953">
        <v>45813</v>
      </c>
      <c r="B5953">
        <v>303730</v>
      </c>
      <c r="C5953" t="s">
        <v>9184</v>
      </c>
      <c r="D5953">
        <v>10</v>
      </c>
      <c r="E5953">
        <v>18</v>
      </c>
      <c r="F5953">
        <v>-1</v>
      </c>
      <c r="G5953">
        <v>-18</v>
      </c>
      <c r="H5953">
        <v>42</v>
      </c>
      <c r="I5953">
        <v>0</v>
      </c>
      <c r="J5953">
        <v>3.99</v>
      </c>
      <c r="K5953">
        <v>-71.819999999999993</v>
      </c>
    </row>
    <row r="5954" spans="1:11" x14ac:dyDescent="0.2">
      <c r="A5954">
        <v>50812</v>
      </c>
      <c r="B5954">
        <v>303734</v>
      </c>
      <c r="C5954" t="s">
        <v>9185</v>
      </c>
      <c r="D5954">
        <v>10</v>
      </c>
      <c r="E5954">
        <v>6</v>
      </c>
      <c r="F5954">
        <v>0</v>
      </c>
      <c r="G5954">
        <v>0</v>
      </c>
      <c r="H5954">
        <v>396</v>
      </c>
      <c r="I5954">
        <v>0</v>
      </c>
      <c r="J5954">
        <v>7.99</v>
      </c>
      <c r="K5954">
        <v>0</v>
      </c>
    </row>
    <row r="5955" spans="1:11" x14ac:dyDescent="0.2">
      <c r="A5955">
        <v>45814</v>
      </c>
      <c r="B5955">
        <v>303736</v>
      </c>
      <c r="C5955" t="s">
        <v>9186</v>
      </c>
      <c r="D5955">
        <v>10</v>
      </c>
      <c r="E5955">
        <v>1</v>
      </c>
      <c r="F5955">
        <v>5</v>
      </c>
      <c r="G5955">
        <v>5</v>
      </c>
      <c r="H5955">
        <v>45</v>
      </c>
      <c r="I5955">
        <v>0.1</v>
      </c>
      <c r="J5955">
        <v>37.99</v>
      </c>
      <c r="K5955">
        <v>189.95</v>
      </c>
    </row>
    <row r="5956" spans="1:11" x14ac:dyDescent="0.2">
      <c r="A5956">
        <v>41409</v>
      </c>
      <c r="B5956">
        <v>303738</v>
      </c>
      <c r="C5956" t="s">
        <v>7718</v>
      </c>
      <c r="D5956">
        <v>10</v>
      </c>
      <c r="E5956">
        <v>24</v>
      </c>
      <c r="F5956">
        <v>0</v>
      </c>
      <c r="G5956">
        <v>0</v>
      </c>
      <c r="H5956">
        <v>100</v>
      </c>
      <c r="I5956">
        <v>0</v>
      </c>
      <c r="J5956">
        <v>1</v>
      </c>
      <c r="K5956">
        <v>0</v>
      </c>
    </row>
    <row r="5957" spans="1:11" x14ac:dyDescent="0.2">
      <c r="A5957">
        <v>41410</v>
      </c>
      <c r="B5957">
        <v>303739</v>
      </c>
      <c r="C5957" t="s">
        <v>9187</v>
      </c>
      <c r="D5957">
        <v>10</v>
      </c>
      <c r="E5957">
        <v>16</v>
      </c>
      <c r="F5957">
        <v>0</v>
      </c>
      <c r="G5957">
        <v>0</v>
      </c>
      <c r="H5957">
        <v>108</v>
      </c>
      <c r="I5957">
        <v>0</v>
      </c>
      <c r="J5957">
        <v>1</v>
      </c>
      <c r="K5957">
        <v>0</v>
      </c>
    </row>
    <row r="5958" spans="1:11" x14ac:dyDescent="0.2">
      <c r="A5958">
        <v>45815</v>
      </c>
      <c r="B5958">
        <v>303740</v>
      </c>
      <c r="C5958" t="s">
        <v>9188</v>
      </c>
      <c r="D5958">
        <v>10</v>
      </c>
      <c r="E5958">
        <v>6</v>
      </c>
      <c r="F5958">
        <v>0</v>
      </c>
      <c r="G5958">
        <v>0</v>
      </c>
      <c r="H5958">
        <v>24</v>
      </c>
      <c r="I5958">
        <v>0</v>
      </c>
      <c r="J5958">
        <v>6.99</v>
      </c>
      <c r="K5958">
        <v>0</v>
      </c>
    </row>
    <row r="5959" spans="1:11" x14ac:dyDescent="0.2">
      <c r="A5959">
        <v>51005</v>
      </c>
      <c r="B5959">
        <v>303759</v>
      </c>
      <c r="C5959" t="s">
        <v>9189</v>
      </c>
      <c r="D5959">
        <v>10</v>
      </c>
      <c r="E5959">
        <v>12</v>
      </c>
      <c r="F5959">
        <v>2</v>
      </c>
      <c r="G5959">
        <v>24</v>
      </c>
      <c r="H5959">
        <v>91</v>
      </c>
      <c r="I5959">
        <v>0</v>
      </c>
      <c r="J5959">
        <v>3.99</v>
      </c>
      <c r="K5959">
        <v>95.76</v>
      </c>
    </row>
    <row r="5960" spans="1:11" x14ac:dyDescent="0.2">
      <c r="A5960">
        <v>40420</v>
      </c>
      <c r="B5960">
        <v>303766</v>
      </c>
      <c r="C5960" t="s">
        <v>9190</v>
      </c>
      <c r="D5960">
        <v>10</v>
      </c>
      <c r="E5960">
        <v>10</v>
      </c>
      <c r="F5960">
        <v>-2</v>
      </c>
      <c r="G5960">
        <v>-20</v>
      </c>
      <c r="H5960">
        <v>12</v>
      </c>
      <c r="I5960">
        <v>-0.2</v>
      </c>
      <c r="J5960">
        <v>8.99</v>
      </c>
      <c r="K5960">
        <v>-179.8</v>
      </c>
    </row>
    <row r="5961" spans="1:11" x14ac:dyDescent="0.2">
      <c r="A5961">
        <v>40421</v>
      </c>
      <c r="B5961">
        <v>303767</v>
      </c>
      <c r="C5961" t="s">
        <v>9191</v>
      </c>
      <c r="D5961">
        <v>10</v>
      </c>
      <c r="E5961">
        <v>4</v>
      </c>
      <c r="F5961">
        <v>0</v>
      </c>
      <c r="G5961">
        <v>0</v>
      </c>
      <c r="H5961">
        <v>40</v>
      </c>
      <c r="I5961">
        <v>0</v>
      </c>
      <c r="J5961">
        <v>6.99</v>
      </c>
      <c r="K5961">
        <v>0</v>
      </c>
    </row>
    <row r="5962" spans="1:11" x14ac:dyDescent="0.2">
      <c r="A5962">
        <v>51010</v>
      </c>
      <c r="B5962">
        <v>303781</v>
      </c>
      <c r="C5962" t="s">
        <v>9192</v>
      </c>
      <c r="D5962">
        <v>10</v>
      </c>
      <c r="E5962">
        <v>6</v>
      </c>
      <c r="F5962">
        <v>0</v>
      </c>
      <c r="G5962">
        <v>0</v>
      </c>
      <c r="H5962">
        <v>70</v>
      </c>
      <c r="I5962">
        <v>0</v>
      </c>
      <c r="J5962">
        <v>16.989999999999998</v>
      </c>
      <c r="K5962">
        <v>0</v>
      </c>
    </row>
    <row r="5963" spans="1:11" x14ac:dyDescent="0.2">
      <c r="A5963">
        <v>51011</v>
      </c>
      <c r="B5963">
        <v>303789</v>
      </c>
      <c r="C5963" t="s">
        <v>9193</v>
      </c>
      <c r="D5963">
        <v>10</v>
      </c>
      <c r="E5963">
        <v>5</v>
      </c>
      <c r="F5963">
        <v>2</v>
      </c>
      <c r="G5963">
        <v>10</v>
      </c>
      <c r="H5963">
        <v>100</v>
      </c>
      <c r="I5963">
        <v>0</v>
      </c>
      <c r="J5963">
        <v>11.99</v>
      </c>
      <c r="K5963">
        <v>119.9</v>
      </c>
    </row>
    <row r="5964" spans="1:11" x14ac:dyDescent="0.2">
      <c r="A5964">
        <v>49000</v>
      </c>
      <c r="B5964">
        <v>303802</v>
      </c>
      <c r="C5964" t="s">
        <v>9194</v>
      </c>
      <c r="D5964">
        <v>10</v>
      </c>
      <c r="E5964">
        <v>30</v>
      </c>
      <c r="F5964">
        <v>0</v>
      </c>
      <c r="G5964">
        <v>0</v>
      </c>
      <c r="H5964">
        <v>16</v>
      </c>
      <c r="I5964">
        <v>0</v>
      </c>
      <c r="J5964">
        <v>4.99</v>
      </c>
      <c r="K5964">
        <v>0</v>
      </c>
    </row>
    <row r="5965" spans="1:11" x14ac:dyDescent="0.2">
      <c r="A5965">
        <v>1302</v>
      </c>
      <c r="B5965">
        <v>303806</v>
      </c>
      <c r="C5965" t="s">
        <v>9195</v>
      </c>
      <c r="D5965">
        <v>10</v>
      </c>
      <c r="E5965">
        <v>1</v>
      </c>
      <c r="F5965">
        <v>261</v>
      </c>
      <c r="G5965">
        <v>261</v>
      </c>
      <c r="H5965">
        <v>24</v>
      </c>
      <c r="I5965">
        <v>10.9</v>
      </c>
      <c r="J5965">
        <v>229</v>
      </c>
      <c r="K5965">
        <v>59769</v>
      </c>
    </row>
    <row r="5966" spans="1:11" x14ac:dyDescent="0.2">
      <c r="A5966">
        <v>42401</v>
      </c>
      <c r="B5966">
        <v>303808</v>
      </c>
      <c r="C5966" t="s">
        <v>9196</v>
      </c>
      <c r="D5966">
        <v>10</v>
      </c>
      <c r="E5966">
        <v>24</v>
      </c>
      <c r="F5966">
        <v>0</v>
      </c>
      <c r="G5966">
        <v>0</v>
      </c>
      <c r="H5966">
        <v>20</v>
      </c>
      <c r="I5966">
        <v>0</v>
      </c>
      <c r="J5966">
        <v>1</v>
      </c>
      <c r="K5966">
        <v>0</v>
      </c>
    </row>
    <row r="5967" spans="1:11" x14ac:dyDescent="0.2">
      <c r="A5967">
        <v>50011</v>
      </c>
      <c r="B5967">
        <v>303826</v>
      </c>
      <c r="C5967" t="s">
        <v>9197</v>
      </c>
      <c r="D5967">
        <v>10</v>
      </c>
      <c r="E5967">
        <v>2</v>
      </c>
      <c r="F5967">
        <v>1</v>
      </c>
      <c r="G5967">
        <v>2</v>
      </c>
      <c r="H5967">
        <v>40</v>
      </c>
      <c r="I5967">
        <v>0</v>
      </c>
      <c r="J5967">
        <v>39.99</v>
      </c>
      <c r="K5967">
        <v>79.98</v>
      </c>
    </row>
    <row r="5968" spans="1:11" x14ac:dyDescent="0.2">
      <c r="A5968">
        <v>1364</v>
      </c>
      <c r="B5968">
        <v>303827</v>
      </c>
      <c r="C5968" t="s">
        <v>9198</v>
      </c>
      <c r="D5968">
        <v>10</v>
      </c>
      <c r="E5968">
        <v>6</v>
      </c>
      <c r="F5968">
        <v>129</v>
      </c>
      <c r="G5968">
        <v>774</v>
      </c>
      <c r="H5968">
        <v>133</v>
      </c>
      <c r="I5968">
        <v>1</v>
      </c>
      <c r="J5968">
        <v>19.989999999999998</v>
      </c>
      <c r="K5968">
        <v>15472.26</v>
      </c>
    </row>
    <row r="5969" spans="1:11" x14ac:dyDescent="0.2">
      <c r="A5969">
        <v>50007</v>
      </c>
      <c r="B5969">
        <v>303828</v>
      </c>
      <c r="C5969" t="s">
        <v>9199</v>
      </c>
      <c r="D5969">
        <v>10</v>
      </c>
      <c r="E5969">
        <v>2</v>
      </c>
      <c r="F5969">
        <v>3</v>
      </c>
      <c r="G5969">
        <v>6</v>
      </c>
      <c r="H5969">
        <v>96</v>
      </c>
      <c r="I5969">
        <v>0</v>
      </c>
      <c r="J5969">
        <v>17.989999999999998</v>
      </c>
      <c r="K5969">
        <v>107.94</v>
      </c>
    </row>
    <row r="5970" spans="1:11" x14ac:dyDescent="0.2">
      <c r="A5970">
        <v>50027</v>
      </c>
      <c r="B5970">
        <v>303829</v>
      </c>
      <c r="C5970" t="s">
        <v>9200</v>
      </c>
      <c r="D5970">
        <v>10</v>
      </c>
      <c r="E5970">
        <v>4</v>
      </c>
      <c r="F5970">
        <v>0</v>
      </c>
      <c r="G5970">
        <v>0</v>
      </c>
      <c r="H5970">
        <v>25</v>
      </c>
      <c r="I5970">
        <v>0</v>
      </c>
      <c r="J5970">
        <v>32.99</v>
      </c>
      <c r="K5970">
        <v>0</v>
      </c>
    </row>
    <row r="5971" spans="1:11" x14ac:dyDescent="0.2">
      <c r="A5971">
        <v>50028</v>
      </c>
      <c r="B5971">
        <v>303833</v>
      </c>
      <c r="C5971" t="s">
        <v>9201</v>
      </c>
      <c r="D5971">
        <v>10</v>
      </c>
      <c r="E5971">
        <v>10</v>
      </c>
      <c r="F5971">
        <v>0</v>
      </c>
      <c r="G5971">
        <v>0</v>
      </c>
      <c r="H5971">
        <v>100</v>
      </c>
      <c r="I5971">
        <v>0</v>
      </c>
      <c r="J5971">
        <v>6.99</v>
      </c>
      <c r="K5971">
        <v>0</v>
      </c>
    </row>
    <row r="5972" spans="1:11" x14ac:dyDescent="0.2">
      <c r="A5972">
        <v>50008</v>
      </c>
      <c r="B5972">
        <v>303834</v>
      </c>
      <c r="C5972" t="s">
        <v>9202</v>
      </c>
      <c r="D5972">
        <v>10</v>
      </c>
      <c r="E5972">
        <v>40</v>
      </c>
      <c r="F5972">
        <v>0</v>
      </c>
      <c r="G5972">
        <v>0</v>
      </c>
      <c r="H5972">
        <v>119</v>
      </c>
      <c r="I5972">
        <v>0</v>
      </c>
      <c r="J5972">
        <v>1.99</v>
      </c>
      <c r="K5972">
        <v>0</v>
      </c>
    </row>
    <row r="5973" spans="1:11" x14ac:dyDescent="0.2">
      <c r="A5973">
        <v>50009</v>
      </c>
      <c r="B5973">
        <v>303835</v>
      </c>
      <c r="C5973" t="s">
        <v>9203</v>
      </c>
      <c r="D5973">
        <v>10</v>
      </c>
      <c r="E5973">
        <v>4</v>
      </c>
      <c r="F5973">
        <v>0</v>
      </c>
      <c r="G5973">
        <v>0</v>
      </c>
      <c r="H5973">
        <v>70</v>
      </c>
      <c r="I5973">
        <v>0</v>
      </c>
      <c r="J5973">
        <v>17.989999999999998</v>
      </c>
      <c r="K5973">
        <v>0</v>
      </c>
    </row>
    <row r="5974" spans="1:11" x14ac:dyDescent="0.2">
      <c r="A5974">
        <v>50119</v>
      </c>
      <c r="B5974">
        <v>303846</v>
      </c>
      <c r="C5974" t="s">
        <v>9204</v>
      </c>
      <c r="D5974">
        <v>10</v>
      </c>
      <c r="E5974">
        <v>4</v>
      </c>
      <c r="F5974">
        <v>0</v>
      </c>
      <c r="G5974">
        <v>0</v>
      </c>
      <c r="H5974">
        <v>88</v>
      </c>
      <c r="I5974">
        <v>0</v>
      </c>
      <c r="J5974">
        <v>11.99</v>
      </c>
      <c r="K5974">
        <v>0</v>
      </c>
    </row>
    <row r="5975" spans="1:11" x14ac:dyDescent="0.2">
      <c r="A5975">
        <v>50120</v>
      </c>
      <c r="B5975">
        <v>303849</v>
      </c>
      <c r="C5975" t="s">
        <v>9205</v>
      </c>
      <c r="D5975">
        <v>10</v>
      </c>
      <c r="E5975">
        <v>4</v>
      </c>
      <c r="F5975">
        <v>0</v>
      </c>
      <c r="G5975">
        <v>0</v>
      </c>
      <c r="H5975">
        <v>100</v>
      </c>
      <c r="I5975">
        <v>0</v>
      </c>
      <c r="J5975">
        <v>19.989999999999998</v>
      </c>
      <c r="K5975">
        <v>0</v>
      </c>
    </row>
    <row r="5976" spans="1:11" x14ac:dyDescent="0.2">
      <c r="A5976">
        <v>50121</v>
      </c>
      <c r="B5976">
        <v>303850</v>
      </c>
      <c r="C5976" t="s">
        <v>9206</v>
      </c>
      <c r="D5976">
        <v>10</v>
      </c>
      <c r="E5976">
        <v>25</v>
      </c>
      <c r="F5976">
        <v>0</v>
      </c>
      <c r="G5976">
        <v>0</v>
      </c>
      <c r="H5976">
        <v>54</v>
      </c>
      <c r="I5976">
        <v>0</v>
      </c>
      <c r="J5976">
        <v>1.99</v>
      </c>
      <c r="K5976">
        <v>0</v>
      </c>
    </row>
    <row r="5977" spans="1:11" x14ac:dyDescent="0.2">
      <c r="A5977">
        <v>50122</v>
      </c>
      <c r="B5977">
        <v>303851</v>
      </c>
      <c r="C5977" t="s">
        <v>9207</v>
      </c>
      <c r="D5977">
        <v>10</v>
      </c>
      <c r="E5977">
        <v>4</v>
      </c>
      <c r="F5977">
        <v>1</v>
      </c>
      <c r="G5977">
        <v>4</v>
      </c>
      <c r="H5977">
        <v>36</v>
      </c>
      <c r="I5977">
        <v>0</v>
      </c>
      <c r="J5977">
        <v>13.99</v>
      </c>
      <c r="K5977">
        <v>55.96</v>
      </c>
    </row>
    <row r="5978" spans="1:11" x14ac:dyDescent="0.2">
      <c r="A5978">
        <v>50123</v>
      </c>
      <c r="B5978">
        <v>303852</v>
      </c>
      <c r="C5978" t="s">
        <v>9208</v>
      </c>
      <c r="D5978">
        <v>10</v>
      </c>
      <c r="E5978">
        <v>6</v>
      </c>
      <c r="F5978">
        <v>0</v>
      </c>
      <c r="G5978">
        <v>0</v>
      </c>
      <c r="H5978">
        <v>100</v>
      </c>
      <c r="I5978">
        <v>0</v>
      </c>
      <c r="J5978">
        <v>6.99</v>
      </c>
      <c r="K5978">
        <v>0</v>
      </c>
    </row>
    <row r="5979" spans="1:11" x14ac:dyDescent="0.2">
      <c r="A5979">
        <v>50124</v>
      </c>
      <c r="B5979">
        <v>303853</v>
      </c>
      <c r="C5979" t="s">
        <v>9209</v>
      </c>
      <c r="D5979">
        <v>10</v>
      </c>
      <c r="E5979">
        <v>4</v>
      </c>
      <c r="F5979">
        <v>0</v>
      </c>
      <c r="G5979">
        <v>0</v>
      </c>
      <c r="H5979">
        <v>130</v>
      </c>
      <c r="I5979">
        <v>0</v>
      </c>
      <c r="J5979">
        <v>17.989999999999998</v>
      </c>
      <c r="K5979">
        <v>0</v>
      </c>
    </row>
    <row r="5980" spans="1:11" x14ac:dyDescent="0.2">
      <c r="A5980">
        <v>50125</v>
      </c>
      <c r="B5980">
        <v>303854</v>
      </c>
      <c r="C5980" t="s">
        <v>9210</v>
      </c>
      <c r="D5980">
        <v>10</v>
      </c>
      <c r="E5980">
        <v>4</v>
      </c>
      <c r="F5980">
        <v>1</v>
      </c>
      <c r="G5980">
        <v>4</v>
      </c>
      <c r="H5980">
        <v>60</v>
      </c>
      <c r="I5980">
        <v>0</v>
      </c>
      <c r="J5980">
        <v>16.989999999999998</v>
      </c>
      <c r="K5980">
        <v>67.959999999999994</v>
      </c>
    </row>
    <row r="5981" spans="1:11" x14ac:dyDescent="0.2">
      <c r="A5981">
        <v>46819</v>
      </c>
      <c r="B5981">
        <v>303859</v>
      </c>
      <c r="C5981" t="s">
        <v>7436</v>
      </c>
      <c r="D5981">
        <v>10</v>
      </c>
      <c r="E5981">
        <v>4</v>
      </c>
      <c r="F5981">
        <v>-1</v>
      </c>
      <c r="G5981">
        <v>-4</v>
      </c>
      <c r="H5981">
        <v>24</v>
      </c>
      <c r="I5981">
        <v>0</v>
      </c>
      <c r="J5981">
        <v>29.99</v>
      </c>
      <c r="K5981">
        <v>-119.96</v>
      </c>
    </row>
    <row r="5982" spans="1:11" x14ac:dyDescent="0.2">
      <c r="A5982">
        <v>48827</v>
      </c>
      <c r="B5982">
        <v>303860</v>
      </c>
      <c r="C5982" t="s">
        <v>9211</v>
      </c>
      <c r="D5982">
        <v>10</v>
      </c>
      <c r="E5982">
        <v>15</v>
      </c>
      <c r="F5982">
        <v>0</v>
      </c>
      <c r="G5982">
        <v>0</v>
      </c>
      <c r="H5982">
        <v>100</v>
      </c>
      <c r="I5982">
        <v>0</v>
      </c>
      <c r="J5982">
        <v>4.99</v>
      </c>
      <c r="K5982">
        <v>0</v>
      </c>
    </row>
    <row r="5983" spans="1:11" x14ac:dyDescent="0.2">
      <c r="A5983">
        <v>47819</v>
      </c>
      <c r="B5983">
        <v>303861</v>
      </c>
      <c r="C5983" t="s">
        <v>9212</v>
      </c>
      <c r="D5983">
        <v>10</v>
      </c>
      <c r="E5983">
        <v>1</v>
      </c>
      <c r="F5983">
        <v>0</v>
      </c>
      <c r="G5983">
        <v>0</v>
      </c>
      <c r="H5983">
        <v>16</v>
      </c>
      <c r="I5983">
        <v>0</v>
      </c>
      <c r="J5983">
        <v>56.99</v>
      </c>
      <c r="K5983">
        <v>0</v>
      </c>
    </row>
    <row r="5984" spans="1:11" x14ac:dyDescent="0.2">
      <c r="A5984">
        <v>47820</v>
      </c>
      <c r="B5984">
        <v>303864</v>
      </c>
      <c r="C5984" t="s">
        <v>9213</v>
      </c>
      <c r="D5984">
        <v>10</v>
      </c>
      <c r="E5984">
        <v>6</v>
      </c>
      <c r="F5984">
        <v>0</v>
      </c>
      <c r="G5984">
        <v>0</v>
      </c>
      <c r="H5984">
        <v>40</v>
      </c>
      <c r="I5984">
        <v>0</v>
      </c>
      <c r="J5984">
        <v>15.99</v>
      </c>
      <c r="K5984">
        <v>0</v>
      </c>
    </row>
    <row r="5985" spans="1:11" x14ac:dyDescent="0.2">
      <c r="A5985">
        <v>50010</v>
      </c>
      <c r="B5985">
        <v>303871</v>
      </c>
      <c r="C5985" t="s">
        <v>9214</v>
      </c>
      <c r="D5985">
        <v>10</v>
      </c>
      <c r="E5985">
        <v>6</v>
      </c>
      <c r="F5985">
        <v>0</v>
      </c>
      <c r="G5985">
        <v>0</v>
      </c>
      <c r="H5985">
        <v>48</v>
      </c>
      <c r="I5985">
        <v>0</v>
      </c>
      <c r="J5985">
        <v>14.99</v>
      </c>
      <c r="K5985">
        <v>0</v>
      </c>
    </row>
    <row r="5986" spans="1:11" x14ac:dyDescent="0.2">
      <c r="A5986">
        <v>44430</v>
      </c>
      <c r="B5986">
        <v>303891</v>
      </c>
      <c r="C5986" t="s">
        <v>9215</v>
      </c>
      <c r="D5986">
        <v>10</v>
      </c>
      <c r="E5986">
        <v>12</v>
      </c>
      <c r="F5986">
        <v>0</v>
      </c>
      <c r="G5986">
        <v>0</v>
      </c>
      <c r="H5986">
        <v>60</v>
      </c>
      <c r="I5986">
        <v>0</v>
      </c>
      <c r="J5986">
        <v>6.99</v>
      </c>
      <c r="K5986">
        <v>0</v>
      </c>
    </row>
    <row r="5987" spans="1:11" x14ac:dyDescent="0.2">
      <c r="A5987">
        <v>1319</v>
      </c>
      <c r="B5987">
        <v>303893</v>
      </c>
      <c r="C5987" t="s">
        <v>9216</v>
      </c>
      <c r="D5987">
        <v>10</v>
      </c>
      <c r="E5987">
        <v>14</v>
      </c>
      <c r="F5987">
        <v>141</v>
      </c>
      <c r="G5987">
        <v>1974</v>
      </c>
      <c r="H5987">
        <v>16</v>
      </c>
      <c r="I5987">
        <v>8.8000000000000007</v>
      </c>
      <c r="J5987">
        <v>9.99</v>
      </c>
      <c r="K5987">
        <v>19720.259999999998</v>
      </c>
    </row>
    <row r="5988" spans="1:11" x14ac:dyDescent="0.2">
      <c r="A5988">
        <v>48130</v>
      </c>
      <c r="B5988">
        <v>303894</v>
      </c>
      <c r="C5988" t="s">
        <v>9216</v>
      </c>
      <c r="D5988">
        <v>10</v>
      </c>
      <c r="E5988">
        <v>6</v>
      </c>
      <c r="F5988">
        <v>0</v>
      </c>
      <c r="G5988">
        <v>0</v>
      </c>
      <c r="H5988">
        <v>18</v>
      </c>
      <c r="I5988">
        <v>0</v>
      </c>
      <c r="J5988">
        <v>14.99</v>
      </c>
      <c r="K5988">
        <v>0</v>
      </c>
    </row>
    <row r="5989" spans="1:11" x14ac:dyDescent="0.2">
      <c r="A5989">
        <v>44431</v>
      </c>
      <c r="B5989">
        <v>303895</v>
      </c>
      <c r="C5989" t="s">
        <v>9217</v>
      </c>
      <c r="D5989">
        <v>6</v>
      </c>
      <c r="E5989">
        <v>3</v>
      </c>
      <c r="F5989">
        <v>2</v>
      </c>
      <c r="G5989">
        <v>6</v>
      </c>
      <c r="H5989">
        <v>33</v>
      </c>
      <c r="I5989">
        <v>0.1</v>
      </c>
      <c r="J5989">
        <v>29.99</v>
      </c>
      <c r="K5989">
        <v>179.94</v>
      </c>
    </row>
    <row r="5990" spans="1:11" x14ac:dyDescent="0.2">
      <c r="A5990">
        <v>44432</v>
      </c>
      <c r="B5990">
        <v>303896</v>
      </c>
      <c r="C5990" t="s">
        <v>9218</v>
      </c>
      <c r="D5990">
        <v>10</v>
      </c>
      <c r="E5990">
        <v>18</v>
      </c>
      <c r="F5990">
        <v>2</v>
      </c>
      <c r="G5990">
        <v>36</v>
      </c>
      <c r="H5990">
        <v>100</v>
      </c>
      <c r="I5990">
        <v>0</v>
      </c>
      <c r="J5990">
        <v>4.99</v>
      </c>
      <c r="K5990">
        <v>179.64</v>
      </c>
    </row>
    <row r="5991" spans="1:11" x14ac:dyDescent="0.2">
      <c r="A5991">
        <v>44433</v>
      </c>
      <c r="B5991">
        <v>303898</v>
      </c>
      <c r="C5991" t="s">
        <v>9219</v>
      </c>
      <c r="D5991">
        <v>10</v>
      </c>
      <c r="E5991">
        <v>8</v>
      </c>
      <c r="F5991">
        <v>0</v>
      </c>
      <c r="G5991">
        <v>0</v>
      </c>
      <c r="H5991">
        <v>100</v>
      </c>
      <c r="I5991">
        <v>0</v>
      </c>
      <c r="J5991">
        <v>9.99</v>
      </c>
      <c r="K5991">
        <v>0</v>
      </c>
    </row>
    <row r="5992" spans="1:11" x14ac:dyDescent="0.2">
      <c r="A5992">
        <v>44434</v>
      </c>
      <c r="B5992">
        <v>303900</v>
      </c>
      <c r="C5992" t="s">
        <v>9220</v>
      </c>
      <c r="D5992">
        <v>10</v>
      </c>
      <c r="E5992">
        <v>8</v>
      </c>
      <c r="F5992">
        <v>1</v>
      </c>
      <c r="G5992">
        <v>8</v>
      </c>
      <c r="H5992">
        <v>35</v>
      </c>
      <c r="I5992">
        <v>0</v>
      </c>
      <c r="J5992">
        <v>12.99</v>
      </c>
      <c r="K5992">
        <v>103.92</v>
      </c>
    </row>
    <row r="5993" spans="1:11" x14ac:dyDescent="0.2">
      <c r="A5993">
        <v>48131</v>
      </c>
      <c r="B5993">
        <v>303901</v>
      </c>
      <c r="C5993" t="s">
        <v>9221</v>
      </c>
      <c r="D5993">
        <v>10</v>
      </c>
      <c r="E5993">
        <v>16</v>
      </c>
      <c r="F5993">
        <v>6</v>
      </c>
      <c r="G5993">
        <v>96</v>
      </c>
      <c r="H5993">
        <v>150</v>
      </c>
      <c r="I5993">
        <v>0</v>
      </c>
      <c r="J5993">
        <v>3.99</v>
      </c>
      <c r="K5993">
        <v>383.04</v>
      </c>
    </row>
    <row r="5994" spans="1:11" x14ac:dyDescent="0.2">
      <c r="A5994">
        <v>48037</v>
      </c>
      <c r="B5994">
        <v>303937</v>
      </c>
      <c r="C5994" t="s">
        <v>9222</v>
      </c>
      <c r="D5994">
        <v>10</v>
      </c>
      <c r="E5994">
        <v>10</v>
      </c>
      <c r="F5994">
        <v>1</v>
      </c>
      <c r="G5994">
        <v>10</v>
      </c>
      <c r="H5994">
        <v>66</v>
      </c>
      <c r="I5994">
        <v>0</v>
      </c>
      <c r="J5994">
        <v>14.99</v>
      </c>
      <c r="K5994">
        <v>149.9</v>
      </c>
    </row>
    <row r="5995" spans="1:11" x14ac:dyDescent="0.2">
      <c r="A5995">
        <v>48038</v>
      </c>
      <c r="B5995">
        <v>303940</v>
      </c>
      <c r="C5995" t="s">
        <v>9223</v>
      </c>
      <c r="D5995">
        <v>10</v>
      </c>
      <c r="E5995">
        <v>24</v>
      </c>
      <c r="F5995">
        <v>3</v>
      </c>
      <c r="G5995">
        <v>72</v>
      </c>
      <c r="H5995">
        <v>136</v>
      </c>
      <c r="I5995">
        <v>0</v>
      </c>
      <c r="J5995">
        <v>1</v>
      </c>
      <c r="K5995">
        <v>72</v>
      </c>
    </row>
    <row r="5996" spans="1:11" x14ac:dyDescent="0.2">
      <c r="A5996">
        <v>42414</v>
      </c>
      <c r="B5996">
        <v>303957</v>
      </c>
      <c r="C5996" t="s">
        <v>8406</v>
      </c>
      <c r="D5996">
        <v>10</v>
      </c>
      <c r="E5996">
        <v>24</v>
      </c>
      <c r="F5996">
        <v>0</v>
      </c>
      <c r="G5996">
        <v>0</v>
      </c>
      <c r="H5996">
        <v>140</v>
      </c>
      <c r="I5996">
        <v>0</v>
      </c>
      <c r="J5996">
        <v>1</v>
      </c>
      <c r="K5996">
        <v>0</v>
      </c>
    </row>
    <row r="5997" spans="1:11" x14ac:dyDescent="0.2">
      <c r="A5997">
        <v>46820</v>
      </c>
      <c r="B5997">
        <v>303958</v>
      </c>
      <c r="C5997" t="s">
        <v>9224</v>
      </c>
      <c r="D5997">
        <v>10</v>
      </c>
      <c r="E5997">
        <v>6</v>
      </c>
      <c r="F5997">
        <v>0</v>
      </c>
      <c r="G5997">
        <v>0</v>
      </c>
      <c r="H5997">
        <v>112</v>
      </c>
      <c r="I5997">
        <v>0</v>
      </c>
      <c r="J5997">
        <v>14.99</v>
      </c>
      <c r="K5997">
        <v>0</v>
      </c>
    </row>
    <row r="5998" spans="1:11" x14ac:dyDescent="0.2">
      <c r="A5998">
        <v>46821</v>
      </c>
      <c r="B5998">
        <v>303959</v>
      </c>
      <c r="C5998" t="s">
        <v>9225</v>
      </c>
      <c r="D5998">
        <v>10</v>
      </c>
      <c r="E5998">
        <v>20</v>
      </c>
      <c r="F5998">
        <v>3</v>
      </c>
      <c r="G5998">
        <v>60</v>
      </c>
      <c r="H5998">
        <v>64</v>
      </c>
      <c r="I5998">
        <v>0</v>
      </c>
      <c r="J5998">
        <v>2.99</v>
      </c>
      <c r="K5998">
        <v>179.4</v>
      </c>
    </row>
    <row r="5999" spans="1:11" x14ac:dyDescent="0.2">
      <c r="A5999">
        <v>44830</v>
      </c>
      <c r="B5999">
        <v>303992</v>
      </c>
      <c r="C5999" t="s">
        <v>9226</v>
      </c>
      <c r="D5999">
        <v>10</v>
      </c>
      <c r="E5999">
        <v>24</v>
      </c>
      <c r="F5999">
        <v>0</v>
      </c>
      <c r="G5999">
        <v>0</v>
      </c>
      <c r="H5999">
        <v>24</v>
      </c>
      <c r="I5999">
        <v>0</v>
      </c>
      <c r="J5999">
        <v>1.99</v>
      </c>
      <c r="K5999">
        <v>0</v>
      </c>
    </row>
    <row r="6000" spans="1:11" x14ac:dyDescent="0.2">
      <c r="A6000">
        <v>44831</v>
      </c>
      <c r="B6000">
        <v>303994</v>
      </c>
      <c r="C6000" t="s">
        <v>9227</v>
      </c>
      <c r="D6000">
        <v>10</v>
      </c>
      <c r="E6000">
        <v>16</v>
      </c>
      <c r="F6000">
        <v>2</v>
      </c>
      <c r="G6000">
        <v>32</v>
      </c>
      <c r="H6000">
        <v>15</v>
      </c>
      <c r="I6000">
        <v>0.1</v>
      </c>
      <c r="J6000">
        <v>5.99</v>
      </c>
      <c r="K6000">
        <v>191.68</v>
      </c>
    </row>
    <row r="6001" spans="1:11" x14ac:dyDescent="0.2">
      <c r="A6001">
        <v>44832</v>
      </c>
      <c r="B6001">
        <v>303996</v>
      </c>
      <c r="C6001" t="s">
        <v>9228</v>
      </c>
      <c r="D6001">
        <v>10</v>
      </c>
      <c r="E6001">
        <v>10</v>
      </c>
      <c r="F6001">
        <v>1</v>
      </c>
      <c r="G6001">
        <v>10</v>
      </c>
      <c r="H6001">
        <v>96</v>
      </c>
      <c r="I6001">
        <v>0</v>
      </c>
      <c r="J6001">
        <v>3.99</v>
      </c>
      <c r="K6001">
        <v>39.9</v>
      </c>
    </row>
    <row r="6002" spans="1:11" x14ac:dyDescent="0.2">
      <c r="A6002">
        <v>44833</v>
      </c>
      <c r="B6002">
        <v>303998</v>
      </c>
      <c r="C6002" t="s">
        <v>9229</v>
      </c>
      <c r="D6002">
        <v>10</v>
      </c>
      <c r="E6002">
        <v>1</v>
      </c>
      <c r="F6002">
        <v>1</v>
      </c>
      <c r="G6002">
        <v>1</v>
      </c>
      <c r="H6002">
        <v>48</v>
      </c>
      <c r="I6002">
        <v>0</v>
      </c>
      <c r="J6002">
        <v>21.99</v>
      </c>
      <c r="K6002">
        <v>21.99</v>
      </c>
    </row>
    <row r="6003" spans="1:11" x14ac:dyDescent="0.2">
      <c r="A6003">
        <v>51104</v>
      </c>
      <c r="B6003">
        <v>304005</v>
      </c>
      <c r="C6003" t="s">
        <v>9230</v>
      </c>
      <c r="D6003">
        <v>10</v>
      </c>
      <c r="E6003">
        <v>3</v>
      </c>
      <c r="F6003">
        <v>576</v>
      </c>
      <c r="G6003">
        <v>1728</v>
      </c>
      <c r="H6003">
        <v>32</v>
      </c>
      <c r="I6003">
        <v>18</v>
      </c>
      <c r="J6003">
        <v>15.99</v>
      </c>
      <c r="K6003">
        <v>27630.720000000001</v>
      </c>
    </row>
    <row r="6004" spans="1:11" x14ac:dyDescent="0.2">
      <c r="A6004">
        <v>51127</v>
      </c>
      <c r="B6004">
        <v>304028</v>
      </c>
      <c r="C6004" t="s">
        <v>9231</v>
      </c>
      <c r="D6004">
        <v>10</v>
      </c>
      <c r="E6004">
        <v>12</v>
      </c>
      <c r="F6004">
        <v>8</v>
      </c>
      <c r="G6004">
        <v>96</v>
      </c>
      <c r="H6004">
        <v>20</v>
      </c>
      <c r="I6004">
        <v>0.4</v>
      </c>
      <c r="J6004">
        <v>5.99</v>
      </c>
      <c r="K6004">
        <v>575.04</v>
      </c>
    </row>
    <row r="6005" spans="1:11" x14ac:dyDescent="0.2">
      <c r="A6005">
        <v>51114</v>
      </c>
      <c r="B6005">
        <v>304034</v>
      </c>
      <c r="C6005" t="s">
        <v>9232</v>
      </c>
      <c r="D6005">
        <v>10</v>
      </c>
      <c r="E6005">
        <v>10</v>
      </c>
      <c r="F6005">
        <v>31</v>
      </c>
      <c r="G6005">
        <v>313</v>
      </c>
      <c r="H6005">
        <v>28</v>
      </c>
      <c r="I6005">
        <v>1.1000000000000001</v>
      </c>
      <c r="J6005">
        <v>9.99</v>
      </c>
      <c r="K6005">
        <v>3126.87</v>
      </c>
    </row>
    <row r="6006" spans="1:11" x14ac:dyDescent="0.2">
      <c r="A6006">
        <v>45417</v>
      </c>
      <c r="B6006">
        <v>304038</v>
      </c>
      <c r="C6006" t="s">
        <v>9233</v>
      </c>
      <c r="D6006">
        <v>10</v>
      </c>
      <c r="E6006">
        <v>24</v>
      </c>
      <c r="F6006">
        <v>1</v>
      </c>
      <c r="G6006">
        <v>24</v>
      </c>
      <c r="H6006">
        <v>30</v>
      </c>
      <c r="I6006">
        <v>0</v>
      </c>
      <c r="J6006">
        <v>6.99</v>
      </c>
      <c r="K6006">
        <v>167.76</v>
      </c>
    </row>
    <row r="6007" spans="1:11" x14ac:dyDescent="0.2">
      <c r="A6007">
        <v>51052</v>
      </c>
      <c r="B6007">
        <v>304054</v>
      </c>
      <c r="C6007" t="s">
        <v>9234</v>
      </c>
      <c r="D6007">
        <v>10</v>
      </c>
      <c r="E6007">
        <v>4</v>
      </c>
      <c r="F6007">
        <v>3</v>
      </c>
      <c r="G6007">
        <v>12</v>
      </c>
      <c r="H6007">
        <v>25</v>
      </c>
      <c r="I6007">
        <v>0.1</v>
      </c>
      <c r="J6007">
        <v>19.989999999999998</v>
      </c>
      <c r="K6007">
        <v>239.88</v>
      </c>
    </row>
    <row r="6008" spans="1:11" x14ac:dyDescent="0.2">
      <c r="A6008">
        <v>51073</v>
      </c>
      <c r="B6008">
        <v>304056</v>
      </c>
      <c r="C6008" t="s">
        <v>9235</v>
      </c>
      <c r="D6008">
        <v>10</v>
      </c>
      <c r="E6008">
        <v>6</v>
      </c>
      <c r="F6008">
        <v>3</v>
      </c>
      <c r="G6008">
        <v>18</v>
      </c>
      <c r="H6008">
        <v>30</v>
      </c>
      <c r="I6008">
        <v>0.1</v>
      </c>
      <c r="J6008">
        <v>7.99</v>
      </c>
      <c r="K6008">
        <v>143.82</v>
      </c>
    </row>
    <row r="6009" spans="1:11" x14ac:dyDescent="0.2">
      <c r="A6009">
        <v>51053</v>
      </c>
      <c r="B6009">
        <v>304058</v>
      </c>
      <c r="C6009" t="s">
        <v>9236</v>
      </c>
      <c r="D6009">
        <v>10</v>
      </c>
      <c r="E6009">
        <v>12</v>
      </c>
      <c r="F6009">
        <v>0</v>
      </c>
      <c r="G6009">
        <v>0</v>
      </c>
      <c r="H6009">
        <v>35</v>
      </c>
      <c r="I6009">
        <v>0</v>
      </c>
      <c r="J6009">
        <v>6.99</v>
      </c>
      <c r="K6009">
        <v>0</v>
      </c>
    </row>
    <row r="6010" spans="1:11" x14ac:dyDescent="0.2">
      <c r="A6010">
        <v>45400</v>
      </c>
      <c r="B6010">
        <v>304060</v>
      </c>
      <c r="C6010" t="s">
        <v>9237</v>
      </c>
      <c r="D6010">
        <v>10</v>
      </c>
      <c r="E6010">
        <v>24</v>
      </c>
      <c r="F6010">
        <v>-5</v>
      </c>
      <c r="G6010">
        <v>-120</v>
      </c>
      <c r="H6010">
        <v>42</v>
      </c>
      <c r="I6010">
        <v>-0.1</v>
      </c>
      <c r="J6010">
        <v>6.99</v>
      </c>
      <c r="K6010">
        <v>-838.8</v>
      </c>
    </row>
    <row r="6011" spans="1:11" x14ac:dyDescent="0.2">
      <c r="A6011">
        <v>51054</v>
      </c>
      <c r="B6011">
        <v>304061</v>
      </c>
      <c r="C6011" t="s">
        <v>9238</v>
      </c>
      <c r="D6011">
        <v>10</v>
      </c>
      <c r="E6011">
        <v>18</v>
      </c>
      <c r="F6011">
        <v>0</v>
      </c>
      <c r="G6011">
        <v>0</v>
      </c>
      <c r="H6011">
        <v>24</v>
      </c>
      <c r="I6011">
        <v>0</v>
      </c>
      <c r="J6011">
        <v>2.99</v>
      </c>
      <c r="K6011">
        <v>0</v>
      </c>
    </row>
    <row r="6012" spans="1:11" x14ac:dyDescent="0.2">
      <c r="A6012">
        <v>51076</v>
      </c>
      <c r="B6012">
        <v>304065</v>
      </c>
      <c r="C6012" t="s">
        <v>7844</v>
      </c>
      <c r="D6012">
        <v>10</v>
      </c>
      <c r="E6012">
        <v>6</v>
      </c>
      <c r="F6012">
        <v>1</v>
      </c>
      <c r="G6012">
        <v>6</v>
      </c>
      <c r="H6012">
        <v>104</v>
      </c>
      <c r="I6012">
        <v>0</v>
      </c>
      <c r="J6012">
        <v>11.99</v>
      </c>
      <c r="K6012">
        <v>71.94</v>
      </c>
    </row>
    <row r="6013" spans="1:11" x14ac:dyDescent="0.2">
      <c r="A6013">
        <v>45816</v>
      </c>
      <c r="B6013">
        <v>304076</v>
      </c>
      <c r="C6013" t="s">
        <v>7629</v>
      </c>
      <c r="D6013">
        <v>10</v>
      </c>
      <c r="E6013">
        <v>6</v>
      </c>
      <c r="F6013">
        <v>0</v>
      </c>
      <c r="G6013">
        <v>0</v>
      </c>
      <c r="H6013">
        <v>23</v>
      </c>
      <c r="I6013">
        <v>0</v>
      </c>
      <c r="J6013">
        <v>8.99</v>
      </c>
      <c r="K6013">
        <v>0</v>
      </c>
    </row>
    <row r="6014" spans="1:11" x14ac:dyDescent="0.2">
      <c r="A6014">
        <v>43414</v>
      </c>
      <c r="B6014">
        <v>304082</v>
      </c>
      <c r="C6014" t="s">
        <v>9239</v>
      </c>
      <c r="D6014">
        <v>10</v>
      </c>
      <c r="E6014">
        <v>16</v>
      </c>
      <c r="F6014">
        <v>0</v>
      </c>
      <c r="G6014">
        <v>0</v>
      </c>
      <c r="H6014">
        <v>90</v>
      </c>
      <c r="I6014">
        <v>0</v>
      </c>
      <c r="J6014">
        <v>1</v>
      </c>
      <c r="K6014">
        <v>0</v>
      </c>
    </row>
    <row r="6015" spans="1:11" x14ac:dyDescent="0.2">
      <c r="A6015">
        <v>45817</v>
      </c>
      <c r="B6015">
        <v>304084</v>
      </c>
      <c r="C6015" t="s">
        <v>9240</v>
      </c>
      <c r="D6015">
        <v>10</v>
      </c>
      <c r="E6015">
        <v>6</v>
      </c>
      <c r="F6015">
        <v>1</v>
      </c>
      <c r="G6015">
        <v>6</v>
      </c>
      <c r="H6015">
        <v>16</v>
      </c>
      <c r="I6015">
        <v>0.1</v>
      </c>
      <c r="J6015">
        <v>8.99</v>
      </c>
      <c r="K6015">
        <v>53.94</v>
      </c>
    </row>
    <row r="6016" spans="1:11" x14ac:dyDescent="0.2">
      <c r="A6016">
        <v>45818</v>
      </c>
      <c r="B6016">
        <v>304088</v>
      </c>
      <c r="C6016" t="s">
        <v>8174</v>
      </c>
      <c r="D6016">
        <v>10</v>
      </c>
      <c r="E6016">
        <v>10</v>
      </c>
      <c r="F6016">
        <v>1</v>
      </c>
      <c r="G6016">
        <v>10</v>
      </c>
      <c r="H6016">
        <v>30</v>
      </c>
      <c r="I6016">
        <v>0</v>
      </c>
      <c r="J6016">
        <v>4.99</v>
      </c>
      <c r="K6016">
        <v>49.9</v>
      </c>
    </row>
    <row r="6017" spans="1:11" x14ac:dyDescent="0.2">
      <c r="A6017">
        <v>1317</v>
      </c>
      <c r="B6017">
        <v>304104</v>
      </c>
      <c r="C6017" t="s">
        <v>9241</v>
      </c>
      <c r="D6017">
        <v>10</v>
      </c>
      <c r="E6017">
        <v>2</v>
      </c>
      <c r="F6017">
        <v>306</v>
      </c>
      <c r="G6017">
        <v>612</v>
      </c>
      <c r="H6017">
        <v>35</v>
      </c>
      <c r="I6017">
        <v>8.6999999999999993</v>
      </c>
      <c r="J6017">
        <v>39.99</v>
      </c>
      <c r="K6017">
        <v>24473.88</v>
      </c>
    </row>
    <row r="6018" spans="1:11" x14ac:dyDescent="0.2">
      <c r="A6018">
        <v>50813</v>
      </c>
      <c r="B6018">
        <v>304110</v>
      </c>
      <c r="C6018" t="s">
        <v>9242</v>
      </c>
      <c r="D6018">
        <v>10</v>
      </c>
      <c r="E6018">
        <v>16</v>
      </c>
      <c r="F6018">
        <v>0</v>
      </c>
      <c r="G6018">
        <v>0</v>
      </c>
      <c r="H6018">
        <v>80</v>
      </c>
      <c r="I6018">
        <v>0</v>
      </c>
      <c r="J6018">
        <v>4.49</v>
      </c>
      <c r="K6018">
        <v>0</v>
      </c>
    </row>
    <row r="6019" spans="1:11" x14ac:dyDescent="0.2">
      <c r="A6019">
        <v>50814</v>
      </c>
      <c r="B6019">
        <v>304112</v>
      </c>
      <c r="C6019" t="s">
        <v>9243</v>
      </c>
      <c r="D6019">
        <v>10</v>
      </c>
      <c r="E6019">
        <v>9</v>
      </c>
      <c r="F6019">
        <v>2</v>
      </c>
      <c r="G6019">
        <v>18</v>
      </c>
      <c r="H6019">
        <v>21</v>
      </c>
      <c r="I6019">
        <v>0.1</v>
      </c>
      <c r="J6019">
        <v>4.99</v>
      </c>
      <c r="K6019">
        <v>89.82</v>
      </c>
    </row>
    <row r="6020" spans="1:11" x14ac:dyDescent="0.2">
      <c r="A6020">
        <v>50815</v>
      </c>
      <c r="B6020">
        <v>304114</v>
      </c>
      <c r="C6020" t="s">
        <v>9244</v>
      </c>
      <c r="D6020">
        <v>10</v>
      </c>
      <c r="E6020">
        <v>6</v>
      </c>
      <c r="F6020">
        <v>0</v>
      </c>
      <c r="G6020">
        <v>0</v>
      </c>
      <c r="H6020">
        <v>100</v>
      </c>
      <c r="I6020">
        <v>0</v>
      </c>
      <c r="J6020">
        <v>7.99</v>
      </c>
      <c r="K6020">
        <v>0</v>
      </c>
    </row>
    <row r="6021" spans="1:11" x14ac:dyDescent="0.2">
      <c r="A6021">
        <v>50816</v>
      </c>
      <c r="B6021">
        <v>304116</v>
      </c>
      <c r="C6021" t="s">
        <v>9245</v>
      </c>
      <c r="D6021">
        <v>10</v>
      </c>
      <c r="E6021">
        <v>4</v>
      </c>
      <c r="F6021">
        <v>2</v>
      </c>
      <c r="G6021">
        <v>8</v>
      </c>
      <c r="H6021">
        <v>144</v>
      </c>
      <c r="I6021">
        <v>0</v>
      </c>
      <c r="J6021">
        <v>17.989999999999998</v>
      </c>
      <c r="K6021">
        <v>143.91999999999999</v>
      </c>
    </row>
    <row r="6022" spans="1:11" x14ac:dyDescent="0.2">
      <c r="A6022">
        <v>50817</v>
      </c>
      <c r="B6022">
        <v>304118</v>
      </c>
      <c r="C6022" t="s">
        <v>9246</v>
      </c>
      <c r="D6022">
        <v>10</v>
      </c>
      <c r="E6022">
        <v>8</v>
      </c>
      <c r="F6022">
        <v>0</v>
      </c>
      <c r="G6022">
        <v>0</v>
      </c>
      <c r="H6022">
        <v>80</v>
      </c>
      <c r="I6022">
        <v>0</v>
      </c>
      <c r="J6022">
        <v>4.99</v>
      </c>
      <c r="K6022">
        <v>0</v>
      </c>
    </row>
    <row r="6023" spans="1:11" x14ac:dyDescent="0.2">
      <c r="A6023">
        <v>50818</v>
      </c>
      <c r="B6023">
        <v>304120</v>
      </c>
      <c r="C6023" t="s">
        <v>9247</v>
      </c>
      <c r="D6023">
        <v>10</v>
      </c>
      <c r="E6023">
        <v>4</v>
      </c>
      <c r="F6023">
        <v>0</v>
      </c>
      <c r="G6023">
        <v>0</v>
      </c>
      <c r="H6023">
        <v>20</v>
      </c>
      <c r="I6023">
        <v>0</v>
      </c>
      <c r="J6023">
        <v>29.99</v>
      </c>
      <c r="K6023">
        <v>0</v>
      </c>
    </row>
    <row r="6024" spans="1:11" x14ac:dyDescent="0.2">
      <c r="A6024">
        <v>51055</v>
      </c>
      <c r="B6024">
        <v>304126</v>
      </c>
      <c r="C6024" t="s">
        <v>8387</v>
      </c>
      <c r="D6024">
        <v>10</v>
      </c>
      <c r="E6024">
        <v>8</v>
      </c>
      <c r="F6024">
        <v>0</v>
      </c>
      <c r="G6024">
        <v>0</v>
      </c>
      <c r="H6024">
        <v>77</v>
      </c>
      <c r="I6024">
        <v>0</v>
      </c>
      <c r="J6024">
        <v>21.99</v>
      </c>
      <c r="K6024">
        <v>0</v>
      </c>
    </row>
    <row r="6025" spans="1:11" x14ac:dyDescent="0.2">
      <c r="A6025">
        <v>48828</v>
      </c>
      <c r="B6025">
        <v>304130</v>
      </c>
      <c r="C6025" t="s">
        <v>9248</v>
      </c>
      <c r="D6025">
        <v>10</v>
      </c>
      <c r="E6025">
        <v>12</v>
      </c>
      <c r="F6025">
        <v>0</v>
      </c>
      <c r="G6025">
        <v>0</v>
      </c>
      <c r="H6025">
        <v>36</v>
      </c>
      <c r="I6025">
        <v>0</v>
      </c>
      <c r="J6025">
        <v>2.4900000000000002</v>
      </c>
      <c r="K6025">
        <v>0</v>
      </c>
    </row>
    <row r="6026" spans="1:11" x14ac:dyDescent="0.2">
      <c r="A6026">
        <v>51004</v>
      </c>
      <c r="B6026">
        <v>304140</v>
      </c>
      <c r="C6026" t="s">
        <v>9249</v>
      </c>
      <c r="D6026">
        <v>10</v>
      </c>
      <c r="E6026">
        <v>6</v>
      </c>
      <c r="F6026">
        <v>0</v>
      </c>
      <c r="G6026">
        <v>0</v>
      </c>
      <c r="H6026">
        <v>100</v>
      </c>
      <c r="I6026">
        <v>0</v>
      </c>
      <c r="J6026">
        <v>24.99</v>
      </c>
      <c r="K6026">
        <v>0</v>
      </c>
    </row>
    <row r="6027" spans="1:11" x14ac:dyDescent="0.2">
      <c r="A6027">
        <v>48132</v>
      </c>
      <c r="B6027">
        <v>304155</v>
      </c>
      <c r="C6027" t="s">
        <v>9250</v>
      </c>
      <c r="D6027">
        <v>10</v>
      </c>
      <c r="E6027">
        <v>8</v>
      </c>
      <c r="F6027">
        <v>1</v>
      </c>
      <c r="G6027">
        <v>8</v>
      </c>
      <c r="H6027">
        <v>36</v>
      </c>
      <c r="I6027">
        <v>0</v>
      </c>
      <c r="J6027">
        <v>9.99</v>
      </c>
      <c r="K6027">
        <v>79.92</v>
      </c>
    </row>
    <row r="6028" spans="1:11" x14ac:dyDescent="0.2">
      <c r="A6028">
        <v>48829</v>
      </c>
      <c r="B6028">
        <v>304157</v>
      </c>
      <c r="C6028" t="s">
        <v>9251</v>
      </c>
      <c r="D6028">
        <v>10</v>
      </c>
      <c r="E6028">
        <v>8</v>
      </c>
      <c r="F6028">
        <v>0</v>
      </c>
      <c r="G6028">
        <v>0</v>
      </c>
      <c r="H6028">
        <v>24</v>
      </c>
      <c r="I6028">
        <v>0</v>
      </c>
      <c r="J6028">
        <v>4.99</v>
      </c>
      <c r="K6028">
        <v>0</v>
      </c>
    </row>
    <row r="6029" spans="1:11" x14ac:dyDescent="0.2">
      <c r="A6029">
        <v>46000</v>
      </c>
      <c r="B6029">
        <v>304161</v>
      </c>
      <c r="C6029" t="s">
        <v>9252</v>
      </c>
      <c r="D6029">
        <v>10</v>
      </c>
      <c r="E6029">
        <v>30</v>
      </c>
      <c r="F6029">
        <v>1</v>
      </c>
      <c r="G6029">
        <v>30</v>
      </c>
      <c r="H6029">
        <v>208</v>
      </c>
      <c r="I6029">
        <v>0</v>
      </c>
      <c r="J6029">
        <v>1</v>
      </c>
      <c r="K6029">
        <v>30</v>
      </c>
    </row>
    <row r="6030" spans="1:11" x14ac:dyDescent="0.2">
      <c r="A6030">
        <v>48039</v>
      </c>
      <c r="B6030">
        <v>304171</v>
      </c>
      <c r="C6030" t="s">
        <v>9253</v>
      </c>
      <c r="D6030">
        <v>10</v>
      </c>
      <c r="E6030">
        <v>8</v>
      </c>
      <c r="F6030">
        <v>0</v>
      </c>
      <c r="G6030">
        <v>0</v>
      </c>
      <c r="H6030">
        <v>84</v>
      </c>
      <c r="I6030">
        <v>0</v>
      </c>
      <c r="J6030">
        <v>12.49</v>
      </c>
      <c r="K6030">
        <v>0</v>
      </c>
    </row>
    <row r="6031" spans="1:11" x14ac:dyDescent="0.2">
      <c r="A6031">
        <v>46016</v>
      </c>
      <c r="B6031">
        <v>304179</v>
      </c>
      <c r="C6031" t="s">
        <v>8121</v>
      </c>
      <c r="D6031">
        <v>10</v>
      </c>
      <c r="E6031">
        <v>16</v>
      </c>
      <c r="F6031">
        <v>0</v>
      </c>
      <c r="G6031">
        <v>0</v>
      </c>
      <c r="H6031">
        <v>99</v>
      </c>
      <c r="I6031">
        <v>0</v>
      </c>
      <c r="J6031">
        <v>1</v>
      </c>
      <c r="K6031">
        <v>0</v>
      </c>
    </row>
    <row r="6032" spans="1:11" x14ac:dyDescent="0.2">
      <c r="A6032">
        <v>46040</v>
      </c>
      <c r="B6032">
        <v>304181</v>
      </c>
      <c r="C6032" t="s">
        <v>9254</v>
      </c>
      <c r="D6032">
        <v>10</v>
      </c>
      <c r="E6032">
        <v>2</v>
      </c>
      <c r="F6032">
        <v>0</v>
      </c>
      <c r="G6032">
        <v>0</v>
      </c>
      <c r="H6032">
        <v>20</v>
      </c>
      <c r="I6032">
        <v>0</v>
      </c>
      <c r="J6032">
        <v>7.99</v>
      </c>
      <c r="K6032">
        <v>0</v>
      </c>
    </row>
    <row r="6033" spans="1:11" x14ac:dyDescent="0.2">
      <c r="A6033">
        <v>1203</v>
      </c>
      <c r="B6033">
        <v>304189</v>
      </c>
      <c r="C6033" t="s">
        <v>9255</v>
      </c>
      <c r="D6033">
        <v>6</v>
      </c>
      <c r="E6033">
        <v>10</v>
      </c>
      <c r="F6033">
        <v>720</v>
      </c>
      <c r="G6033">
        <v>7200</v>
      </c>
      <c r="H6033">
        <v>60</v>
      </c>
      <c r="I6033">
        <v>12</v>
      </c>
      <c r="J6033">
        <v>3.99</v>
      </c>
      <c r="K6033">
        <v>28728</v>
      </c>
    </row>
    <row r="6034" spans="1:11" x14ac:dyDescent="0.2">
      <c r="A6034">
        <v>47821</v>
      </c>
      <c r="B6034">
        <v>304203</v>
      </c>
      <c r="C6034" t="s">
        <v>9256</v>
      </c>
      <c r="D6034">
        <v>10</v>
      </c>
      <c r="E6034">
        <v>20</v>
      </c>
      <c r="F6034">
        <v>0</v>
      </c>
      <c r="G6034">
        <v>0</v>
      </c>
      <c r="H6034">
        <v>80</v>
      </c>
      <c r="I6034">
        <v>0</v>
      </c>
      <c r="J6034">
        <v>4.99</v>
      </c>
      <c r="K6034">
        <v>0</v>
      </c>
    </row>
    <row r="6035" spans="1:11" x14ac:dyDescent="0.2">
      <c r="A6035">
        <v>1204</v>
      </c>
      <c r="B6035">
        <v>304210</v>
      </c>
      <c r="C6035" t="s">
        <v>9257</v>
      </c>
      <c r="D6035">
        <v>6</v>
      </c>
      <c r="E6035">
        <v>20</v>
      </c>
      <c r="F6035">
        <v>222</v>
      </c>
      <c r="G6035">
        <v>4440</v>
      </c>
      <c r="H6035">
        <v>6</v>
      </c>
      <c r="I6035">
        <v>37</v>
      </c>
      <c r="J6035">
        <v>6.99</v>
      </c>
      <c r="K6035">
        <v>31035.599999999999</v>
      </c>
    </row>
    <row r="6036" spans="1:11" x14ac:dyDescent="0.2">
      <c r="A6036">
        <v>1205</v>
      </c>
      <c r="B6036">
        <v>304214</v>
      </c>
      <c r="C6036" t="s">
        <v>9258</v>
      </c>
      <c r="D6036">
        <v>6</v>
      </c>
      <c r="E6036">
        <v>12</v>
      </c>
      <c r="F6036">
        <v>278</v>
      </c>
      <c r="G6036">
        <v>3336</v>
      </c>
      <c r="H6036">
        <v>132</v>
      </c>
      <c r="I6036">
        <v>2.1</v>
      </c>
      <c r="J6036">
        <v>4.99</v>
      </c>
      <c r="K6036">
        <v>16646.64</v>
      </c>
    </row>
    <row r="6037" spans="1:11" x14ac:dyDescent="0.2">
      <c r="A6037">
        <v>49132</v>
      </c>
      <c r="B6037">
        <v>304215</v>
      </c>
      <c r="C6037" t="s">
        <v>9016</v>
      </c>
      <c r="D6037">
        <v>10</v>
      </c>
      <c r="E6037">
        <v>20</v>
      </c>
      <c r="F6037">
        <v>0</v>
      </c>
      <c r="G6037">
        <v>0</v>
      </c>
      <c r="H6037">
        <v>100</v>
      </c>
      <c r="I6037">
        <v>0</v>
      </c>
      <c r="J6037">
        <v>4.49</v>
      </c>
      <c r="K6037">
        <v>0</v>
      </c>
    </row>
    <row r="6038" spans="1:11" x14ac:dyDescent="0.2">
      <c r="A6038">
        <v>48133</v>
      </c>
      <c r="B6038">
        <v>304223</v>
      </c>
      <c r="C6038" t="s">
        <v>9259</v>
      </c>
      <c r="D6038">
        <v>10</v>
      </c>
      <c r="E6038">
        <v>4</v>
      </c>
      <c r="F6038">
        <v>0</v>
      </c>
      <c r="G6038">
        <v>0</v>
      </c>
      <c r="H6038">
        <v>112</v>
      </c>
      <c r="I6038">
        <v>0</v>
      </c>
      <c r="J6038">
        <v>11.99</v>
      </c>
      <c r="K6038">
        <v>0</v>
      </c>
    </row>
    <row r="6039" spans="1:11" x14ac:dyDescent="0.2">
      <c r="A6039">
        <v>48134</v>
      </c>
      <c r="B6039">
        <v>304225</v>
      </c>
      <c r="C6039" t="s">
        <v>9260</v>
      </c>
      <c r="D6039">
        <v>10</v>
      </c>
      <c r="E6039">
        <v>8</v>
      </c>
      <c r="F6039">
        <v>0</v>
      </c>
      <c r="G6039">
        <v>0</v>
      </c>
      <c r="H6039">
        <v>72</v>
      </c>
      <c r="I6039">
        <v>0</v>
      </c>
      <c r="J6039">
        <v>7.99</v>
      </c>
      <c r="K6039">
        <v>0</v>
      </c>
    </row>
    <row r="6040" spans="1:11" x14ac:dyDescent="0.2">
      <c r="A6040">
        <v>48135</v>
      </c>
      <c r="B6040">
        <v>304227</v>
      </c>
      <c r="C6040" t="s">
        <v>9261</v>
      </c>
      <c r="D6040">
        <v>10</v>
      </c>
      <c r="E6040">
        <v>4</v>
      </c>
      <c r="F6040">
        <v>2</v>
      </c>
      <c r="G6040">
        <v>8</v>
      </c>
      <c r="H6040">
        <v>60</v>
      </c>
      <c r="I6040">
        <v>0</v>
      </c>
      <c r="J6040">
        <v>7.99</v>
      </c>
      <c r="K6040">
        <v>63.92</v>
      </c>
    </row>
    <row r="6041" spans="1:11" x14ac:dyDescent="0.2">
      <c r="A6041">
        <v>48136</v>
      </c>
      <c r="B6041">
        <v>304229</v>
      </c>
      <c r="C6041" t="s">
        <v>9262</v>
      </c>
      <c r="D6041">
        <v>10</v>
      </c>
      <c r="E6041">
        <v>8</v>
      </c>
      <c r="F6041">
        <v>0</v>
      </c>
      <c r="G6041">
        <v>0</v>
      </c>
      <c r="H6041">
        <v>30</v>
      </c>
      <c r="I6041">
        <v>0</v>
      </c>
      <c r="J6041">
        <v>9.99</v>
      </c>
      <c r="K6041">
        <v>0</v>
      </c>
    </row>
    <row r="6042" spans="1:11" x14ac:dyDescent="0.2">
      <c r="A6042">
        <v>49809</v>
      </c>
      <c r="B6042">
        <v>304237</v>
      </c>
      <c r="C6042" t="s">
        <v>9263</v>
      </c>
      <c r="D6042">
        <v>10</v>
      </c>
      <c r="E6042">
        <v>10</v>
      </c>
      <c r="F6042">
        <v>0</v>
      </c>
      <c r="G6042">
        <v>0</v>
      </c>
      <c r="H6042">
        <v>78</v>
      </c>
      <c r="I6042">
        <v>0</v>
      </c>
      <c r="J6042">
        <v>3.99</v>
      </c>
      <c r="K6042">
        <v>0</v>
      </c>
    </row>
    <row r="6043" spans="1:11" x14ac:dyDescent="0.2">
      <c r="A6043">
        <v>1315</v>
      </c>
      <c r="B6043">
        <v>304239</v>
      </c>
      <c r="C6043" t="s">
        <v>9264</v>
      </c>
      <c r="D6043">
        <v>10</v>
      </c>
      <c r="E6043">
        <v>1</v>
      </c>
      <c r="F6043">
        <v>534</v>
      </c>
      <c r="G6043">
        <v>534</v>
      </c>
      <c r="H6043">
        <v>24</v>
      </c>
      <c r="I6043">
        <v>22.3</v>
      </c>
      <c r="J6043">
        <v>159</v>
      </c>
      <c r="K6043">
        <v>84906</v>
      </c>
    </row>
    <row r="6044" spans="1:11" x14ac:dyDescent="0.2">
      <c r="A6044">
        <v>49810</v>
      </c>
      <c r="B6044">
        <v>304241</v>
      </c>
      <c r="C6044" t="s">
        <v>7679</v>
      </c>
      <c r="D6044">
        <v>10</v>
      </c>
      <c r="E6044">
        <v>1</v>
      </c>
      <c r="F6044">
        <v>-1</v>
      </c>
      <c r="G6044">
        <v>-1</v>
      </c>
      <c r="H6044">
        <v>24</v>
      </c>
      <c r="I6044">
        <v>0</v>
      </c>
      <c r="J6044">
        <v>159</v>
      </c>
      <c r="K6044">
        <v>-159</v>
      </c>
    </row>
    <row r="6045" spans="1:11" x14ac:dyDescent="0.2">
      <c r="A6045">
        <v>49811</v>
      </c>
      <c r="B6045">
        <v>304243</v>
      </c>
      <c r="C6045" t="s">
        <v>9265</v>
      </c>
      <c r="D6045">
        <v>10</v>
      </c>
      <c r="E6045">
        <v>16</v>
      </c>
      <c r="F6045">
        <v>0</v>
      </c>
      <c r="G6045">
        <v>0</v>
      </c>
      <c r="H6045">
        <v>100</v>
      </c>
      <c r="I6045">
        <v>0</v>
      </c>
      <c r="J6045">
        <v>4.99</v>
      </c>
      <c r="K6045">
        <v>0</v>
      </c>
    </row>
    <row r="6046" spans="1:11" x14ac:dyDescent="0.2">
      <c r="A6046">
        <v>47412</v>
      </c>
      <c r="B6046">
        <v>304245</v>
      </c>
      <c r="C6046" t="s">
        <v>9104</v>
      </c>
      <c r="D6046">
        <v>10</v>
      </c>
      <c r="E6046">
        <v>4</v>
      </c>
      <c r="F6046">
        <v>1</v>
      </c>
      <c r="G6046">
        <v>4</v>
      </c>
      <c r="H6046">
        <v>30</v>
      </c>
      <c r="I6046">
        <v>0</v>
      </c>
      <c r="J6046">
        <v>24.99</v>
      </c>
      <c r="K6046">
        <v>99.96</v>
      </c>
    </row>
    <row r="6047" spans="1:11" x14ac:dyDescent="0.2">
      <c r="A6047">
        <v>47413</v>
      </c>
      <c r="B6047">
        <v>304247</v>
      </c>
      <c r="C6047" t="s">
        <v>9266</v>
      </c>
      <c r="D6047">
        <v>10</v>
      </c>
      <c r="E6047">
        <v>2</v>
      </c>
      <c r="F6047">
        <v>2</v>
      </c>
      <c r="G6047">
        <v>4</v>
      </c>
      <c r="H6047">
        <v>36</v>
      </c>
      <c r="I6047">
        <v>0.1</v>
      </c>
      <c r="J6047">
        <v>34.99</v>
      </c>
      <c r="K6047">
        <v>139.96</v>
      </c>
    </row>
    <row r="6048" spans="1:11" x14ac:dyDescent="0.2">
      <c r="A6048">
        <v>47822</v>
      </c>
      <c r="B6048">
        <v>304249</v>
      </c>
      <c r="C6048" t="s">
        <v>9267</v>
      </c>
      <c r="D6048">
        <v>10</v>
      </c>
      <c r="E6048">
        <v>16</v>
      </c>
      <c r="F6048">
        <v>0</v>
      </c>
      <c r="G6048">
        <v>0</v>
      </c>
      <c r="H6048">
        <v>50</v>
      </c>
      <c r="I6048">
        <v>0</v>
      </c>
      <c r="J6048">
        <v>3.99</v>
      </c>
      <c r="K6048">
        <v>0</v>
      </c>
    </row>
    <row r="6049" spans="1:11" x14ac:dyDescent="0.2">
      <c r="A6049">
        <v>49133</v>
      </c>
      <c r="B6049">
        <v>304261</v>
      </c>
      <c r="C6049" t="s">
        <v>8700</v>
      </c>
      <c r="D6049">
        <v>10</v>
      </c>
      <c r="E6049">
        <v>30</v>
      </c>
      <c r="F6049">
        <v>0</v>
      </c>
      <c r="G6049">
        <v>0</v>
      </c>
      <c r="H6049">
        <v>16</v>
      </c>
      <c r="I6049">
        <v>0</v>
      </c>
      <c r="J6049">
        <v>2.4900000000000002</v>
      </c>
      <c r="K6049">
        <v>0</v>
      </c>
    </row>
    <row r="6050" spans="1:11" x14ac:dyDescent="0.2">
      <c r="A6050">
        <v>49134</v>
      </c>
      <c r="B6050">
        <v>304265</v>
      </c>
      <c r="C6050" t="s">
        <v>9268</v>
      </c>
      <c r="D6050">
        <v>10</v>
      </c>
      <c r="E6050">
        <v>16</v>
      </c>
      <c r="F6050">
        <v>0</v>
      </c>
      <c r="G6050">
        <v>0</v>
      </c>
      <c r="H6050">
        <v>208</v>
      </c>
      <c r="I6050">
        <v>0</v>
      </c>
      <c r="J6050">
        <v>2.99</v>
      </c>
      <c r="K6050">
        <v>0</v>
      </c>
    </row>
    <row r="6051" spans="1:11" x14ac:dyDescent="0.2">
      <c r="A6051">
        <v>3000</v>
      </c>
      <c r="B6051">
        <v>304267</v>
      </c>
      <c r="C6051" t="s">
        <v>9269</v>
      </c>
      <c r="D6051">
        <v>6</v>
      </c>
      <c r="E6051">
        <v>8</v>
      </c>
      <c r="F6051">
        <v>2270</v>
      </c>
      <c r="G6051">
        <v>18160</v>
      </c>
      <c r="H6051">
        <v>117</v>
      </c>
      <c r="I6051">
        <v>19.399999999999999</v>
      </c>
      <c r="J6051">
        <v>5.99</v>
      </c>
      <c r="K6051">
        <v>108778.4</v>
      </c>
    </row>
    <row r="6052" spans="1:11" x14ac:dyDescent="0.2">
      <c r="A6052">
        <v>46041</v>
      </c>
      <c r="B6052">
        <v>304283</v>
      </c>
      <c r="C6052" t="s">
        <v>9270</v>
      </c>
      <c r="D6052">
        <v>10</v>
      </c>
      <c r="E6052">
        <v>25</v>
      </c>
      <c r="F6052">
        <v>0</v>
      </c>
      <c r="G6052">
        <v>0</v>
      </c>
      <c r="H6052">
        <v>51</v>
      </c>
      <c r="I6052">
        <v>0</v>
      </c>
      <c r="J6052">
        <v>1</v>
      </c>
      <c r="K6052">
        <v>0</v>
      </c>
    </row>
    <row r="6053" spans="1:11" x14ac:dyDescent="0.2">
      <c r="A6053">
        <v>46007</v>
      </c>
      <c r="B6053">
        <v>304291</v>
      </c>
      <c r="C6053" t="s">
        <v>9271</v>
      </c>
      <c r="D6053">
        <v>10</v>
      </c>
      <c r="E6053">
        <v>37</v>
      </c>
      <c r="F6053">
        <v>0</v>
      </c>
      <c r="G6053">
        <v>0</v>
      </c>
      <c r="H6053">
        <v>36</v>
      </c>
      <c r="I6053">
        <v>0</v>
      </c>
      <c r="J6053">
        <v>1</v>
      </c>
      <c r="K6053">
        <v>0</v>
      </c>
    </row>
    <row r="6054" spans="1:11" x14ac:dyDescent="0.2">
      <c r="A6054">
        <v>46042</v>
      </c>
      <c r="B6054">
        <v>304299</v>
      </c>
      <c r="C6054" t="s">
        <v>9272</v>
      </c>
      <c r="D6054">
        <v>10</v>
      </c>
      <c r="E6054">
        <v>15</v>
      </c>
      <c r="F6054">
        <v>0</v>
      </c>
      <c r="G6054">
        <v>0</v>
      </c>
      <c r="H6054">
        <v>30</v>
      </c>
      <c r="I6054">
        <v>0</v>
      </c>
      <c r="J6054">
        <v>1</v>
      </c>
      <c r="K6054">
        <v>0</v>
      </c>
    </row>
    <row r="6055" spans="1:11" x14ac:dyDescent="0.2">
      <c r="A6055">
        <v>46043</v>
      </c>
      <c r="B6055">
        <v>304311</v>
      </c>
      <c r="C6055" t="s">
        <v>9273</v>
      </c>
      <c r="D6055">
        <v>10</v>
      </c>
      <c r="E6055">
        <v>36</v>
      </c>
      <c r="F6055">
        <v>0</v>
      </c>
      <c r="G6055">
        <v>0</v>
      </c>
      <c r="H6055">
        <v>140</v>
      </c>
      <c r="I6055">
        <v>0</v>
      </c>
      <c r="J6055">
        <v>1</v>
      </c>
      <c r="K6055">
        <v>0</v>
      </c>
    </row>
    <row r="6056" spans="1:11" x14ac:dyDescent="0.2">
      <c r="A6056">
        <v>46008</v>
      </c>
      <c r="B6056">
        <v>304315</v>
      </c>
      <c r="C6056" t="s">
        <v>9274</v>
      </c>
      <c r="D6056">
        <v>10</v>
      </c>
      <c r="E6056">
        <v>46</v>
      </c>
      <c r="F6056">
        <v>0</v>
      </c>
      <c r="G6056">
        <v>0</v>
      </c>
      <c r="H6056">
        <v>4</v>
      </c>
      <c r="I6056">
        <v>0</v>
      </c>
      <c r="J6056">
        <v>1</v>
      </c>
      <c r="K6056">
        <v>0</v>
      </c>
    </row>
    <row r="6057" spans="1:11" x14ac:dyDescent="0.2">
      <c r="A6057">
        <v>48005</v>
      </c>
      <c r="B6057">
        <v>304321</v>
      </c>
      <c r="C6057" t="s">
        <v>9275</v>
      </c>
      <c r="D6057">
        <v>10</v>
      </c>
      <c r="E6057">
        <v>20</v>
      </c>
      <c r="F6057">
        <v>0</v>
      </c>
      <c r="G6057">
        <v>0</v>
      </c>
      <c r="H6057">
        <v>100</v>
      </c>
      <c r="I6057">
        <v>0</v>
      </c>
      <c r="J6057">
        <v>1.99</v>
      </c>
      <c r="K6057">
        <v>0</v>
      </c>
    </row>
    <row r="6058" spans="1:11" x14ac:dyDescent="0.2">
      <c r="A6058">
        <v>46009</v>
      </c>
      <c r="B6058">
        <v>304323</v>
      </c>
      <c r="C6058" t="s">
        <v>9276</v>
      </c>
      <c r="D6058">
        <v>10</v>
      </c>
      <c r="E6058">
        <v>42</v>
      </c>
      <c r="F6058">
        <v>0</v>
      </c>
      <c r="G6058">
        <v>0</v>
      </c>
      <c r="H6058">
        <v>64</v>
      </c>
      <c r="I6058">
        <v>0</v>
      </c>
      <c r="J6058">
        <v>1</v>
      </c>
      <c r="K6058">
        <v>0</v>
      </c>
    </row>
    <row r="6059" spans="1:11" x14ac:dyDescent="0.2">
      <c r="A6059">
        <v>51821</v>
      </c>
      <c r="B6059">
        <v>304338</v>
      </c>
      <c r="C6059" t="s">
        <v>8151</v>
      </c>
      <c r="D6059">
        <v>10</v>
      </c>
      <c r="E6059">
        <v>6</v>
      </c>
      <c r="F6059">
        <v>227</v>
      </c>
      <c r="G6059">
        <v>1359</v>
      </c>
      <c r="H6059">
        <v>224</v>
      </c>
      <c r="I6059">
        <v>1</v>
      </c>
      <c r="J6059">
        <v>6.99</v>
      </c>
      <c r="K6059">
        <v>9499.41</v>
      </c>
    </row>
    <row r="6060" spans="1:11" x14ac:dyDescent="0.2">
      <c r="A6060">
        <v>51822</v>
      </c>
      <c r="B6060">
        <v>304340</v>
      </c>
      <c r="C6060" t="s">
        <v>9277</v>
      </c>
      <c r="D6060">
        <v>10</v>
      </c>
      <c r="E6060">
        <v>10</v>
      </c>
      <c r="F6060">
        <v>1</v>
      </c>
      <c r="G6060">
        <v>12</v>
      </c>
      <c r="H6060">
        <v>42</v>
      </c>
      <c r="I6060">
        <v>0</v>
      </c>
      <c r="J6060">
        <v>7.99</v>
      </c>
      <c r="K6060">
        <v>95.88</v>
      </c>
    </row>
    <row r="6061" spans="1:11" x14ac:dyDescent="0.2">
      <c r="A6061">
        <v>1378</v>
      </c>
      <c r="B6061">
        <v>304353</v>
      </c>
      <c r="C6061" t="s">
        <v>9278</v>
      </c>
      <c r="D6061">
        <v>10</v>
      </c>
      <c r="E6061">
        <v>8</v>
      </c>
      <c r="F6061">
        <v>742</v>
      </c>
      <c r="G6061">
        <v>5936</v>
      </c>
      <c r="H6061">
        <v>492</v>
      </c>
      <c r="I6061">
        <v>1.5</v>
      </c>
      <c r="J6061">
        <v>4.99</v>
      </c>
      <c r="K6061">
        <v>29620.639999999999</v>
      </c>
    </row>
    <row r="6062" spans="1:11" x14ac:dyDescent="0.2">
      <c r="A6062">
        <v>48830</v>
      </c>
      <c r="B6062">
        <v>304357</v>
      </c>
      <c r="C6062" t="s">
        <v>9279</v>
      </c>
      <c r="D6062">
        <v>10</v>
      </c>
      <c r="E6062">
        <v>12</v>
      </c>
      <c r="F6062">
        <v>0</v>
      </c>
      <c r="G6062">
        <v>0</v>
      </c>
      <c r="H6062">
        <v>108</v>
      </c>
      <c r="I6062">
        <v>0</v>
      </c>
      <c r="J6062">
        <v>4.99</v>
      </c>
      <c r="K6062">
        <v>0</v>
      </c>
    </row>
    <row r="6063" spans="1:11" x14ac:dyDescent="0.2">
      <c r="A6063">
        <v>48831</v>
      </c>
      <c r="B6063">
        <v>304359</v>
      </c>
      <c r="C6063" t="s">
        <v>9280</v>
      </c>
      <c r="D6063">
        <v>10</v>
      </c>
      <c r="E6063">
        <v>4</v>
      </c>
      <c r="F6063">
        <v>0</v>
      </c>
      <c r="G6063">
        <v>0</v>
      </c>
      <c r="H6063">
        <v>192</v>
      </c>
      <c r="I6063">
        <v>0</v>
      </c>
      <c r="J6063">
        <v>24.99</v>
      </c>
      <c r="K6063">
        <v>0</v>
      </c>
    </row>
    <row r="6064" spans="1:11" x14ac:dyDescent="0.2">
      <c r="A6064">
        <v>48832</v>
      </c>
      <c r="B6064">
        <v>304363</v>
      </c>
      <c r="C6064" t="s">
        <v>7749</v>
      </c>
      <c r="D6064">
        <v>10</v>
      </c>
      <c r="E6064">
        <v>12</v>
      </c>
      <c r="F6064">
        <v>1</v>
      </c>
      <c r="G6064">
        <v>12</v>
      </c>
      <c r="H6064">
        <v>513</v>
      </c>
      <c r="I6064">
        <v>0</v>
      </c>
      <c r="J6064">
        <v>4.99</v>
      </c>
      <c r="K6064">
        <v>59.88</v>
      </c>
    </row>
    <row r="6065" spans="1:11" x14ac:dyDescent="0.2">
      <c r="A6065">
        <v>1305</v>
      </c>
      <c r="B6065">
        <v>304370</v>
      </c>
      <c r="C6065" t="s">
        <v>9281</v>
      </c>
      <c r="D6065">
        <v>10</v>
      </c>
      <c r="E6065">
        <v>2</v>
      </c>
      <c r="F6065">
        <v>797</v>
      </c>
      <c r="G6065">
        <v>1594</v>
      </c>
      <c r="H6065">
        <v>56</v>
      </c>
      <c r="I6065">
        <v>14.2</v>
      </c>
      <c r="J6065">
        <v>23.99</v>
      </c>
      <c r="K6065">
        <v>38240.06</v>
      </c>
    </row>
    <row r="6066" spans="1:11" x14ac:dyDescent="0.2">
      <c r="A6066">
        <v>47414</v>
      </c>
      <c r="B6066">
        <v>304374</v>
      </c>
      <c r="C6066" t="s">
        <v>9282</v>
      </c>
      <c r="D6066">
        <v>10</v>
      </c>
      <c r="E6066">
        <v>2</v>
      </c>
      <c r="F6066">
        <v>0</v>
      </c>
      <c r="G6066">
        <v>0</v>
      </c>
      <c r="H6066">
        <v>48</v>
      </c>
      <c r="I6066">
        <v>0</v>
      </c>
      <c r="J6066">
        <v>29.99</v>
      </c>
      <c r="K6066">
        <v>0</v>
      </c>
    </row>
    <row r="6067" spans="1:11" x14ac:dyDescent="0.2">
      <c r="A6067">
        <v>49135</v>
      </c>
      <c r="B6067">
        <v>304377</v>
      </c>
      <c r="C6067" t="s">
        <v>8761</v>
      </c>
      <c r="D6067">
        <v>10</v>
      </c>
      <c r="E6067">
        <v>12</v>
      </c>
      <c r="F6067">
        <v>0</v>
      </c>
      <c r="G6067">
        <v>0</v>
      </c>
      <c r="H6067">
        <v>48</v>
      </c>
      <c r="I6067">
        <v>0</v>
      </c>
      <c r="J6067">
        <v>5.99</v>
      </c>
      <c r="K6067">
        <v>0</v>
      </c>
    </row>
    <row r="6068" spans="1:11" x14ac:dyDescent="0.2">
      <c r="A6068">
        <v>49136</v>
      </c>
      <c r="B6068">
        <v>304379</v>
      </c>
      <c r="C6068" t="s">
        <v>9283</v>
      </c>
      <c r="D6068">
        <v>10</v>
      </c>
      <c r="E6068">
        <v>2</v>
      </c>
      <c r="F6068">
        <v>-2</v>
      </c>
      <c r="G6068">
        <v>-4</v>
      </c>
      <c r="H6068">
        <v>84</v>
      </c>
      <c r="I6068">
        <v>0</v>
      </c>
      <c r="J6068">
        <v>39.99</v>
      </c>
      <c r="K6068">
        <v>-159.96</v>
      </c>
    </row>
    <row r="6069" spans="1:11" x14ac:dyDescent="0.2">
      <c r="A6069">
        <v>47408</v>
      </c>
      <c r="B6069">
        <v>304383</v>
      </c>
      <c r="C6069" t="s">
        <v>9284</v>
      </c>
      <c r="D6069">
        <v>10</v>
      </c>
      <c r="E6069">
        <v>1</v>
      </c>
      <c r="F6069">
        <v>2</v>
      </c>
      <c r="G6069">
        <v>2</v>
      </c>
      <c r="H6069">
        <v>24</v>
      </c>
      <c r="I6069">
        <v>0.1</v>
      </c>
      <c r="J6069">
        <v>34.99</v>
      </c>
      <c r="K6069">
        <v>69.98</v>
      </c>
    </row>
    <row r="6070" spans="1:11" x14ac:dyDescent="0.2">
      <c r="A6070">
        <v>51823</v>
      </c>
      <c r="B6070">
        <v>304410</v>
      </c>
      <c r="C6070" t="s">
        <v>9285</v>
      </c>
      <c r="D6070">
        <v>10</v>
      </c>
      <c r="E6070">
        <v>10</v>
      </c>
      <c r="F6070">
        <v>72</v>
      </c>
      <c r="G6070">
        <v>715</v>
      </c>
      <c r="H6070">
        <v>100</v>
      </c>
      <c r="I6070">
        <v>0.7</v>
      </c>
      <c r="J6070">
        <v>4.99</v>
      </c>
      <c r="K6070">
        <v>3567.85</v>
      </c>
    </row>
    <row r="6071" spans="1:11" x14ac:dyDescent="0.2">
      <c r="A6071">
        <v>51824</v>
      </c>
      <c r="B6071">
        <v>304412</v>
      </c>
      <c r="C6071" t="s">
        <v>9286</v>
      </c>
      <c r="D6071">
        <v>10</v>
      </c>
      <c r="E6071">
        <v>6</v>
      </c>
      <c r="F6071">
        <v>88</v>
      </c>
      <c r="G6071">
        <v>530</v>
      </c>
      <c r="H6071">
        <v>30</v>
      </c>
      <c r="I6071">
        <v>2.9</v>
      </c>
      <c r="J6071">
        <v>21.99</v>
      </c>
      <c r="K6071">
        <v>11654.7</v>
      </c>
    </row>
    <row r="6072" spans="1:11" x14ac:dyDescent="0.2">
      <c r="A6072">
        <v>1363</v>
      </c>
      <c r="B6072">
        <v>304415</v>
      </c>
      <c r="C6072" t="s">
        <v>9287</v>
      </c>
      <c r="D6072">
        <v>6</v>
      </c>
      <c r="E6072">
        <v>1</v>
      </c>
      <c r="F6072">
        <v>6921</v>
      </c>
      <c r="G6072">
        <v>6921</v>
      </c>
      <c r="H6072">
        <v>42</v>
      </c>
      <c r="I6072">
        <v>164.8</v>
      </c>
      <c r="J6072">
        <v>49.99</v>
      </c>
      <c r="K6072">
        <v>345980.79</v>
      </c>
    </row>
    <row r="6073" spans="1:11" x14ac:dyDescent="0.2">
      <c r="A6073">
        <v>40422</v>
      </c>
      <c r="B6073">
        <v>304452</v>
      </c>
      <c r="C6073" t="s">
        <v>9288</v>
      </c>
      <c r="D6073">
        <v>10</v>
      </c>
      <c r="E6073">
        <v>3</v>
      </c>
      <c r="F6073">
        <v>4</v>
      </c>
      <c r="G6073">
        <v>12</v>
      </c>
      <c r="H6073">
        <v>25</v>
      </c>
      <c r="I6073">
        <v>0.2</v>
      </c>
      <c r="J6073">
        <v>19.989999999999998</v>
      </c>
      <c r="K6073">
        <v>239.88</v>
      </c>
    </row>
    <row r="6074" spans="1:11" x14ac:dyDescent="0.2">
      <c r="A6074">
        <v>51825</v>
      </c>
      <c r="B6074">
        <v>304469</v>
      </c>
      <c r="C6074" t="s">
        <v>9289</v>
      </c>
      <c r="D6074">
        <v>10</v>
      </c>
      <c r="E6074">
        <v>6</v>
      </c>
      <c r="F6074">
        <v>22</v>
      </c>
      <c r="G6074">
        <v>133</v>
      </c>
      <c r="H6074">
        <v>51</v>
      </c>
      <c r="I6074">
        <v>0.4</v>
      </c>
      <c r="J6074">
        <v>12.99</v>
      </c>
      <c r="K6074">
        <v>1727.67</v>
      </c>
    </row>
    <row r="6075" spans="1:11" x14ac:dyDescent="0.2">
      <c r="A6075">
        <v>51826</v>
      </c>
      <c r="B6075">
        <v>304471</v>
      </c>
      <c r="C6075" t="s">
        <v>9290</v>
      </c>
      <c r="D6075">
        <v>10</v>
      </c>
      <c r="E6075">
        <v>4</v>
      </c>
      <c r="F6075">
        <v>136</v>
      </c>
      <c r="G6075">
        <v>542</v>
      </c>
      <c r="H6075">
        <v>457</v>
      </c>
      <c r="I6075">
        <v>0.3</v>
      </c>
      <c r="J6075">
        <v>24.99</v>
      </c>
      <c r="K6075">
        <v>13544.58</v>
      </c>
    </row>
    <row r="6076" spans="1:11" x14ac:dyDescent="0.2">
      <c r="A6076">
        <v>51827</v>
      </c>
      <c r="B6076">
        <v>304474</v>
      </c>
      <c r="C6076" t="s">
        <v>9291</v>
      </c>
      <c r="D6076">
        <v>10</v>
      </c>
      <c r="E6076">
        <v>2</v>
      </c>
      <c r="F6076">
        <v>116</v>
      </c>
      <c r="G6076">
        <v>231</v>
      </c>
      <c r="H6076">
        <v>84</v>
      </c>
      <c r="I6076">
        <v>1.4</v>
      </c>
      <c r="J6076">
        <v>32.99</v>
      </c>
      <c r="K6076">
        <v>7620.69</v>
      </c>
    </row>
    <row r="6077" spans="1:11" x14ac:dyDescent="0.2">
      <c r="A6077">
        <v>46822</v>
      </c>
      <c r="B6077">
        <v>304478</v>
      </c>
      <c r="C6077" t="s">
        <v>9292</v>
      </c>
      <c r="D6077">
        <v>10</v>
      </c>
      <c r="E6077">
        <v>12</v>
      </c>
      <c r="F6077">
        <v>0</v>
      </c>
      <c r="G6077">
        <v>0</v>
      </c>
      <c r="H6077">
        <v>200</v>
      </c>
      <c r="I6077">
        <v>0</v>
      </c>
      <c r="J6077">
        <v>4.99</v>
      </c>
      <c r="K6077">
        <v>0</v>
      </c>
    </row>
    <row r="6078" spans="1:11" x14ac:dyDescent="0.2">
      <c r="A6078">
        <v>46823</v>
      </c>
      <c r="B6078">
        <v>304482</v>
      </c>
      <c r="C6078" t="s">
        <v>9293</v>
      </c>
      <c r="D6078">
        <v>10</v>
      </c>
      <c r="E6078">
        <v>10</v>
      </c>
      <c r="F6078">
        <v>0</v>
      </c>
      <c r="G6078">
        <v>0</v>
      </c>
      <c r="H6078">
        <v>40</v>
      </c>
      <c r="I6078">
        <v>0</v>
      </c>
      <c r="J6078">
        <v>12.99</v>
      </c>
      <c r="K6078">
        <v>0</v>
      </c>
    </row>
    <row r="6079" spans="1:11" x14ac:dyDescent="0.2">
      <c r="A6079">
        <v>46824</v>
      </c>
      <c r="B6079">
        <v>304488</v>
      </c>
      <c r="C6079" t="s">
        <v>9294</v>
      </c>
      <c r="D6079">
        <v>10</v>
      </c>
      <c r="E6079">
        <v>6</v>
      </c>
      <c r="F6079">
        <v>1</v>
      </c>
      <c r="G6079">
        <v>6</v>
      </c>
      <c r="H6079">
        <v>55</v>
      </c>
      <c r="I6079">
        <v>0</v>
      </c>
      <c r="J6079">
        <v>11.99</v>
      </c>
      <c r="K6079">
        <v>71.94</v>
      </c>
    </row>
    <row r="6080" spans="1:11" x14ac:dyDescent="0.2">
      <c r="A6080">
        <v>51828</v>
      </c>
      <c r="B6080">
        <v>304490</v>
      </c>
      <c r="C6080" t="s">
        <v>9295</v>
      </c>
      <c r="D6080">
        <v>10</v>
      </c>
      <c r="E6080">
        <v>4</v>
      </c>
      <c r="F6080">
        <v>66</v>
      </c>
      <c r="G6080">
        <v>263</v>
      </c>
      <c r="H6080">
        <v>12</v>
      </c>
      <c r="I6080">
        <v>5.5</v>
      </c>
      <c r="J6080">
        <v>34.99</v>
      </c>
      <c r="K6080">
        <v>9202.3700000000008</v>
      </c>
    </row>
    <row r="6081" spans="1:11" x14ac:dyDescent="0.2">
      <c r="A6081">
        <v>46825</v>
      </c>
      <c r="B6081">
        <v>304494</v>
      </c>
      <c r="C6081" t="s">
        <v>9296</v>
      </c>
      <c r="D6081">
        <v>10</v>
      </c>
      <c r="E6081">
        <v>12</v>
      </c>
      <c r="F6081">
        <v>0</v>
      </c>
      <c r="G6081">
        <v>0</v>
      </c>
      <c r="H6081">
        <v>24</v>
      </c>
      <c r="I6081">
        <v>0</v>
      </c>
      <c r="J6081">
        <v>6.99</v>
      </c>
      <c r="K6081">
        <v>0</v>
      </c>
    </row>
    <row r="6082" spans="1:11" x14ac:dyDescent="0.2">
      <c r="A6082">
        <v>46826</v>
      </c>
      <c r="B6082">
        <v>304496</v>
      </c>
      <c r="C6082" t="s">
        <v>9297</v>
      </c>
      <c r="D6082">
        <v>10</v>
      </c>
      <c r="E6082">
        <v>4</v>
      </c>
      <c r="F6082">
        <v>-7</v>
      </c>
      <c r="G6082">
        <v>-28</v>
      </c>
      <c r="H6082">
        <v>30</v>
      </c>
      <c r="I6082">
        <v>-0.2</v>
      </c>
      <c r="J6082">
        <v>19.989999999999998</v>
      </c>
      <c r="K6082">
        <v>-559.72</v>
      </c>
    </row>
    <row r="6083" spans="1:11" x14ac:dyDescent="0.2">
      <c r="A6083">
        <v>46827</v>
      </c>
      <c r="B6083">
        <v>304500</v>
      </c>
      <c r="C6083" t="s">
        <v>9298</v>
      </c>
      <c r="D6083">
        <v>10</v>
      </c>
      <c r="E6083">
        <v>6</v>
      </c>
      <c r="F6083">
        <v>0</v>
      </c>
      <c r="G6083">
        <v>0</v>
      </c>
      <c r="H6083">
        <v>60</v>
      </c>
      <c r="I6083">
        <v>0</v>
      </c>
      <c r="J6083">
        <v>12.99</v>
      </c>
      <c r="K6083">
        <v>0</v>
      </c>
    </row>
    <row r="6084" spans="1:11" x14ac:dyDescent="0.2">
      <c r="A6084">
        <v>42404</v>
      </c>
      <c r="B6084">
        <v>304502</v>
      </c>
      <c r="C6084" t="s">
        <v>9299</v>
      </c>
      <c r="D6084">
        <v>10</v>
      </c>
      <c r="E6084">
        <v>24</v>
      </c>
      <c r="F6084">
        <v>0</v>
      </c>
      <c r="G6084">
        <v>0</v>
      </c>
      <c r="H6084">
        <v>60</v>
      </c>
      <c r="I6084">
        <v>0</v>
      </c>
      <c r="J6084">
        <v>1</v>
      </c>
      <c r="K6084">
        <v>0</v>
      </c>
    </row>
    <row r="6085" spans="1:11" x14ac:dyDescent="0.2">
      <c r="A6085">
        <v>47823</v>
      </c>
      <c r="B6085">
        <v>304504</v>
      </c>
      <c r="C6085" t="s">
        <v>9300</v>
      </c>
      <c r="D6085">
        <v>10</v>
      </c>
      <c r="E6085">
        <v>4</v>
      </c>
      <c r="F6085">
        <v>0</v>
      </c>
      <c r="G6085">
        <v>0</v>
      </c>
      <c r="H6085">
        <v>100</v>
      </c>
      <c r="I6085">
        <v>0</v>
      </c>
      <c r="J6085">
        <v>19.989999999999998</v>
      </c>
      <c r="K6085">
        <v>0</v>
      </c>
    </row>
    <row r="6086" spans="1:11" x14ac:dyDescent="0.2">
      <c r="A6086">
        <v>43415</v>
      </c>
      <c r="B6086">
        <v>304506</v>
      </c>
      <c r="C6086" t="s">
        <v>9301</v>
      </c>
      <c r="D6086">
        <v>10</v>
      </c>
      <c r="E6086">
        <v>36</v>
      </c>
      <c r="F6086">
        <v>0</v>
      </c>
      <c r="G6086">
        <v>0</v>
      </c>
      <c r="H6086">
        <v>100</v>
      </c>
      <c r="I6086">
        <v>0</v>
      </c>
      <c r="J6086">
        <v>1</v>
      </c>
      <c r="K6086">
        <v>0</v>
      </c>
    </row>
    <row r="6087" spans="1:11" x14ac:dyDescent="0.2">
      <c r="A6087">
        <v>48833</v>
      </c>
      <c r="B6087">
        <v>304508</v>
      </c>
      <c r="C6087" t="s">
        <v>9302</v>
      </c>
      <c r="D6087">
        <v>10</v>
      </c>
      <c r="E6087">
        <v>24</v>
      </c>
      <c r="F6087">
        <v>3</v>
      </c>
      <c r="G6087">
        <v>72</v>
      </c>
      <c r="H6087">
        <v>70</v>
      </c>
      <c r="I6087">
        <v>0</v>
      </c>
      <c r="J6087">
        <v>1.99</v>
      </c>
      <c r="K6087">
        <v>143.28</v>
      </c>
    </row>
    <row r="6088" spans="1:11" x14ac:dyDescent="0.2">
      <c r="A6088">
        <v>1326</v>
      </c>
      <c r="B6088">
        <v>304510</v>
      </c>
      <c r="C6088" t="s">
        <v>9303</v>
      </c>
      <c r="D6088">
        <v>6</v>
      </c>
      <c r="E6088">
        <v>6</v>
      </c>
      <c r="F6088">
        <v>465</v>
      </c>
      <c r="G6088">
        <v>2790</v>
      </c>
      <c r="H6088">
        <v>35</v>
      </c>
      <c r="I6088">
        <v>13.3</v>
      </c>
      <c r="J6088">
        <v>11.99</v>
      </c>
      <c r="K6088">
        <v>33452.1</v>
      </c>
    </row>
    <row r="6089" spans="1:11" x14ac:dyDescent="0.2">
      <c r="A6089">
        <v>47824</v>
      </c>
      <c r="B6089">
        <v>304515</v>
      </c>
      <c r="C6089" t="s">
        <v>9304</v>
      </c>
      <c r="D6089">
        <v>10</v>
      </c>
      <c r="E6089">
        <v>10</v>
      </c>
      <c r="F6089">
        <v>0</v>
      </c>
      <c r="G6089">
        <v>0</v>
      </c>
      <c r="H6089">
        <v>110</v>
      </c>
      <c r="I6089">
        <v>0</v>
      </c>
      <c r="J6089">
        <v>3.99</v>
      </c>
      <c r="K6089">
        <v>0</v>
      </c>
    </row>
    <row r="6090" spans="1:11" x14ac:dyDescent="0.2">
      <c r="A6090">
        <v>47825</v>
      </c>
      <c r="B6090">
        <v>304517</v>
      </c>
      <c r="C6090" t="s">
        <v>9305</v>
      </c>
      <c r="D6090">
        <v>10</v>
      </c>
      <c r="E6090">
        <v>10</v>
      </c>
      <c r="F6090">
        <v>1</v>
      </c>
      <c r="G6090">
        <v>10</v>
      </c>
      <c r="H6090">
        <v>56</v>
      </c>
      <c r="I6090">
        <v>0</v>
      </c>
      <c r="J6090">
        <v>4.99</v>
      </c>
      <c r="K6090">
        <v>49.9</v>
      </c>
    </row>
    <row r="6091" spans="1:11" x14ac:dyDescent="0.2">
      <c r="A6091">
        <v>47826</v>
      </c>
      <c r="B6091">
        <v>304519</v>
      </c>
      <c r="C6091" t="s">
        <v>9306</v>
      </c>
      <c r="D6091">
        <v>10</v>
      </c>
      <c r="E6091">
        <v>4</v>
      </c>
      <c r="F6091">
        <v>-4</v>
      </c>
      <c r="G6091">
        <v>-14</v>
      </c>
      <c r="H6091">
        <v>28</v>
      </c>
      <c r="I6091">
        <v>-0.1</v>
      </c>
      <c r="J6091">
        <v>19.989999999999998</v>
      </c>
      <c r="K6091">
        <v>-279.86</v>
      </c>
    </row>
    <row r="6092" spans="1:11" x14ac:dyDescent="0.2">
      <c r="A6092">
        <v>47827</v>
      </c>
      <c r="B6092">
        <v>304521</v>
      </c>
      <c r="C6092" t="s">
        <v>9307</v>
      </c>
      <c r="D6092">
        <v>10</v>
      </c>
      <c r="E6092">
        <v>4</v>
      </c>
      <c r="F6092">
        <v>0</v>
      </c>
      <c r="G6092">
        <v>0</v>
      </c>
      <c r="H6092">
        <v>100</v>
      </c>
      <c r="I6092">
        <v>0</v>
      </c>
      <c r="J6092">
        <v>27.99</v>
      </c>
      <c r="K6092">
        <v>0</v>
      </c>
    </row>
    <row r="6093" spans="1:11" x14ac:dyDescent="0.2">
      <c r="A6093">
        <v>47828</v>
      </c>
      <c r="B6093">
        <v>304523</v>
      </c>
      <c r="C6093" t="s">
        <v>9308</v>
      </c>
      <c r="D6093">
        <v>10</v>
      </c>
      <c r="E6093">
        <v>1</v>
      </c>
      <c r="F6093">
        <v>-1</v>
      </c>
      <c r="G6093">
        <v>-1</v>
      </c>
      <c r="H6093">
        <v>100</v>
      </c>
      <c r="I6093">
        <v>0</v>
      </c>
      <c r="J6093">
        <v>29.99</v>
      </c>
      <c r="K6093">
        <v>-29.99</v>
      </c>
    </row>
    <row r="6094" spans="1:11" x14ac:dyDescent="0.2">
      <c r="A6094">
        <v>47829</v>
      </c>
      <c r="B6094">
        <v>304527</v>
      </c>
      <c r="C6094" t="s">
        <v>9309</v>
      </c>
      <c r="D6094">
        <v>10</v>
      </c>
      <c r="E6094">
        <v>12</v>
      </c>
      <c r="F6094">
        <v>0</v>
      </c>
      <c r="G6094">
        <v>0</v>
      </c>
      <c r="H6094">
        <v>12</v>
      </c>
      <c r="I6094">
        <v>0</v>
      </c>
      <c r="J6094">
        <v>5.99</v>
      </c>
      <c r="K6094">
        <v>0</v>
      </c>
    </row>
    <row r="6095" spans="1:11" x14ac:dyDescent="0.2">
      <c r="A6095">
        <v>47830</v>
      </c>
      <c r="B6095">
        <v>304533</v>
      </c>
      <c r="C6095" t="s">
        <v>9310</v>
      </c>
      <c r="D6095">
        <v>10</v>
      </c>
      <c r="E6095">
        <v>4</v>
      </c>
      <c r="F6095">
        <v>0</v>
      </c>
      <c r="G6095">
        <v>0</v>
      </c>
      <c r="H6095">
        <v>136</v>
      </c>
      <c r="I6095">
        <v>0</v>
      </c>
      <c r="J6095">
        <v>27.99</v>
      </c>
      <c r="K6095">
        <v>0</v>
      </c>
    </row>
    <row r="6096" spans="1:11" x14ac:dyDescent="0.2">
      <c r="A6096">
        <v>47831</v>
      </c>
      <c r="B6096">
        <v>304541</v>
      </c>
      <c r="C6096" t="s">
        <v>7519</v>
      </c>
      <c r="D6096">
        <v>10</v>
      </c>
      <c r="E6096">
        <v>8</v>
      </c>
      <c r="F6096">
        <v>3</v>
      </c>
      <c r="G6096">
        <v>24</v>
      </c>
      <c r="H6096">
        <v>48</v>
      </c>
      <c r="I6096">
        <v>0.1</v>
      </c>
      <c r="J6096">
        <v>6.99</v>
      </c>
      <c r="K6096">
        <v>167.76</v>
      </c>
    </row>
    <row r="6097" spans="1:11" x14ac:dyDescent="0.2">
      <c r="A6097">
        <v>44834</v>
      </c>
      <c r="B6097">
        <v>304555</v>
      </c>
      <c r="C6097" t="s">
        <v>9311</v>
      </c>
      <c r="D6097">
        <v>10</v>
      </c>
      <c r="E6097">
        <v>20</v>
      </c>
      <c r="F6097">
        <v>3</v>
      </c>
      <c r="G6097">
        <v>60</v>
      </c>
      <c r="H6097">
        <v>64</v>
      </c>
      <c r="I6097">
        <v>0</v>
      </c>
      <c r="J6097">
        <v>3.99</v>
      </c>
      <c r="K6097">
        <v>239.4</v>
      </c>
    </row>
    <row r="6098" spans="1:11" x14ac:dyDescent="0.2">
      <c r="A6098">
        <v>49031</v>
      </c>
      <c r="B6098">
        <v>304557</v>
      </c>
      <c r="C6098" t="s">
        <v>9312</v>
      </c>
      <c r="D6098">
        <v>10</v>
      </c>
      <c r="E6098">
        <v>20</v>
      </c>
      <c r="F6098">
        <v>0</v>
      </c>
      <c r="G6098">
        <v>0</v>
      </c>
      <c r="H6098">
        <v>100</v>
      </c>
      <c r="I6098">
        <v>0</v>
      </c>
      <c r="J6098">
        <v>3.99</v>
      </c>
      <c r="K6098">
        <v>0</v>
      </c>
    </row>
    <row r="6099" spans="1:11" x14ac:dyDescent="0.2">
      <c r="A6099">
        <v>52060</v>
      </c>
      <c r="B6099">
        <v>304559</v>
      </c>
      <c r="C6099" t="s">
        <v>9313</v>
      </c>
      <c r="D6099">
        <v>10</v>
      </c>
      <c r="E6099">
        <v>1</v>
      </c>
      <c r="F6099">
        <v>1152</v>
      </c>
      <c r="G6099">
        <v>1152</v>
      </c>
      <c r="H6099">
        <v>50</v>
      </c>
      <c r="I6099">
        <v>23</v>
      </c>
      <c r="J6099">
        <v>39.89</v>
      </c>
      <c r="K6099">
        <v>45953.279999999999</v>
      </c>
    </row>
    <row r="6100" spans="1:11" x14ac:dyDescent="0.2">
      <c r="A6100">
        <v>44835</v>
      </c>
      <c r="B6100">
        <v>304561</v>
      </c>
      <c r="C6100" t="s">
        <v>9314</v>
      </c>
      <c r="D6100">
        <v>10</v>
      </c>
      <c r="E6100">
        <v>15</v>
      </c>
      <c r="F6100">
        <v>0</v>
      </c>
      <c r="G6100">
        <v>0</v>
      </c>
      <c r="H6100">
        <v>36</v>
      </c>
      <c r="I6100">
        <v>0</v>
      </c>
      <c r="J6100">
        <v>4.99</v>
      </c>
      <c r="K6100">
        <v>0</v>
      </c>
    </row>
    <row r="6101" spans="1:11" x14ac:dyDescent="0.2">
      <c r="A6101">
        <v>45819</v>
      </c>
      <c r="B6101">
        <v>304563</v>
      </c>
      <c r="C6101" t="s">
        <v>9315</v>
      </c>
      <c r="D6101">
        <v>10</v>
      </c>
      <c r="E6101">
        <v>6</v>
      </c>
      <c r="F6101">
        <v>0</v>
      </c>
      <c r="G6101">
        <v>0</v>
      </c>
      <c r="H6101">
        <v>156</v>
      </c>
      <c r="I6101">
        <v>0</v>
      </c>
      <c r="J6101">
        <v>12.99</v>
      </c>
      <c r="K6101">
        <v>0</v>
      </c>
    </row>
    <row r="6102" spans="1:11" x14ac:dyDescent="0.2">
      <c r="A6102">
        <v>48834</v>
      </c>
      <c r="B6102">
        <v>304565</v>
      </c>
      <c r="C6102" t="s">
        <v>9316</v>
      </c>
      <c r="D6102">
        <v>10</v>
      </c>
      <c r="E6102">
        <v>2</v>
      </c>
      <c r="F6102">
        <v>2</v>
      </c>
      <c r="G6102">
        <v>4</v>
      </c>
      <c r="H6102">
        <v>30</v>
      </c>
      <c r="I6102">
        <v>0.1</v>
      </c>
      <c r="J6102">
        <v>49.99</v>
      </c>
      <c r="K6102">
        <v>199.96</v>
      </c>
    </row>
    <row r="6103" spans="1:11" x14ac:dyDescent="0.2">
      <c r="A6103">
        <v>51106</v>
      </c>
      <c r="B6103">
        <v>304605</v>
      </c>
      <c r="C6103" t="s">
        <v>9317</v>
      </c>
      <c r="D6103">
        <v>10</v>
      </c>
      <c r="E6103">
        <v>20</v>
      </c>
      <c r="F6103">
        <v>8</v>
      </c>
      <c r="G6103">
        <v>160</v>
      </c>
      <c r="H6103">
        <v>60</v>
      </c>
      <c r="I6103">
        <v>0.1</v>
      </c>
      <c r="J6103">
        <v>2.99</v>
      </c>
      <c r="K6103">
        <v>478.4</v>
      </c>
    </row>
    <row r="6104" spans="1:11" x14ac:dyDescent="0.2">
      <c r="A6104">
        <v>48041</v>
      </c>
      <c r="B6104">
        <v>304661</v>
      </c>
      <c r="C6104" t="s">
        <v>9318</v>
      </c>
      <c r="D6104">
        <v>10</v>
      </c>
      <c r="E6104">
        <v>5</v>
      </c>
      <c r="F6104">
        <v>0</v>
      </c>
      <c r="G6104">
        <v>0</v>
      </c>
      <c r="H6104">
        <v>40</v>
      </c>
      <c r="I6104">
        <v>0</v>
      </c>
      <c r="J6104">
        <v>7.99</v>
      </c>
      <c r="K6104">
        <v>0</v>
      </c>
    </row>
    <row r="6105" spans="1:11" x14ac:dyDescent="0.2">
      <c r="A6105">
        <v>48042</v>
      </c>
      <c r="B6105">
        <v>304663</v>
      </c>
      <c r="C6105" t="s">
        <v>9319</v>
      </c>
      <c r="D6105">
        <v>10</v>
      </c>
      <c r="E6105">
        <v>6</v>
      </c>
      <c r="F6105">
        <v>1</v>
      </c>
      <c r="G6105">
        <v>6</v>
      </c>
      <c r="H6105">
        <v>36</v>
      </c>
      <c r="I6105">
        <v>0</v>
      </c>
      <c r="J6105">
        <v>9.99</v>
      </c>
      <c r="K6105">
        <v>59.94</v>
      </c>
    </row>
    <row r="6106" spans="1:11" x14ac:dyDescent="0.2">
      <c r="A6106">
        <v>48043</v>
      </c>
      <c r="B6106">
        <v>304665</v>
      </c>
      <c r="C6106" t="s">
        <v>9320</v>
      </c>
      <c r="D6106">
        <v>10</v>
      </c>
      <c r="E6106">
        <v>10</v>
      </c>
      <c r="F6106">
        <v>1</v>
      </c>
      <c r="G6106">
        <v>10</v>
      </c>
      <c r="H6106">
        <v>48</v>
      </c>
      <c r="I6106">
        <v>0</v>
      </c>
      <c r="J6106">
        <v>6.99</v>
      </c>
      <c r="K6106">
        <v>69.900000000000006</v>
      </c>
    </row>
    <row r="6107" spans="1:11" x14ac:dyDescent="0.2">
      <c r="A6107">
        <v>47403</v>
      </c>
      <c r="B6107">
        <v>304667</v>
      </c>
      <c r="C6107" t="s">
        <v>9321</v>
      </c>
      <c r="D6107">
        <v>10</v>
      </c>
      <c r="E6107">
        <v>2</v>
      </c>
      <c r="F6107">
        <v>1</v>
      </c>
      <c r="G6107">
        <v>2</v>
      </c>
      <c r="H6107">
        <v>168</v>
      </c>
      <c r="I6107">
        <v>0</v>
      </c>
      <c r="J6107">
        <v>37.99</v>
      </c>
      <c r="K6107">
        <v>75.98</v>
      </c>
    </row>
    <row r="6108" spans="1:11" x14ac:dyDescent="0.2">
      <c r="A6108">
        <v>48012</v>
      </c>
      <c r="B6108">
        <v>304669</v>
      </c>
      <c r="C6108" t="s">
        <v>9322</v>
      </c>
      <c r="D6108">
        <v>10</v>
      </c>
      <c r="E6108">
        <v>10</v>
      </c>
      <c r="F6108">
        <v>0</v>
      </c>
      <c r="G6108">
        <v>0</v>
      </c>
      <c r="H6108">
        <v>110</v>
      </c>
      <c r="I6108">
        <v>0</v>
      </c>
      <c r="J6108">
        <v>5.99</v>
      </c>
      <c r="K6108">
        <v>0</v>
      </c>
    </row>
    <row r="6109" spans="1:11" x14ac:dyDescent="0.2">
      <c r="A6109">
        <v>1370</v>
      </c>
      <c r="B6109">
        <v>304671</v>
      </c>
      <c r="C6109" t="s">
        <v>8855</v>
      </c>
      <c r="D6109">
        <v>10</v>
      </c>
      <c r="E6109">
        <v>2</v>
      </c>
      <c r="F6109">
        <v>820</v>
      </c>
      <c r="G6109">
        <v>1640</v>
      </c>
      <c r="H6109">
        <v>30</v>
      </c>
      <c r="I6109">
        <v>27.3</v>
      </c>
      <c r="J6109">
        <v>44.99</v>
      </c>
      <c r="K6109">
        <v>73783.600000000006</v>
      </c>
    </row>
    <row r="6110" spans="1:11" x14ac:dyDescent="0.2">
      <c r="A6110">
        <v>48044</v>
      </c>
      <c r="B6110">
        <v>304673</v>
      </c>
      <c r="C6110" t="s">
        <v>9323</v>
      </c>
      <c r="D6110">
        <v>10</v>
      </c>
      <c r="E6110">
        <v>10</v>
      </c>
      <c r="F6110">
        <v>3</v>
      </c>
      <c r="G6110">
        <v>30</v>
      </c>
      <c r="H6110">
        <v>75</v>
      </c>
      <c r="I6110">
        <v>0</v>
      </c>
      <c r="J6110">
        <v>7.99</v>
      </c>
      <c r="K6110">
        <v>239.7</v>
      </c>
    </row>
    <row r="6111" spans="1:11" x14ac:dyDescent="0.2">
      <c r="A6111">
        <v>50819</v>
      </c>
      <c r="B6111">
        <v>304696</v>
      </c>
      <c r="C6111" t="s">
        <v>9324</v>
      </c>
      <c r="D6111">
        <v>10</v>
      </c>
      <c r="E6111">
        <v>20</v>
      </c>
      <c r="F6111">
        <v>4</v>
      </c>
      <c r="G6111">
        <v>80</v>
      </c>
      <c r="H6111">
        <v>70</v>
      </c>
      <c r="I6111">
        <v>0.1</v>
      </c>
      <c r="J6111">
        <v>2.99</v>
      </c>
      <c r="K6111">
        <v>239.2</v>
      </c>
    </row>
    <row r="6112" spans="1:11" x14ac:dyDescent="0.2">
      <c r="A6112">
        <v>50820</v>
      </c>
      <c r="B6112">
        <v>304698</v>
      </c>
      <c r="C6112" t="s">
        <v>9325</v>
      </c>
      <c r="D6112">
        <v>10</v>
      </c>
      <c r="E6112">
        <v>24</v>
      </c>
      <c r="F6112">
        <v>0</v>
      </c>
      <c r="G6112">
        <v>0</v>
      </c>
      <c r="H6112">
        <v>78</v>
      </c>
      <c r="I6112">
        <v>0</v>
      </c>
      <c r="J6112">
        <v>2.99</v>
      </c>
      <c r="K6112">
        <v>0</v>
      </c>
    </row>
    <row r="6113" spans="1:11" x14ac:dyDescent="0.2">
      <c r="A6113">
        <v>50821</v>
      </c>
      <c r="B6113">
        <v>304704</v>
      </c>
      <c r="C6113" t="s">
        <v>9326</v>
      </c>
      <c r="D6113">
        <v>10</v>
      </c>
      <c r="E6113">
        <v>8</v>
      </c>
      <c r="F6113">
        <v>2</v>
      </c>
      <c r="G6113">
        <v>16</v>
      </c>
      <c r="H6113">
        <v>120</v>
      </c>
      <c r="I6113">
        <v>0</v>
      </c>
      <c r="J6113">
        <v>4.99</v>
      </c>
      <c r="K6113">
        <v>79.84</v>
      </c>
    </row>
    <row r="6114" spans="1:11" x14ac:dyDescent="0.2">
      <c r="A6114">
        <v>50822</v>
      </c>
      <c r="B6114">
        <v>304706</v>
      </c>
      <c r="C6114" t="s">
        <v>9327</v>
      </c>
      <c r="D6114">
        <v>10</v>
      </c>
      <c r="E6114">
        <v>10</v>
      </c>
      <c r="F6114">
        <v>1</v>
      </c>
      <c r="G6114">
        <v>10</v>
      </c>
      <c r="H6114">
        <v>21</v>
      </c>
      <c r="I6114">
        <v>0</v>
      </c>
      <c r="J6114">
        <v>9.99</v>
      </c>
      <c r="K6114">
        <v>99.9</v>
      </c>
    </row>
    <row r="6115" spans="1:11" x14ac:dyDescent="0.2">
      <c r="A6115">
        <v>46044</v>
      </c>
      <c r="B6115">
        <v>304708</v>
      </c>
      <c r="C6115" t="s">
        <v>9273</v>
      </c>
      <c r="D6115">
        <v>10</v>
      </c>
      <c r="E6115">
        <v>46</v>
      </c>
      <c r="F6115">
        <v>0</v>
      </c>
      <c r="G6115">
        <v>0</v>
      </c>
      <c r="H6115">
        <v>120</v>
      </c>
      <c r="I6115">
        <v>0</v>
      </c>
      <c r="J6115">
        <v>1</v>
      </c>
      <c r="K6115">
        <v>0</v>
      </c>
    </row>
    <row r="6116" spans="1:11" x14ac:dyDescent="0.2">
      <c r="A6116">
        <v>50823</v>
      </c>
      <c r="B6116">
        <v>304712</v>
      </c>
      <c r="C6116" t="s">
        <v>9328</v>
      </c>
      <c r="D6116">
        <v>10</v>
      </c>
      <c r="E6116">
        <v>20</v>
      </c>
      <c r="F6116">
        <v>0</v>
      </c>
      <c r="G6116">
        <v>0</v>
      </c>
      <c r="H6116">
        <v>112</v>
      </c>
      <c r="I6116">
        <v>0</v>
      </c>
      <c r="J6116">
        <v>3.99</v>
      </c>
      <c r="K6116">
        <v>0</v>
      </c>
    </row>
    <row r="6117" spans="1:11" x14ac:dyDescent="0.2">
      <c r="A6117">
        <v>50824</v>
      </c>
      <c r="B6117">
        <v>304724</v>
      </c>
      <c r="C6117" t="s">
        <v>9329</v>
      </c>
      <c r="D6117">
        <v>10</v>
      </c>
      <c r="E6117">
        <v>21</v>
      </c>
      <c r="F6117">
        <v>0</v>
      </c>
      <c r="G6117">
        <v>0</v>
      </c>
      <c r="H6117">
        <v>36</v>
      </c>
      <c r="I6117">
        <v>0</v>
      </c>
      <c r="J6117">
        <v>5.99</v>
      </c>
      <c r="K6117">
        <v>0</v>
      </c>
    </row>
    <row r="6118" spans="1:11" x14ac:dyDescent="0.2">
      <c r="A6118">
        <v>52132</v>
      </c>
      <c r="B6118">
        <v>304729</v>
      </c>
      <c r="C6118" t="s">
        <v>9330</v>
      </c>
      <c r="D6118">
        <v>10</v>
      </c>
      <c r="E6118">
        <v>6</v>
      </c>
      <c r="F6118">
        <v>378</v>
      </c>
      <c r="G6118">
        <v>2268</v>
      </c>
      <c r="H6118">
        <v>100</v>
      </c>
      <c r="I6118">
        <v>3.8</v>
      </c>
      <c r="J6118">
        <v>9.99</v>
      </c>
      <c r="K6118">
        <v>22657.32</v>
      </c>
    </row>
    <row r="6119" spans="1:11" x14ac:dyDescent="0.2">
      <c r="A6119">
        <v>46045</v>
      </c>
      <c r="B6119">
        <v>304754</v>
      </c>
      <c r="C6119" t="s">
        <v>9331</v>
      </c>
      <c r="D6119">
        <v>10</v>
      </c>
      <c r="E6119">
        <v>36</v>
      </c>
      <c r="F6119">
        <v>0</v>
      </c>
      <c r="G6119">
        <v>0</v>
      </c>
      <c r="H6119">
        <v>36</v>
      </c>
      <c r="I6119">
        <v>0</v>
      </c>
      <c r="J6119">
        <v>1</v>
      </c>
      <c r="K6119">
        <v>0</v>
      </c>
    </row>
    <row r="6120" spans="1:11" x14ac:dyDescent="0.2">
      <c r="A6120">
        <v>45820</v>
      </c>
      <c r="B6120">
        <v>304780</v>
      </c>
      <c r="C6120" t="s">
        <v>9332</v>
      </c>
      <c r="D6120">
        <v>10</v>
      </c>
      <c r="E6120">
        <v>4</v>
      </c>
      <c r="F6120">
        <v>-1</v>
      </c>
      <c r="G6120">
        <v>-4</v>
      </c>
      <c r="H6120">
        <v>72</v>
      </c>
      <c r="I6120">
        <v>0</v>
      </c>
      <c r="J6120">
        <v>21.99</v>
      </c>
      <c r="K6120">
        <v>-87.96</v>
      </c>
    </row>
    <row r="6121" spans="1:11" x14ac:dyDescent="0.2">
      <c r="A6121">
        <v>1396</v>
      </c>
      <c r="B6121">
        <v>304782</v>
      </c>
      <c r="C6121" t="s">
        <v>9333</v>
      </c>
      <c r="D6121">
        <v>10</v>
      </c>
      <c r="E6121">
        <v>6</v>
      </c>
      <c r="F6121">
        <v>62</v>
      </c>
      <c r="G6121">
        <v>372</v>
      </c>
      <c r="H6121">
        <v>80</v>
      </c>
      <c r="I6121">
        <v>0.8</v>
      </c>
      <c r="J6121">
        <v>19.989999999999998</v>
      </c>
      <c r="K6121">
        <v>7436.28</v>
      </c>
    </row>
    <row r="6122" spans="1:11" x14ac:dyDescent="0.2">
      <c r="A6122">
        <v>45821</v>
      </c>
      <c r="B6122">
        <v>304784</v>
      </c>
      <c r="C6122" t="s">
        <v>9334</v>
      </c>
      <c r="D6122">
        <v>10</v>
      </c>
      <c r="E6122">
        <v>20</v>
      </c>
      <c r="F6122">
        <v>0</v>
      </c>
      <c r="G6122">
        <v>0</v>
      </c>
      <c r="H6122">
        <v>18</v>
      </c>
      <c r="I6122">
        <v>0</v>
      </c>
      <c r="J6122">
        <v>4.99</v>
      </c>
      <c r="K6122">
        <v>0</v>
      </c>
    </row>
    <row r="6123" spans="1:11" x14ac:dyDescent="0.2">
      <c r="A6123">
        <v>45822</v>
      </c>
      <c r="B6123">
        <v>304786</v>
      </c>
      <c r="C6123" t="s">
        <v>9335</v>
      </c>
      <c r="D6123">
        <v>10</v>
      </c>
      <c r="E6123">
        <v>12</v>
      </c>
      <c r="F6123">
        <v>2</v>
      </c>
      <c r="G6123">
        <v>24</v>
      </c>
      <c r="H6123">
        <v>100</v>
      </c>
      <c r="I6123">
        <v>0</v>
      </c>
      <c r="J6123">
        <v>6.49</v>
      </c>
      <c r="K6123">
        <v>155.76</v>
      </c>
    </row>
    <row r="6124" spans="1:11" x14ac:dyDescent="0.2">
      <c r="A6124">
        <v>41412</v>
      </c>
      <c r="B6124">
        <v>304788</v>
      </c>
      <c r="C6124" t="s">
        <v>9336</v>
      </c>
      <c r="D6124">
        <v>10</v>
      </c>
      <c r="E6124">
        <v>24</v>
      </c>
      <c r="F6124">
        <v>1</v>
      </c>
      <c r="G6124">
        <v>24</v>
      </c>
      <c r="H6124">
        <v>56</v>
      </c>
      <c r="I6124">
        <v>0</v>
      </c>
      <c r="J6124">
        <v>1</v>
      </c>
      <c r="K6124">
        <v>24</v>
      </c>
    </row>
    <row r="6125" spans="1:11" x14ac:dyDescent="0.2">
      <c r="A6125">
        <v>50825</v>
      </c>
      <c r="B6125">
        <v>304794</v>
      </c>
      <c r="C6125" t="s">
        <v>7546</v>
      </c>
      <c r="D6125">
        <v>10</v>
      </c>
      <c r="E6125">
        <v>20</v>
      </c>
      <c r="F6125">
        <v>0</v>
      </c>
      <c r="G6125">
        <v>0</v>
      </c>
      <c r="H6125">
        <v>539</v>
      </c>
      <c r="I6125">
        <v>0</v>
      </c>
      <c r="J6125">
        <v>2.99</v>
      </c>
      <c r="K6125">
        <v>0</v>
      </c>
    </row>
    <row r="6126" spans="1:11" x14ac:dyDescent="0.2">
      <c r="A6126">
        <v>41413</v>
      </c>
      <c r="B6126">
        <v>304796</v>
      </c>
      <c r="C6126" t="s">
        <v>9337</v>
      </c>
      <c r="D6126">
        <v>10</v>
      </c>
      <c r="E6126">
        <v>12</v>
      </c>
      <c r="F6126">
        <v>2</v>
      </c>
      <c r="G6126">
        <v>24</v>
      </c>
      <c r="H6126">
        <v>128</v>
      </c>
      <c r="I6126">
        <v>0</v>
      </c>
      <c r="J6126">
        <v>1</v>
      </c>
      <c r="K6126">
        <v>24</v>
      </c>
    </row>
    <row r="6127" spans="1:11" x14ac:dyDescent="0.2">
      <c r="A6127">
        <v>41414</v>
      </c>
      <c r="B6127">
        <v>304798</v>
      </c>
      <c r="C6127" t="s">
        <v>9338</v>
      </c>
      <c r="D6127">
        <v>10</v>
      </c>
      <c r="E6127">
        <v>20</v>
      </c>
      <c r="F6127">
        <v>3</v>
      </c>
      <c r="G6127">
        <v>60</v>
      </c>
      <c r="H6127">
        <v>72</v>
      </c>
      <c r="I6127">
        <v>0</v>
      </c>
      <c r="J6127">
        <v>1</v>
      </c>
      <c r="K6127">
        <v>60</v>
      </c>
    </row>
    <row r="6128" spans="1:11" x14ac:dyDescent="0.2">
      <c r="A6128">
        <v>45823</v>
      </c>
      <c r="B6128">
        <v>304800</v>
      </c>
      <c r="C6128" t="s">
        <v>9339</v>
      </c>
      <c r="D6128">
        <v>10</v>
      </c>
      <c r="E6128">
        <v>10</v>
      </c>
      <c r="F6128">
        <v>0</v>
      </c>
      <c r="G6128">
        <v>0</v>
      </c>
      <c r="H6128">
        <v>54</v>
      </c>
      <c r="I6128">
        <v>0</v>
      </c>
      <c r="J6128">
        <v>6.49</v>
      </c>
      <c r="K6128">
        <v>0</v>
      </c>
    </row>
    <row r="6129" spans="1:11" x14ac:dyDescent="0.2">
      <c r="A6129">
        <v>45824</v>
      </c>
      <c r="B6129">
        <v>304802</v>
      </c>
      <c r="C6129" t="s">
        <v>9340</v>
      </c>
      <c r="D6129">
        <v>10</v>
      </c>
      <c r="E6129">
        <v>20</v>
      </c>
      <c r="F6129">
        <v>1</v>
      </c>
      <c r="G6129">
        <v>20</v>
      </c>
      <c r="H6129">
        <v>54</v>
      </c>
      <c r="I6129">
        <v>0</v>
      </c>
      <c r="J6129">
        <v>4.99</v>
      </c>
      <c r="K6129">
        <v>99.8</v>
      </c>
    </row>
    <row r="6130" spans="1:11" x14ac:dyDescent="0.2">
      <c r="A6130">
        <v>50826</v>
      </c>
      <c r="B6130">
        <v>304804</v>
      </c>
      <c r="C6130" t="s">
        <v>7545</v>
      </c>
      <c r="D6130">
        <v>10</v>
      </c>
      <c r="E6130">
        <v>4</v>
      </c>
      <c r="F6130">
        <v>0</v>
      </c>
      <c r="G6130">
        <v>0</v>
      </c>
      <c r="H6130">
        <v>48</v>
      </c>
      <c r="I6130">
        <v>0</v>
      </c>
      <c r="J6130">
        <v>27.99</v>
      </c>
      <c r="K6130">
        <v>0</v>
      </c>
    </row>
    <row r="6131" spans="1:11" x14ac:dyDescent="0.2">
      <c r="A6131">
        <v>43856</v>
      </c>
      <c r="B6131">
        <v>304815</v>
      </c>
      <c r="C6131" t="s">
        <v>9341</v>
      </c>
      <c r="D6131">
        <v>10</v>
      </c>
      <c r="E6131">
        <v>30</v>
      </c>
      <c r="F6131">
        <v>0</v>
      </c>
      <c r="G6131">
        <v>0</v>
      </c>
      <c r="H6131">
        <v>60</v>
      </c>
      <c r="I6131">
        <v>0</v>
      </c>
      <c r="J6131">
        <v>4.99</v>
      </c>
      <c r="K6131">
        <v>0</v>
      </c>
    </row>
    <row r="6132" spans="1:11" x14ac:dyDescent="0.2">
      <c r="A6132">
        <v>46828</v>
      </c>
      <c r="B6132">
        <v>304834</v>
      </c>
      <c r="C6132" t="s">
        <v>9342</v>
      </c>
      <c r="D6132">
        <v>10</v>
      </c>
      <c r="E6132">
        <v>10</v>
      </c>
      <c r="F6132">
        <v>1</v>
      </c>
      <c r="G6132">
        <v>10</v>
      </c>
      <c r="H6132">
        <v>54</v>
      </c>
      <c r="I6132">
        <v>0</v>
      </c>
      <c r="J6132">
        <v>5.99</v>
      </c>
      <c r="K6132">
        <v>59.9</v>
      </c>
    </row>
    <row r="6133" spans="1:11" x14ac:dyDescent="0.2">
      <c r="A6133">
        <v>43406</v>
      </c>
      <c r="B6133">
        <v>304842</v>
      </c>
      <c r="C6133" t="s">
        <v>7916</v>
      </c>
      <c r="D6133">
        <v>10</v>
      </c>
      <c r="E6133">
        <v>20</v>
      </c>
      <c r="F6133">
        <v>0</v>
      </c>
      <c r="G6133">
        <v>0</v>
      </c>
      <c r="H6133">
        <v>60</v>
      </c>
      <c r="I6133">
        <v>0</v>
      </c>
      <c r="J6133">
        <v>1</v>
      </c>
      <c r="K6133">
        <v>0</v>
      </c>
    </row>
    <row r="6134" spans="1:11" x14ac:dyDescent="0.2">
      <c r="A6134">
        <v>47832</v>
      </c>
      <c r="B6134">
        <v>304844</v>
      </c>
      <c r="C6134" t="s">
        <v>9343</v>
      </c>
      <c r="D6134">
        <v>10</v>
      </c>
      <c r="E6134">
        <v>6</v>
      </c>
      <c r="F6134">
        <v>3</v>
      </c>
      <c r="G6134">
        <v>18</v>
      </c>
      <c r="H6134">
        <v>80</v>
      </c>
      <c r="I6134">
        <v>0</v>
      </c>
      <c r="J6134">
        <v>7.99</v>
      </c>
      <c r="K6134">
        <v>143.82</v>
      </c>
    </row>
    <row r="6135" spans="1:11" x14ac:dyDescent="0.2">
      <c r="A6135">
        <v>42400</v>
      </c>
      <c r="B6135">
        <v>304846</v>
      </c>
      <c r="C6135" t="s">
        <v>9344</v>
      </c>
      <c r="D6135">
        <v>10</v>
      </c>
      <c r="E6135">
        <v>24</v>
      </c>
      <c r="F6135">
        <v>1</v>
      </c>
      <c r="G6135">
        <v>24</v>
      </c>
      <c r="H6135">
        <v>96</v>
      </c>
      <c r="I6135">
        <v>0</v>
      </c>
      <c r="J6135">
        <v>1</v>
      </c>
      <c r="K6135">
        <v>24</v>
      </c>
    </row>
    <row r="6136" spans="1:11" x14ac:dyDescent="0.2">
      <c r="A6136">
        <v>47833</v>
      </c>
      <c r="B6136">
        <v>304848</v>
      </c>
      <c r="C6136" t="s">
        <v>7420</v>
      </c>
      <c r="D6136">
        <v>10</v>
      </c>
      <c r="E6136">
        <v>10</v>
      </c>
      <c r="F6136">
        <v>1</v>
      </c>
      <c r="G6136">
        <v>10</v>
      </c>
      <c r="H6136">
        <v>168</v>
      </c>
      <c r="I6136">
        <v>0</v>
      </c>
      <c r="J6136">
        <v>3.49</v>
      </c>
      <c r="K6136">
        <v>34.9</v>
      </c>
    </row>
    <row r="6137" spans="1:11" x14ac:dyDescent="0.2">
      <c r="A6137">
        <v>46829</v>
      </c>
      <c r="B6137">
        <v>304853</v>
      </c>
      <c r="C6137" t="s">
        <v>9345</v>
      </c>
      <c r="D6137">
        <v>10</v>
      </c>
      <c r="E6137">
        <v>14</v>
      </c>
      <c r="F6137">
        <v>0</v>
      </c>
      <c r="G6137">
        <v>0</v>
      </c>
      <c r="H6137">
        <v>20</v>
      </c>
      <c r="I6137">
        <v>0</v>
      </c>
      <c r="J6137">
        <v>3.99</v>
      </c>
      <c r="K6137">
        <v>0</v>
      </c>
    </row>
    <row r="6138" spans="1:11" x14ac:dyDescent="0.2">
      <c r="A6138">
        <v>47415</v>
      </c>
      <c r="B6138">
        <v>304855</v>
      </c>
      <c r="C6138" t="s">
        <v>7567</v>
      </c>
      <c r="D6138">
        <v>10</v>
      </c>
      <c r="E6138">
        <v>4</v>
      </c>
      <c r="F6138">
        <v>0</v>
      </c>
      <c r="G6138">
        <v>0</v>
      </c>
      <c r="H6138">
        <v>20</v>
      </c>
      <c r="I6138">
        <v>0</v>
      </c>
      <c r="J6138">
        <v>16.989999999999998</v>
      </c>
      <c r="K6138">
        <v>0</v>
      </c>
    </row>
    <row r="6139" spans="1:11" x14ac:dyDescent="0.2">
      <c r="A6139">
        <v>47416</v>
      </c>
      <c r="B6139">
        <v>304859</v>
      </c>
      <c r="C6139" t="s">
        <v>9346</v>
      </c>
      <c r="D6139">
        <v>10</v>
      </c>
      <c r="E6139">
        <v>1</v>
      </c>
      <c r="F6139">
        <v>7</v>
      </c>
      <c r="G6139">
        <v>7</v>
      </c>
      <c r="H6139">
        <v>24</v>
      </c>
      <c r="I6139">
        <v>0.3</v>
      </c>
      <c r="J6139">
        <v>53</v>
      </c>
      <c r="K6139">
        <v>371</v>
      </c>
    </row>
    <row r="6140" spans="1:11" x14ac:dyDescent="0.2">
      <c r="A6140">
        <v>44407</v>
      </c>
      <c r="B6140">
        <v>304861</v>
      </c>
      <c r="C6140" t="s">
        <v>9345</v>
      </c>
      <c r="D6140">
        <v>10</v>
      </c>
      <c r="E6140">
        <v>16</v>
      </c>
      <c r="F6140">
        <v>0</v>
      </c>
      <c r="G6140">
        <v>0</v>
      </c>
      <c r="H6140">
        <v>100</v>
      </c>
      <c r="I6140">
        <v>0</v>
      </c>
      <c r="J6140">
        <v>1</v>
      </c>
      <c r="K6140">
        <v>0</v>
      </c>
    </row>
    <row r="6141" spans="1:11" x14ac:dyDescent="0.2">
      <c r="A6141">
        <v>50126</v>
      </c>
      <c r="B6141">
        <v>304874</v>
      </c>
      <c r="C6141" t="s">
        <v>9347</v>
      </c>
      <c r="D6141">
        <v>10</v>
      </c>
      <c r="E6141">
        <v>32</v>
      </c>
      <c r="F6141">
        <v>7</v>
      </c>
      <c r="G6141">
        <v>224</v>
      </c>
      <c r="H6141">
        <v>40</v>
      </c>
      <c r="I6141">
        <v>0.2</v>
      </c>
      <c r="J6141">
        <v>0.99</v>
      </c>
      <c r="K6141">
        <v>221.76</v>
      </c>
    </row>
    <row r="6142" spans="1:11" x14ac:dyDescent="0.2">
      <c r="A6142">
        <v>50127</v>
      </c>
      <c r="B6142">
        <v>304876</v>
      </c>
      <c r="C6142" t="s">
        <v>7922</v>
      </c>
      <c r="D6142">
        <v>10</v>
      </c>
      <c r="E6142">
        <v>28</v>
      </c>
      <c r="F6142">
        <v>3</v>
      </c>
      <c r="G6142">
        <v>84</v>
      </c>
      <c r="H6142">
        <v>100</v>
      </c>
      <c r="I6142">
        <v>0</v>
      </c>
      <c r="J6142">
        <v>1.99</v>
      </c>
      <c r="K6142">
        <v>167.16</v>
      </c>
    </row>
    <row r="6143" spans="1:11" x14ac:dyDescent="0.2">
      <c r="A6143">
        <v>47834</v>
      </c>
      <c r="B6143">
        <v>304880</v>
      </c>
      <c r="C6143" t="s">
        <v>9348</v>
      </c>
      <c r="D6143">
        <v>10</v>
      </c>
      <c r="E6143">
        <v>6</v>
      </c>
      <c r="F6143">
        <v>10</v>
      </c>
      <c r="G6143">
        <v>60</v>
      </c>
      <c r="H6143">
        <v>50</v>
      </c>
      <c r="I6143">
        <v>0.2</v>
      </c>
      <c r="J6143">
        <v>12.99</v>
      </c>
      <c r="K6143">
        <v>779.4</v>
      </c>
    </row>
    <row r="6144" spans="1:11" x14ac:dyDescent="0.2">
      <c r="A6144">
        <v>44435</v>
      </c>
      <c r="B6144">
        <v>304923</v>
      </c>
      <c r="C6144" t="s">
        <v>9349</v>
      </c>
      <c r="D6144">
        <v>10</v>
      </c>
      <c r="E6144">
        <v>15</v>
      </c>
      <c r="F6144">
        <v>0</v>
      </c>
      <c r="G6144">
        <v>0</v>
      </c>
      <c r="H6144">
        <v>40</v>
      </c>
      <c r="I6144">
        <v>0</v>
      </c>
      <c r="J6144">
        <v>6.99</v>
      </c>
      <c r="K6144">
        <v>0</v>
      </c>
    </row>
    <row r="6145" spans="1:11" x14ac:dyDescent="0.2">
      <c r="A6145">
        <v>48045</v>
      </c>
      <c r="B6145">
        <v>304940</v>
      </c>
      <c r="C6145" t="s">
        <v>9350</v>
      </c>
      <c r="D6145">
        <v>10</v>
      </c>
      <c r="E6145">
        <v>10</v>
      </c>
      <c r="F6145">
        <v>-2</v>
      </c>
      <c r="G6145">
        <v>-20</v>
      </c>
      <c r="H6145">
        <v>66</v>
      </c>
      <c r="I6145">
        <v>0</v>
      </c>
      <c r="J6145">
        <v>5.99</v>
      </c>
      <c r="K6145">
        <v>-119.8</v>
      </c>
    </row>
    <row r="6146" spans="1:11" x14ac:dyDescent="0.2">
      <c r="A6146">
        <v>46048</v>
      </c>
      <c r="B6146">
        <v>304948</v>
      </c>
      <c r="C6146" t="s">
        <v>9351</v>
      </c>
      <c r="D6146">
        <v>10</v>
      </c>
      <c r="E6146">
        <v>22</v>
      </c>
      <c r="F6146">
        <v>0</v>
      </c>
      <c r="G6146">
        <v>0</v>
      </c>
      <c r="H6146">
        <v>30</v>
      </c>
      <c r="I6146">
        <v>0</v>
      </c>
      <c r="J6146">
        <v>1</v>
      </c>
      <c r="K6146">
        <v>0</v>
      </c>
    </row>
    <row r="6147" spans="1:11" x14ac:dyDescent="0.2">
      <c r="A6147">
        <v>48046</v>
      </c>
      <c r="B6147">
        <v>304950</v>
      </c>
      <c r="C6147" t="s">
        <v>9352</v>
      </c>
      <c r="D6147">
        <v>10</v>
      </c>
      <c r="E6147">
        <v>10</v>
      </c>
      <c r="F6147">
        <v>0</v>
      </c>
      <c r="G6147">
        <v>0</v>
      </c>
      <c r="H6147">
        <v>6</v>
      </c>
      <c r="I6147">
        <v>0</v>
      </c>
      <c r="J6147">
        <v>12.49</v>
      </c>
      <c r="K6147">
        <v>0</v>
      </c>
    </row>
    <row r="6148" spans="1:11" x14ac:dyDescent="0.2">
      <c r="A6148">
        <v>48000</v>
      </c>
      <c r="B6148">
        <v>304952</v>
      </c>
      <c r="C6148" t="s">
        <v>9353</v>
      </c>
      <c r="D6148">
        <v>10</v>
      </c>
      <c r="E6148">
        <v>8</v>
      </c>
      <c r="F6148">
        <v>2</v>
      </c>
      <c r="G6148">
        <v>16</v>
      </c>
      <c r="H6148">
        <v>120</v>
      </c>
      <c r="I6148">
        <v>0</v>
      </c>
      <c r="J6148">
        <v>4.99</v>
      </c>
      <c r="K6148">
        <v>79.84</v>
      </c>
    </row>
    <row r="6149" spans="1:11" x14ac:dyDescent="0.2">
      <c r="A6149">
        <v>48047</v>
      </c>
      <c r="B6149">
        <v>304956</v>
      </c>
      <c r="C6149" t="s">
        <v>9354</v>
      </c>
      <c r="D6149">
        <v>10</v>
      </c>
      <c r="E6149">
        <v>8</v>
      </c>
      <c r="F6149">
        <v>0</v>
      </c>
      <c r="G6149">
        <v>0</v>
      </c>
      <c r="H6149">
        <v>36</v>
      </c>
      <c r="I6149">
        <v>0</v>
      </c>
      <c r="J6149">
        <v>12.49</v>
      </c>
      <c r="K6149">
        <v>0</v>
      </c>
    </row>
    <row r="6150" spans="1:11" x14ac:dyDescent="0.2">
      <c r="A6150">
        <v>48048</v>
      </c>
      <c r="B6150">
        <v>304960</v>
      </c>
      <c r="C6150" t="s">
        <v>9355</v>
      </c>
      <c r="D6150">
        <v>10</v>
      </c>
      <c r="E6150">
        <v>6</v>
      </c>
      <c r="F6150">
        <v>0</v>
      </c>
      <c r="G6150">
        <v>0</v>
      </c>
      <c r="H6150">
        <v>135</v>
      </c>
      <c r="I6150">
        <v>0</v>
      </c>
      <c r="J6150">
        <v>3.99</v>
      </c>
      <c r="K6150">
        <v>0</v>
      </c>
    </row>
    <row r="6151" spans="1:11" x14ac:dyDescent="0.2">
      <c r="A6151">
        <v>48049</v>
      </c>
      <c r="B6151">
        <v>304962</v>
      </c>
      <c r="C6151" t="s">
        <v>9356</v>
      </c>
      <c r="D6151">
        <v>10</v>
      </c>
      <c r="E6151">
        <v>18</v>
      </c>
      <c r="F6151">
        <v>0</v>
      </c>
      <c r="G6151">
        <v>0</v>
      </c>
      <c r="H6151">
        <v>96</v>
      </c>
      <c r="I6151">
        <v>0</v>
      </c>
      <c r="J6151">
        <v>2.4900000000000002</v>
      </c>
      <c r="K6151">
        <v>0</v>
      </c>
    </row>
    <row r="6152" spans="1:11" x14ac:dyDescent="0.2">
      <c r="A6152">
        <v>46830</v>
      </c>
      <c r="B6152">
        <v>304966</v>
      </c>
      <c r="C6152" t="s">
        <v>9357</v>
      </c>
      <c r="D6152">
        <v>10</v>
      </c>
      <c r="E6152">
        <v>10</v>
      </c>
      <c r="F6152">
        <v>0</v>
      </c>
      <c r="G6152">
        <v>0</v>
      </c>
      <c r="H6152">
        <v>70</v>
      </c>
      <c r="I6152">
        <v>0</v>
      </c>
      <c r="J6152">
        <v>4.99</v>
      </c>
      <c r="K6152">
        <v>0</v>
      </c>
    </row>
    <row r="6153" spans="1:11" x14ac:dyDescent="0.2">
      <c r="A6153">
        <v>46831</v>
      </c>
      <c r="B6153">
        <v>304972</v>
      </c>
      <c r="C6153" t="s">
        <v>7624</v>
      </c>
      <c r="D6153">
        <v>10</v>
      </c>
      <c r="E6153">
        <v>12</v>
      </c>
      <c r="F6153">
        <v>0</v>
      </c>
      <c r="G6153">
        <v>0</v>
      </c>
      <c r="H6153">
        <v>28</v>
      </c>
      <c r="I6153">
        <v>0</v>
      </c>
      <c r="J6153">
        <v>3.49</v>
      </c>
      <c r="K6153">
        <v>0</v>
      </c>
    </row>
    <row r="6154" spans="1:11" x14ac:dyDescent="0.2">
      <c r="A6154">
        <v>46832</v>
      </c>
      <c r="B6154">
        <v>304982</v>
      </c>
      <c r="C6154" t="s">
        <v>8049</v>
      </c>
      <c r="D6154">
        <v>10</v>
      </c>
      <c r="E6154">
        <v>6</v>
      </c>
      <c r="F6154">
        <v>0</v>
      </c>
      <c r="G6154">
        <v>0</v>
      </c>
      <c r="H6154">
        <v>50</v>
      </c>
      <c r="I6154">
        <v>0</v>
      </c>
      <c r="J6154">
        <v>16.989999999999998</v>
      </c>
      <c r="K6154">
        <v>0</v>
      </c>
    </row>
    <row r="6155" spans="1:11" x14ac:dyDescent="0.2">
      <c r="A6155">
        <v>46833</v>
      </c>
      <c r="B6155">
        <v>304984</v>
      </c>
      <c r="C6155" t="s">
        <v>9358</v>
      </c>
      <c r="D6155">
        <v>10</v>
      </c>
      <c r="E6155">
        <v>9</v>
      </c>
      <c r="F6155">
        <v>0</v>
      </c>
      <c r="G6155">
        <v>0</v>
      </c>
      <c r="H6155">
        <v>100</v>
      </c>
      <c r="I6155">
        <v>0</v>
      </c>
      <c r="J6155">
        <v>3.99</v>
      </c>
      <c r="K6155">
        <v>0</v>
      </c>
    </row>
    <row r="6156" spans="1:11" x14ac:dyDescent="0.2">
      <c r="A6156">
        <v>48835</v>
      </c>
      <c r="B6156">
        <v>304986</v>
      </c>
      <c r="C6156" t="s">
        <v>7713</v>
      </c>
      <c r="D6156">
        <v>10</v>
      </c>
      <c r="E6156">
        <v>40</v>
      </c>
      <c r="F6156">
        <v>0</v>
      </c>
      <c r="G6156">
        <v>0</v>
      </c>
      <c r="H6156">
        <v>108</v>
      </c>
      <c r="I6156">
        <v>0</v>
      </c>
      <c r="J6156">
        <v>3.99</v>
      </c>
      <c r="K6156">
        <v>0</v>
      </c>
    </row>
    <row r="6157" spans="1:11" x14ac:dyDescent="0.2">
      <c r="A6157">
        <v>51829</v>
      </c>
      <c r="B6157">
        <v>304992</v>
      </c>
      <c r="C6157" t="s">
        <v>9359</v>
      </c>
      <c r="D6157">
        <v>10</v>
      </c>
      <c r="E6157">
        <v>10</v>
      </c>
      <c r="F6157">
        <v>9</v>
      </c>
      <c r="G6157">
        <v>87</v>
      </c>
      <c r="H6157">
        <v>57</v>
      </c>
      <c r="I6157">
        <v>0.2</v>
      </c>
      <c r="J6157">
        <v>12.99</v>
      </c>
      <c r="K6157">
        <v>1130.1300000000001</v>
      </c>
    </row>
    <row r="6158" spans="1:11" x14ac:dyDescent="0.2">
      <c r="A6158">
        <v>51830</v>
      </c>
      <c r="B6158">
        <v>305000</v>
      </c>
      <c r="C6158" t="s">
        <v>6468</v>
      </c>
      <c r="D6158">
        <v>10</v>
      </c>
      <c r="E6158">
        <v>1</v>
      </c>
      <c r="F6158">
        <v>12</v>
      </c>
      <c r="G6158">
        <v>12</v>
      </c>
      <c r="H6158">
        <v>36</v>
      </c>
      <c r="I6158">
        <v>0.3</v>
      </c>
      <c r="J6158">
        <v>39.99</v>
      </c>
      <c r="K6158">
        <v>479.88</v>
      </c>
    </row>
    <row r="6159" spans="1:11" x14ac:dyDescent="0.2">
      <c r="A6159">
        <v>45401</v>
      </c>
      <c r="B6159">
        <v>305019</v>
      </c>
      <c r="C6159" t="s">
        <v>9360</v>
      </c>
      <c r="D6159">
        <v>10</v>
      </c>
      <c r="E6159">
        <v>14</v>
      </c>
      <c r="F6159">
        <v>1</v>
      </c>
      <c r="G6159">
        <v>14</v>
      </c>
      <c r="H6159">
        <v>16</v>
      </c>
      <c r="I6159">
        <v>0.1</v>
      </c>
      <c r="J6159">
        <v>19.989999999999998</v>
      </c>
      <c r="K6159">
        <v>279.86</v>
      </c>
    </row>
    <row r="6160" spans="1:11" x14ac:dyDescent="0.2">
      <c r="A6160">
        <v>45418</v>
      </c>
      <c r="B6160">
        <v>305021</v>
      </c>
      <c r="C6160" t="s">
        <v>9361</v>
      </c>
      <c r="D6160">
        <v>10</v>
      </c>
      <c r="E6160">
        <v>14</v>
      </c>
      <c r="F6160">
        <v>1</v>
      </c>
      <c r="G6160">
        <v>14</v>
      </c>
      <c r="H6160">
        <v>12</v>
      </c>
      <c r="I6160">
        <v>0.1</v>
      </c>
      <c r="J6160">
        <v>27.99</v>
      </c>
      <c r="K6160">
        <v>391.86</v>
      </c>
    </row>
    <row r="6161" spans="1:11" x14ac:dyDescent="0.2">
      <c r="A6161">
        <v>45419</v>
      </c>
      <c r="B6161">
        <v>305023</v>
      </c>
      <c r="C6161" t="s">
        <v>9362</v>
      </c>
      <c r="D6161">
        <v>10</v>
      </c>
      <c r="E6161">
        <v>14</v>
      </c>
      <c r="F6161">
        <v>1</v>
      </c>
      <c r="G6161">
        <v>14</v>
      </c>
      <c r="H6161">
        <v>16</v>
      </c>
      <c r="I6161">
        <v>0.1</v>
      </c>
      <c r="J6161">
        <v>19.989999999999998</v>
      </c>
      <c r="K6161">
        <v>279.86</v>
      </c>
    </row>
    <row r="6162" spans="1:11" x14ac:dyDescent="0.2">
      <c r="A6162">
        <v>45420</v>
      </c>
      <c r="B6162">
        <v>305025</v>
      </c>
      <c r="C6162" t="s">
        <v>9363</v>
      </c>
      <c r="D6162">
        <v>10</v>
      </c>
      <c r="E6162">
        <v>14</v>
      </c>
      <c r="F6162">
        <v>2</v>
      </c>
      <c r="G6162">
        <v>28</v>
      </c>
      <c r="H6162">
        <v>12</v>
      </c>
      <c r="I6162">
        <v>0.2</v>
      </c>
      <c r="J6162">
        <v>27.99</v>
      </c>
      <c r="K6162">
        <v>783.72</v>
      </c>
    </row>
    <row r="6163" spans="1:11" x14ac:dyDescent="0.2">
      <c r="A6163">
        <v>41415</v>
      </c>
      <c r="B6163">
        <v>305041</v>
      </c>
      <c r="C6163" t="s">
        <v>9364</v>
      </c>
      <c r="D6163">
        <v>10</v>
      </c>
      <c r="E6163">
        <v>30</v>
      </c>
      <c r="F6163">
        <v>0</v>
      </c>
      <c r="G6163">
        <v>0</v>
      </c>
      <c r="H6163">
        <v>60</v>
      </c>
      <c r="I6163">
        <v>0</v>
      </c>
      <c r="J6163">
        <v>1</v>
      </c>
      <c r="K6163">
        <v>0</v>
      </c>
    </row>
    <row r="6164" spans="1:11" x14ac:dyDescent="0.2">
      <c r="A6164">
        <v>45424</v>
      </c>
      <c r="B6164">
        <v>305162</v>
      </c>
      <c r="C6164" t="s">
        <v>9365</v>
      </c>
      <c r="D6164">
        <v>10</v>
      </c>
      <c r="E6164">
        <v>14</v>
      </c>
      <c r="F6164">
        <v>1</v>
      </c>
      <c r="G6164">
        <v>14</v>
      </c>
      <c r="H6164">
        <v>100</v>
      </c>
      <c r="I6164">
        <v>0</v>
      </c>
      <c r="J6164">
        <v>7.99</v>
      </c>
      <c r="K6164">
        <v>111.86</v>
      </c>
    </row>
    <row r="6165" spans="1:11" x14ac:dyDescent="0.2">
      <c r="A6165">
        <v>45409</v>
      </c>
      <c r="B6165">
        <v>305163</v>
      </c>
      <c r="C6165" t="s">
        <v>9366</v>
      </c>
      <c r="D6165">
        <v>10</v>
      </c>
      <c r="E6165">
        <v>14</v>
      </c>
      <c r="F6165">
        <v>2</v>
      </c>
      <c r="G6165">
        <v>28</v>
      </c>
      <c r="H6165">
        <v>5</v>
      </c>
      <c r="I6165">
        <v>0.4</v>
      </c>
      <c r="J6165">
        <v>7.99</v>
      </c>
      <c r="K6165">
        <v>223.72</v>
      </c>
    </row>
    <row r="6166" spans="1:11" x14ac:dyDescent="0.2">
      <c r="A6166">
        <v>45410</v>
      </c>
      <c r="B6166">
        <v>305164</v>
      </c>
      <c r="C6166" t="s">
        <v>9367</v>
      </c>
      <c r="D6166">
        <v>10</v>
      </c>
      <c r="E6166">
        <v>16</v>
      </c>
      <c r="F6166">
        <v>2</v>
      </c>
      <c r="G6166">
        <v>32</v>
      </c>
      <c r="H6166">
        <v>28</v>
      </c>
      <c r="I6166">
        <v>0.1</v>
      </c>
      <c r="J6166">
        <v>9.99</v>
      </c>
      <c r="K6166">
        <v>319.68</v>
      </c>
    </row>
    <row r="6167" spans="1:11" x14ac:dyDescent="0.2">
      <c r="A6167">
        <v>45421</v>
      </c>
      <c r="B6167">
        <v>305165</v>
      </c>
      <c r="C6167" t="s">
        <v>9368</v>
      </c>
      <c r="D6167">
        <v>10</v>
      </c>
      <c r="E6167">
        <v>16</v>
      </c>
      <c r="F6167">
        <v>1</v>
      </c>
      <c r="G6167">
        <v>16</v>
      </c>
      <c r="H6167">
        <v>35</v>
      </c>
      <c r="I6167">
        <v>0</v>
      </c>
      <c r="J6167">
        <v>9.99</v>
      </c>
      <c r="K6167">
        <v>159.84</v>
      </c>
    </row>
    <row r="6168" spans="1:11" x14ac:dyDescent="0.2">
      <c r="A6168">
        <v>43400</v>
      </c>
      <c r="B6168">
        <v>305167</v>
      </c>
      <c r="C6168" t="s">
        <v>9369</v>
      </c>
      <c r="D6168">
        <v>10</v>
      </c>
      <c r="E6168">
        <v>14</v>
      </c>
      <c r="F6168">
        <v>0</v>
      </c>
      <c r="G6168">
        <v>0</v>
      </c>
      <c r="H6168">
        <v>84</v>
      </c>
      <c r="I6168">
        <v>0</v>
      </c>
      <c r="J6168">
        <v>1</v>
      </c>
      <c r="K6168">
        <v>0</v>
      </c>
    </row>
    <row r="6169" spans="1:11" x14ac:dyDescent="0.2">
      <c r="A6169">
        <v>43401</v>
      </c>
      <c r="B6169">
        <v>305168</v>
      </c>
      <c r="C6169" t="s">
        <v>9370</v>
      </c>
      <c r="D6169">
        <v>10</v>
      </c>
      <c r="E6169">
        <v>14</v>
      </c>
      <c r="F6169">
        <v>0</v>
      </c>
      <c r="G6169">
        <v>0</v>
      </c>
      <c r="H6169">
        <v>105</v>
      </c>
      <c r="I6169">
        <v>0</v>
      </c>
      <c r="J6169">
        <v>1</v>
      </c>
      <c r="K6169">
        <v>0</v>
      </c>
    </row>
    <row r="6170" spans="1:11" x14ac:dyDescent="0.2">
      <c r="A6170">
        <v>43402</v>
      </c>
      <c r="B6170">
        <v>305169</v>
      </c>
      <c r="C6170" t="s">
        <v>7603</v>
      </c>
      <c r="D6170">
        <v>10</v>
      </c>
      <c r="E6170">
        <v>14</v>
      </c>
      <c r="F6170">
        <v>0</v>
      </c>
      <c r="G6170">
        <v>0</v>
      </c>
      <c r="H6170">
        <v>112</v>
      </c>
      <c r="I6170">
        <v>0</v>
      </c>
      <c r="J6170">
        <v>1</v>
      </c>
      <c r="K6170">
        <v>0</v>
      </c>
    </row>
    <row r="6171" spans="1:11" x14ac:dyDescent="0.2">
      <c r="A6171">
        <v>43407</v>
      </c>
      <c r="B6171">
        <v>305170</v>
      </c>
      <c r="C6171" t="s">
        <v>8915</v>
      </c>
      <c r="D6171">
        <v>10</v>
      </c>
      <c r="E6171">
        <v>14</v>
      </c>
      <c r="F6171">
        <v>0</v>
      </c>
      <c r="G6171">
        <v>0</v>
      </c>
      <c r="H6171">
        <v>36</v>
      </c>
      <c r="I6171">
        <v>0</v>
      </c>
      <c r="J6171">
        <v>1</v>
      </c>
      <c r="K6171">
        <v>0</v>
      </c>
    </row>
    <row r="6172" spans="1:11" x14ac:dyDescent="0.2">
      <c r="A6172">
        <v>50128</v>
      </c>
      <c r="B6172">
        <v>305214</v>
      </c>
      <c r="C6172" t="s">
        <v>9371</v>
      </c>
      <c r="D6172">
        <v>10</v>
      </c>
      <c r="E6172">
        <v>12</v>
      </c>
      <c r="F6172">
        <v>1</v>
      </c>
      <c r="G6172">
        <v>12</v>
      </c>
      <c r="H6172">
        <v>70</v>
      </c>
      <c r="I6172">
        <v>0</v>
      </c>
      <c r="J6172">
        <v>8.99</v>
      </c>
      <c r="K6172">
        <v>107.88</v>
      </c>
    </row>
    <row r="6173" spans="1:11" x14ac:dyDescent="0.2">
      <c r="A6173">
        <v>50129</v>
      </c>
      <c r="B6173">
        <v>305215</v>
      </c>
      <c r="C6173" t="s">
        <v>9370</v>
      </c>
      <c r="D6173">
        <v>10</v>
      </c>
      <c r="E6173">
        <v>14</v>
      </c>
      <c r="F6173">
        <v>0</v>
      </c>
      <c r="G6173">
        <v>0</v>
      </c>
      <c r="H6173">
        <v>56</v>
      </c>
      <c r="I6173">
        <v>0</v>
      </c>
      <c r="J6173">
        <v>8.99</v>
      </c>
      <c r="K6173">
        <v>0</v>
      </c>
    </row>
    <row r="6174" spans="1:11" x14ac:dyDescent="0.2">
      <c r="A6174">
        <v>50130</v>
      </c>
      <c r="B6174">
        <v>305216</v>
      </c>
      <c r="C6174" t="s">
        <v>7603</v>
      </c>
      <c r="D6174">
        <v>10</v>
      </c>
      <c r="E6174">
        <v>14</v>
      </c>
      <c r="F6174">
        <v>4</v>
      </c>
      <c r="G6174">
        <v>56</v>
      </c>
      <c r="H6174">
        <v>30</v>
      </c>
      <c r="I6174">
        <v>0.1</v>
      </c>
      <c r="J6174">
        <v>8.99</v>
      </c>
      <c r="K6174">
        <v>503.44</v>
      </c>
    </row>
    <row r="6175" spans="1:11" x14ac:dyDescent="0.2">
      <c r="A6175">
        <v>50131</v>
      </c>
      <c r="B6175">
        <v>305218</v>
      </c>
      <c r="C6175" t="s">
        <v>9372</v>
      </c>
      <c r="D6175">
        <v>10</v>
      </c>
      <c r="E6175">
        <v>14</v>
      </c>
      <c r="F6175">
        <v>0</v>
      </c>
      <c r="G6175">
        <v>0</v>
      </c>
      <c r="H6175">
        <v>25</v>
      </c>
      <c r="I6175">
        <v>0</v>
      </c>
      <c r="J6175">
        <v>17.989999999999998</v>
      </c>
      <c r="K6175">
        <v>0</v>
      </c>
    </row>
    <row r="6176" spans="1:11" x14ac:dyDescent="0.2">
      <c r="A6176">
        <v>50132</v>
      </c>
      <c r="B6176">
        <v>305219</v>
      </c>
      <c r="C6176" t="s">
        <v>9373</v>
      </c>
      <c r="D6176">
        <v>10</v>
      </c>
      <c r="E6176">
        <v>14</v>
      </c>
      <c r="F6176">
        <v>2</v>
      </c>
      <c r="G6176">
        <v>28</v>
      </c>
      <c r="H6176">
        <v>48</v>
      </c>
      <c r="I6176">
        <v>0</v>
      </c>
      <c r="J6176">
        <v>8.99</v>
      </c>
      <c r="K6176">
        <v>251.72</v>
      </c>
    </row>
    <row r="6177" spans="1:11" x14ac:dyDescent="0.2">
      <c r="A6177">
        <v>2208</v>
      </c>
      <c r="B6177">
        <v>305228</v>
      </c>
      <c r="C6177" t="s">
        <v>7975</v>
      </c>
      <c r="D6177">
        <v>6</v>
      </c>
      <c r="E6177">
        <v>12</v>
      </c>
      <c r="F6177">
        <v>768</v>
      </c>
      <c r="G6177">
        <v>9216</v>
      </c>
      <c r="H6177">
        <v>100</v>
      </c>
      <c r="I6177">
        <v>7.7</v>
      </c>
      <c r="J6177">
        <v>1.99</v>
      </c>
      <c r="K6177">
        <v>18339.84</v>
      </c>
    </row>
    <row r="6178" spans="1:11" x14ac:dyDescent="0.2">
      <c r="A6178">
        <v>2209</v>
      </c>
      <c r="B6178">
        <v>305229</v>
      </c>
      <c r="C6178" t="s">
        <v>9374</v>
      </c>
      <c r="D6178">
        <v>6</v>
      </c>
      <c r="E6178">
        <v>8</v>
      </c>
      <c r="F6178">
        <v>532</v>
      </c>
      <c r="G6178">
        <v>4256</v>
      </c>
      <c r="H6178">
        <v>256</v>
      </c>
      <c r="I6178">
        <v>2.1</v>
      </c>
      <c r="J6178">
        <v>4.99</v>
      </c>
      <c r="K6178">
        <v>21237.439999999999</v>
      </c>
    </row>
    <row r="6179" spans="1:11" x14ac:dyDescent="0.2">
      <c r="A6179">
        <v>2210</v>
      </c>
      <c r="B6179">
        <v>305230</v>
      </c>
      <c r="C6179" t="s">
        <v>7976</v>
      </c>
      <c r="D6179">
        <v>6</v>
      </c>
      <c r="E6179">
        <v>4</v>
      </c>
      <c r="F6179">
        <v>224</v>
      </c>
      <c r="G6179">
        <v>896</v>
      </c>
      <c r="H6179">
        <v>16</v>
      </c>
      <c r="I6179">
        <v>14</v>
      </c>
      <c r="J6179">
        <v>24.99</v>
      </c>
      <c r="K6179">
        <v>22391.040000000001</v>
      </c>
    </row>
    <row r="6180" spans="1:11" x14ac:dyDescent="0.2">
      <c r="A6180">
        <v>2211</v>
      </c>
      <c r="B6180">
        <v>305237</v>
      </c>
      <c r="C6180" t="s">
        <v>9375</v>
      </c>
      <c r="D6180">
        <v>6</v>
      </c>
      <c r="E6180">
        <v>6</v>
      </c>
      <c r="F6180">
        <v>360</v>
      </c>
      <c r="G6180">
        <v>2160</v>
      </c>
      <c r="H6180">
        <v>100</v>
      </c>
      <c r="I6180">
        <v>3.6</v>
      </c>
      <c r="J6180">
        <v>9.99</v>
      </c>
      <c r="K6180">
        <v>21578.400000000001</v>
      </c>
    </row>
    <row r="6181" spans="1:11" x14ac:dyDescent="0.2">
      <c r="A6181">
        <v>45402</v>
      </c>
      <c r="B6181">
        <v>305273</v>
      </c>
      <c r="C6181" t="s">
        <v>9376</v>
      </c>
      <c r="D6181">
        <v>10</v>
      </c>
      <c r="E6181">
        <v>14</v>
      </c>
      <c r="F6181">
        <v>1</v>
      </c>
      <c r="G6181">
        <v>14</v>
      </c>
      <c r="H6181">
        <v>100</v>
      </c>
      <c r="I6181">
        <v>0</v>
      </c>
      <c r="J6181">
        <v>14.99</v>
      </c>
      <c r="K6181">
        <v>209.86</v>
      </c>
    </row>
    <row r="6182" spans="1:11" x14ac:dyDescent="0.2">
      <c r="A6182">
        <v>45403</v>
      </c>
      <c r="B6182">
        <v>305274</v>
      </c>
      <c r="C6182" t="s">
        <v>9377</v>
      </c>
      <c r="D6182">
        <v>10</v>
      </c>
      <c r="E6182">
        <v>14</v>
      </c>
      <c r="F6182">
        <v>1</v>
      </c>
      <c r="G6182">
        <v>14</v>
      </c>
      <c r="H6182">
        <v>100</v>
      </c>
      <c r="I6182">
        <v>0</v>
      </c>
      <c r="J6182">
        <v>14.99</v>
      </c>
      <c r="K6182">
        <v>209.86</v>
      </c>
    </row>
    <row r="6183" spans="1:11" x14ac:dyDescent="0.2">
      <c r="A6183">
        <v>45408</v>
      </c>
      <c r="B6183">
        <v>305275</v>
      </c>
      <c r="C6183" t="s">
        <v>9378</v>
      </c>
      <c r="D6183">
        <v>10</v>
      </c>
      <c r="E6183">
        <v>14</v>
      </c>
      <c r="F6183">
        <v>1</v>
      </c>
      <c r="G6183">
        <v>14</v>
      </c>
      <c r="H6183">
        <v>100</v>
      </c>
      <c r="I6183">
        <v>0</v>
      </c>
      <c r="J6183">
        <v>11.99</v>
      </c>
      <c r="K6183">
        <v>167.86</v>
      </c>
    </row>
    <row r="6184" spans="1:11" x14ac:dyDescent="0.2">
      <c r="A6184">
        <v>45404</v>
      </c>
      <c r="B6184">
        <v>305276</v>
      </c>
      <c r="C6184" t="s">
        <v>9379</v>
      </c>
      <c r="D6184">
        <v>10</v>
      </c>
      <c r="E6184">
        <v>14</v>
      </c>
      <c r="F6184">
        <v>4</v>
      </c>
      <c r="G6184">
        <v>56</v>
      </c>
      <c r="H6184">
        <v>100</v>
      </c>
      <c r="I6184">
        <v>0</v>
      </c>
      <c r="J6184">
        <v>11.99</v>
      </c>
      <c r="K6184">
        <v>671.44</v>
      </c>
    </row>
    <row r="6185" spans="1:11" x14ac:dyDescent="0.2">
      <c r="A6185">
        <v>45825</v>
      </c>
      <c r="B6185">
        <v>305279</v>
      </c>
      <c r="C6185" t="s">
        <v>9380</v>
      </c>
      <c r="D6185">
        <v>10</v>
      </c>
      <c r="E6185">
        <v>4</v>
      </c>
      <c r="F6185">
        <v>3</v>
      </c>
      <c r="G6185">
        <v>12</v>
      </c>
      <c r="H6185">
        <v>96</v>
      </c>
      <c r="I6185">
        <v>0</v>
      </c>
      <c r="J6185">
        <v>23.99</v>
      </c>
      <c r="K6185">
        <v>287.88</v>
      </c>
    </row>
    <row r="6186" spans="1:11" x14ac:dyDescent="0.2">
      <c r="A6186">
        <v>49010</v>
      </c>
      <c r="B6186">
        <v>305291</v>
      </c>
      <c r="C6186" t="s">
        <v>8883</v>
      </c>
      <c r="D6186">
        <v>10</v>
      </c>
      <c r="E6186">
        <v>12</v>
      </c>
      <c r="F6186">
        <v>0</v>
      </c>
      <c r="G6186">
        <v>0</v>
      </c>
      <c r="H6186">
        <v>40</v>
      </c>
      <c r="I6186">
        <v>0</v>
      </c>
      <c r="J6186">
        <v>8.99</v>
      </c>
      <c r="K6186">
        <v>0</v>
      </c>
    </row>
    <row r="6187" spans="1:11" x14ac:dyDescent="0.2">
      <c r="A6187">
        <v>42417</v>
      </c>
      <c r="B6187">
        <v>305292</v>
      </c>
      <c r="C6187" t="s">
        <v>8882</v>
      </c>
      <c r="D6187">
        <v>10</v>
      </c>
      <c r="E6187">
        <v>12</v>
      </c>
      <c r="F6187">
        <v>0</v>
      </c>
      <c r="G6187">
        <v>0</v>
      </c>
      <c r="H6187">
        <v>45</v>
      </c>
      <c r="I6187">
        <v>0</v>
      </c>
      <c r="J6187">
        <v>1</v>
      </c>
      <c r="K6187">
        <v>0</v>
      </c>
    </row>
    <row r="6188" spans="1:11" x14ac:dyDescent="0.2">
      <c r="A6188">
        <v>42418</v>
      </c>
      <c r="B6188">
        <v>305293</v>
      </c>
      <c r="C6188" t="s">
        <v>9381</v>
      </c>
      <c r="D6188">
        <v>10</v>
      </c>
      <c r="E6188">
        <v>14</v>
      </c>
      <c r="F6188">
        <v>-1</v>
      </c>
      <c r="G6188">
        <v>-14</v>
      </c>
      <c r="H6188">
        <v>60</v>
      </c>
      <c r="I6188">
        <v>0</v>
      </c>
      <c r="J6188">
        <v>1</v>
      </c>
      <c r="K6188">
        <v>-14</v>
      </c>
    </row>
    <row r="6189" spans="1:11" x14ac:dyDescent="0.2">
      <c r="A6189">
        <v>42419</v>
      </c>
      <c r="B6189">
        <v>305294</v>
      </c>
      <c r="C6189" t="s">
        <v>9382</v>
      </c>
      <c r="D6189">
        <v>10</v>
      </c>
      <c r="E6189">
        <v>14</v>
      </c>
      <c r="F6189">
        <v>0</v>
      </c>
      <c r="G6189">
        <v>0</v>
      </c>
      <c r="H6189">
        <v>24</v>
      </c>
      <c r="I6189">
        <v>0</v>
      </c>
      <c r="J6189">
        <v>1</v>
      </c>
      <c r="K6189">
        <v>0</v>
      </c>
    </row>
    <row r="6190" spans="1:11" x14ac:dyDescent="0.2">
      <c r="A6190">
        <v>42420</v>
      </c>
      <c r="B6190">
        <v>305295</v>
      </c>
      <c r="C6190" t="s">
        <v>9383</v>
      </c>
      <c r="D6190">
        <v>10</v>
      </c>
      <c r="E6190">
        <v>14</v>
      </c>
      <c r="F6190">
        <v>-1</v>
      </c>
      <c r="G6190">
        <v>-14</v>
      </c>
      <c r="H6190">
        <v>24</v>
      </c>
      <c r="I6190">
        <v>0</v>
      </c>
      <c r="J6190">
        <v>1</v>
      </c>
      <c r="K6190">
        <v>-14</v>
      </c>
    </row>
    <row r="6191" spans="1:11" x14ac:dyDescent="0.2">
      <c r="A6191">
        <v>43857</v>
      </c>
      <c r="B6191">
        <v>305300</v>
      </c>
      <c r="C6191" t="s">
        <v>9081</v>
      </c>
      <c r="D6191">
        <v>10</v>
      </c>
      <c r="E6191">
        <v>12</v>
      </c>
      <c r="F6191">
        <v>0</v>
      </c>
      <c r="G6191">
        <v>0</v>
      </c>
      <c r="H6191">
        <v>99</v>
      </c>
      <c r="I6191">
        <v>0</v>
      </c>
      <c r="J6191">
        <v>6.99</v>
      </c>
      <c r="K6191">
        <v>0</v>
      </c>
    </row>
    <row r="6192" spans="1:11" x14ac:dyDescent="0.2">
      <c r="A6192">
        <v>43858</v>
      </c>
      <c r="B6192">
        <v>305301</v>
      </c>
      <c r="C6192" t="s">
        <v>9085</v>
      </c>
      <c r="D6192">
        <v>10</v>
      </c>
      <c r="E6192">
        <v>12</v>
      </c>
      <c r="F6192">
        <v>0</v>
      </c>
      <c r="G6192">
        <v>0</v>
      </c>
      <c r="H6192">
        <v>98</v>
      </c>
      <c r="I6192">
        <v>0</v>
      </c>
      <c r="J6192">
        <v>6.99</v>
      </c>
      <c r="K6192">
        <v>0</v>
      </c>
    </row>
    <row r="6193" spans="1:11" x14ac:dyDescent="0.2">
      <c r="A6193">
        <v>49020</v>
      </c>
      <c r="B6193">
        <v>305311</v>
      </c>
      <c r="C6193" t="s">
        <v>9382</v>
      </c>
      <c r="D6193">
        <v>10</v>
      </c>
      <c r="E6193">
        <v>12</v>
      </c>
      <c r="F6193">
        <v>1</v>
      </c>
      <c r="G6193">
        <v>12</v>
      </c>
      <c r="H6193">
        <v>100</v>
      </c>
      <c r="I6193">
        <v>0</v>
      </c>
      <c r="J6193">
        <v>5.99</v>
      </c>
      <c r="K6193">
        <v>71.88</v>
      </c>
    </row>
    <row r="6194" spans="1:11" x14ac:dyDescent="0.2">
      <c r="A6194">
        <v>49034</v>
      </c>
      <c r="B6194">
        <v>305312</v>
      </c>
      <c r="C6194" t="s">
        <v>9383</v>
      </c>
      <c r="D6194">
        <v>10</v>
      </c>
      <c r="E6194">
        <v>12</v>
      </c>
      <c r="F6194">
        <v>0</v>
      </c>
      <c r="G6194">
        <v>0</v>
      </c>
      <c r="H6194">
        <v>60</v>
      </c>
      <c r="I6194">
        <v>0</v>
      </c>
      <c r="J6194">
        <v>5.99</v>
      </c>
      <c r="K6194">
        <v>0</v>
      </c>
    </row>
    <row r="6195" spans="1:11" x14ac:dyDescent="0.2">
      <c r="A6195">
        <v>49035</v>
      </c>
      <c r="B6195">
        <v>305313</v>
      </c>
      <c r="C6195" t="s">
        <v>9384</v>
      </c>
      <c r="D6195">
        <v>10</v>
      </c>
      <c r="E6195">
        <v>12</v>
      </c>
      <c r="F6195">
        <v>0</v>
      </c>
      <c r="G6195">
        <v>0</v>
      </c>
      <c r="H6195">
        <v>52</v>
      </c>
      <c r="I6195">
        <v>0</v>
      </c>
      <c r="J6195">
        <v>4.99</v>
      </c>
      <c r="K6195">
        <v>0</v>
      </c>
    </row>
    <row r="6196" spans="1:11" x14ac:dyDescent="0.2">
      <c r="A6196">
        <v>49036</v>
      </c>
      <c r="B6196">
        <v>305314</v>
      </c>
      <c r="C6196" t="s">
        <v>8877</v>
      </c>
      <c r="D6196">
        <v>10</v>
      </c>
      <c r="E6196">
        <v>12</v>
      </c>
      <c r="F6196">
        <v>0</v>
      </c>
      <c r="G6196">
        <v>0</v>
      </c>
      <c r="H6196">
        <v>108</v>
      </c>
      <c r="I6196">
        <v>0</v>
      </c>
      <c r="J6196">
        <v>4.99</v>
      </c>
      <c r="K6196">
        <v>0</v>
      </c>
    </row>
    <row r="6197" spans="1:11" x14ac:dyDescent="0.2">
      <c r="A6197">
        <v>1358</v>
      </c>
      <c r="B6197">
        <v>305315</v>
      </c>
      <c r="C6197" t="s">
        <v>9385</v>
      </c>
      <c r="D6197">
        <v>10</v>
      </c>
      <c r="E6197">
        <v>12</v>
      </c>
      <c r="F6197">
        <v>0</v>
      </c>
      <c r="G6197">
        <v>0</v>
      </c>
      <c r="H6197">
        <v>90</v>
      </c>
      <c r="I6197">
        <v>0</v>
      </c>
      <c r="J6197">
        <v>6.99</v>
      </c>
      <c r="K6197">
        <v>0</v>
      </c>
    </row>
    <row r="6198" spans="1:11" x14ac:dyDescent="0.2">
      <c r="A6198">
        <v>49038</v>
      </c>
      <c r="B6198">
        <v>305316</v>
      </c>
      <c r="C6198" t="s">
        <v>8146</v>
      </c>
      <c r="D6198">
        <v>10</v>
      </c>
      <c r="E6198">
        <v>12</v>
      </c>
      <c r="F6198">
        <v>0</v>
      </c>
      <c r="G6198">
        <v>0</v>
      </c>
      <c r="H6198">
        <v>72</v>
      </c>
      <c r="I6198">
        <v>0</v>
      </c>
      <c r="J6198">
        <v>4.99</v>
      </c>
      <c r="K6198">
        <v>0</v>
      </c>
    </row>
    <row r="6199" spans="1:11" x14ac:dyDescent="0.2">
      <c r="A6199">
        <v>49001</v>
      </c>
      <c r="B6199">
        <v>305319</v>
      </c>
      <c r="C6199" t="s">
        <v>8869</v>
      </c>
      <c r="D6199">
        <v>10</v>
      </c>
      <c r="E6199">
        <v>12</v>
      </c>
      <c r="F6199">
        <v>0</v>
      </c>
      <c r="G6199">
        <v>0</v>
      </c>
      <c r="H6199">
        <v>67</v>
      </c>
      <c r="I6199">
        <v>0</v>
      </c>
      <c r="J6199">
        <v>4.99</v>
      </c>
      <c r="K6199">
        <v>0</v>
      </c>
    </row>
    <row r="6200" spans="1:11" x14ac:dyDescent="0.2">
      <c r="A6200">
        <v>46141</v>
      </c>
      <c r="B6200">
        <v>305331</v>
      </c>
      <c r="C6200" t="s">
        <v>8857</v>
      </c>
      <c r="D6200">
        <v>10</v>
      </c>
      <c r="E6200">
        <v>12</v>
      </c>
      <c r="F6200">
        <v>0</v>
      </c>
      <c r="G6200">
        <v>0</v>
      </c>
      <c r="H6200">
        <v>96</v>
      </c>
      <c r="I6200">
        <v>0</v>
      </c>
      <c r="J6200">
        <v>1.99</v>
      </c>
      <c r="K6200">
        <v>0</v>
      </c>
    </row>
    <row r="6201" spans="1:11" x14ac:dyDescent="0.2">
      <c r="A6201">
        <v>46142</v>
      </c>
      <c r="B6201">
        <v>305332</v>
      </c>
      <c r="C6201" t="s">
        <v>8856</v>
      </c>
      <c r="D6201">
        <v>10</v>
      </c>
      <c r="E6201">
        <v>12</v>
      </c>
      <c r="F6201">
        <v>0</v>
      </c>
      <c r="G6201">
        <v>0</v>
      </c>
      <c r="H6201">
        <v>117</v>
      </c>
      <c r="I6201">
        <v>0</v>
      </c>
      <c r="J6201">
        <v>1.99</v>
      </c>
      <c r="K6201">
        <v>0</v>
      </c>
    </row>
    <row r="6202" spans="1:11" x14ac:dyDescent="0.2">
      <c r="A6202">
        <v>46143</v>
      </c>
      <c r="B6202">
        <v>305333</v>
      </c>
      <c r="C6202" t="s">
        <v>8129</v>
      </c>
      <c r="D6202">
        <v>10</v>
      </c>
      <c r="E6202">
        <v>12</v>
      </c>
      <c r="F6202">
        <v>0</v>
      </c>
      <c r="G6202">
        <v>0</v>
      </c>
      <c r="H6202">
        <v>135</v>
      </c>
      <c r="I6202">
        <v>0</v>
      </c>
      <c r="J6202">
        <v>1.99</v>
      </c>
      <c r="K6202">
        <v>0</v>
      </c>
    </row>
    <row r="6203" spans="1:11" x14ac:dyDescent="0.2">
      <c r="A6203">
        <v>46144</v>
      </c>
      <c r="B6203">
        <v>305334</v>
      </c>
      <c r="C6203" t="s">
        <v>8208</v>
      </c>
      <c r="D6203">
        <v>10</v>
      </c>
      <c r="E6203">
        <v>12</v>
      </c>
      <c r="F6203">
        <v>0</v>
      </c>
      <c r="G6203">
        <v>0</v>
      </c>
      <c r="H6203">
        <v>130</v>
      </c>
      <c r="I6203">
        <v>0</v>
      </c>
      <c r="J6203">
        <v>1.99</v>
      </c>
      <c r="K6203">
        <v>0</v>
      </c>
    </row>
    <row r="6204" spans="1:11" x14ac:dyDescent="0.2">
      <c r="A6204">
        <v>46115</v>
      </c>
      <c r="B6204">
        <v>305335</v>
      </c>
      <c r="C6204" t="s">
        <v>9386</v>
      </c>
      <c r="D6204">
        <v>10</v>
      </c>
      <c r="E6204">
        <v>12</v>
      </c>
      <c r="F6204">
        <v>0</v>
      </c>
      <c r="G6204">
        <v>0</v>
      </c>
      <c r="H6204">
        <v>100</v>
      </c>
      <c r="I6204">
        <v>0</v>
      </c>
      <c r="J6204">
        <v>2.4900000000000002</v>
      </c>
      <c r="K6204">
        <v>0</v>
      </c>
    </row>
    <row r="6205" spans="1:11" x14ac:dyDescent="0.2">
      <c r="A6205">
        <v>46145</v>
      </c>
      <c r="B6205">
        <v>305338</v>
      </c>
      <c r="C6205" t="s">
        <v>9387</v>
      </c>
      <c r="D6205">
        <v>10</v>
      </c>
      <c r="E6205">
        <v>12</v>
      </c>
      <c r="F6205">
        <v>0</v>
      </c>
      <c r="G6205">
        <v>0</v>
      </c>
      <c r="H6205">
        <v>96</v>
      </c>
      <c r="I6205">
        <v>0</v>
      </c>
      <c r="J6205">
        <v>1.99</v>
      </c>
      <c r="K6205">
        <v>0</v>
      </c>
    </row>
    <row r="6206" spans="1:11" x14ac:dyDescent="0.2">
      <c r="A6206">
        <v>46146</v>
      </c>
      <c r="B6206">
        <v>305339</v>
      </c>
      <c r="C6206" t="s">
        <v>9388</v>
      </c>
      <c r="D6206">
        <v>10</v>
      </c>
      <c r="E6206">
        <v>12</v>
      </c>
      <c r="F6206">
        <v>0</v>
      </c>
      <c r="G6206">
        <v>0</v>
      </c>
      <c r="H6206">
        <v>100</v>
      </c>
      <c r="I6206">
        <v>0</v>
      </c>
      <c r="J6206">
        <v>1.99</v>
      </c>
      <c r="K6206">
        <v>0</v>
      </c>
    </row>
    <row r="6207" spans="1:11" x14ac:dyDescent="0.2">
      <c r="A6207">
        <v>46116</v>
      </c>
      <c r="B6207">
        <v>305340</v>
      </c>
      <c r="C6207" t="s">
        <v>9389</v>
      </c>
      <c r="D6207">
        <v>10</v>
      </c>
      <c r="E6207">
        <v>14</v>
      </c>
      <c r="F6207">
        <v>0</v>
      </c>
      <c r="G6207">
        <v>0</v>
      </c>
      <c r="H6207">
        <v>110</v>
      </c>
      <c r="I6207">
        <v>0</v>
      </c>
      <c r="J6207">
        <v>2.4900000000000002</v>
      </c>
      <c r="K6207">
        <v>0</v>
      </c>
    </row>
    <row r="6208" spans="1:11" x14ac:dyDescent="0.2">
      <c r="A6208">
        <v>46117</v>
      </c>
      <c r="B6208">
        <v>305344</v>
      </c>
      <c r="C6208" t="s">
        <v>9390</v>
      </c>
      <c r="D6208">
        <v>10</v>
      </c>
      <c r="E6208">
        <v>12</v>
      </c>
      <c r="F6208">
        <v>0</v>
      </c>
      <c r="G6208">
        <v>0</v>
      </c>
      <c r="H6208">
        <v>100</v>
      </c>
      <c r="I6208">
        <v>0</v>
      </c>
      <c r="J6208">
        <v>2.4900000000000002</v>
      </c>
      <c r="K6208">
        <v>0</v>
      </c>
    </row>
    <row r="6209" spans="1:11" x14ac:dyDescent="0.2">
      <c r="A6209">
        <v>2212</v>
      </c>
      <c r="B6209">
        <v>305371</v>
      </c>
      <c r="C6209" t="s">
        <v>9057</v>
      </c>
      <c r="D6209">
        <v>6</v>
      </c>
      <c r="E6209">
        <v>12</v>
      </c>
      <c r="F6209">
        <v>578</v>
      </c>
      <c r="G6209">
        <v>6936</v>
      </c>
      <c r="H6209">
        <v>204</v>
      </c>
      <c r="I6209">
        <v>2.8</v>
      </c>
      <c r="J6209">
        <v>3.99</v>
      </c>
      <c r="K6209">
        <v>27674.639999999999</v>
      </c>
    </row>
    <row r="6210" spans="1:11" x14ac:dyDescent="0.2">
      <c r="A6210">
        <v>49812</v>
      </c>
      <c r="B6210">
        <v>305395</v>
      </c>
      <c r="C6210" t="s">
        <v>9391</v>
      </c>
      <c r="D6210">
        <v>10</v>
      </c>
      <c r="E6210">
        <v>12</v>
      </c>
      <c r="F6210">
        <v>0</v>
      </c>
      <c r="G6210">
        <v>0</v>
      </c>
      <c r="H6210">
        <v>108</v>
      </c>
      <c r="I6210">
        <v>0</v>
      </c>
      <c r="J6210">
        <v>5.99</v>
      </c>
      <c r="K6210">
        <v>0</v>
      </c>
    </row>
    <row r="6211" spans="1:11" x14ac:dyDescent="0.2">
      <c r="A6211">
        <v>49813</v>
      </c>
      <c r="B6211">
        <v>305396</v>
      </c>
      <c r="C6211" t="s">
        <v>9392</v>
      </c>
      <c r="D6211">
        <v>10</v>
      </c>
      <c r="E6211">
        <v>12</v>
      </c>
      <c r="F6211">
        <v>0</v>
      </c>
      <c r="G6211">
        <v>0</v>
      </c>
      <c r="H6211">
        <v>108</v>
      </c>
      <c r="I6211">
        <v>0</v>
      </c>
      <c r="J6211">
        <v>5.99</v>
      </c>
      <c r="K6211">
        <v>0</v>
      </c>
    </row>
    <row r="6212" spans="1:11" x14ac:dyDescent="0.2">
      <c r="A6212">
        <v>52106</v>
      </c>
      <c r="B6212">
        <v>305401</v>
      </c>
      <c r="C6212" t="s">
        <v>9393</v>
      </c>
      <c r="D6212">
        <v>10</v>
      </c>
      <c r="E6212">
        <v>12</v>
      </c>
      <c r="F6212">
        <v>533</v>
      </c>
      <c r="G6212">
        <v>6396</v>
      </c>
      <c r="H6212">
        <v>100</v>
      </c>
      <c r="I6212">
        <v>5.3</v>
      </c>
      <c r="J6212">
        <v>6.99</v>
      </c>
      <c r="K6212">
        <v>44708.04</v>
      </c>
    </row>
    <row r="6213" spans="1:11" x14ac:dyDescent="0.2">
      <c r="A6213">
        <v>52107</v>
      </c>
      <c r="B6213">
        <v>305402</v>
      </c>
      <c r="C6213" t="s">
        <v>9394</v>
      </c>
      <c r="D6213">
        <v>6</v>
      </c>
      <c r="E6213">
        <v>12</v>
      </c>
      <c r="F6213">
        <v>450</v>
      </c>
      <c r="G6213">
        <v>5400</v>
      </c>
      <c r="H6213">
        <v>100</v>
      </c>
      <c r="I6213">
        <v>4.5</v>
      </c>
      <c r="J6213">
        <v>6.99</v>
      </c>
      <c r="K6213">
        <v>37746</v>
      </c>
    </row>
    <row r="6214" spans="1:11" x14ac:dyDescent="0.2">
      <c r="A6214">
        <v>40424</v>
      </c>
      <c r="B6214">
        <v>305422</v>
      </c>
      <c r="C6214" t="s">
        <v>9395</v>
      </c>
      <c r="D6214">
        <v>10</v>
      </c>
      <c r="E6214">
        <v>12</v>
      </c>
      <c r="F6214">
        <v>1</v>
      </c>
      <c r="G6214">
        <v>12</v>
      </c>
      <c r="H6214">
        <v>256</v>
      </c>
      <c r="I6214">
        <v>0</v>
      </c>
      <c r="J6214">
        <v>1</v>
      </c>
      <c r="K6214">
        <v>12</v>
      </c>
    </row>
    <row r="6215" spans="1:11" x14ac:dyDescent="0.2">
      <c r="A6215">
        <v>40425</v>
      </c>
      <c r="B6215">
        <v>305423</v>
      </c>
      <c r="C6215" t="s">
        <v>9396</v>
      </c>
      <c r="D6215">
        <v>10</v>
      </c>
      <c r="E6215">
        <v>16</v>
      </c>
      <c r="F6215">
        <v>0</v>
      </c>
      <c r="G6215">
        <v>0</v>
      </c>
      <c r="H6215">
        <v>133</v>
      </c>
      <c r="I6215">
        <v>0</v>
      </c>
      <c r="J6215">
        <v>1</v>
      </c>
      <c r="K6215">
        <v>0</v>
      </c>
    </row>
    <row r="6216" spans="1:11" x14ac:dyDescent="0.2">
      <c r="A6216">
        <v>40426</v>
      </c>
      <c r="B6216">
        <v>305424</v>
      </c>
      <c r="C6216" t="s">
        <v>9397</v>
      </c>
      <c r="D6216">
        <v>10</v>
      </c>
      <c r="E6216">
        <v>12</v>
      </c>
      <c r="F6216">
        <v>6</v>
      </c>
      <c r="G6216">
        <v>72</v>
      </c>
      <c r="H6216">
        <v>256</v>
      </c>
      <c r="I6216">
        <v>0</v>
      </c>
      <c r="J6216">
        <v>1</v>
      </c>
      <c r="K6216">
        <v>72</v>
      </c>
    </row>
    <row r="6217" spans="1:11" x14ac:dyDescent="0.2">
      <c r="A6217">
        <v>41422</v>
      </c>
      <c r="B6217">
        <v>305427</v>
      </c>
      <c r="C6217" t="s">
        <v>9398</v>
      </c>
      <c r="D6217">
        <v>10</v>
      </c>
      <c r="E6217">
        <v>20</v>
      </c>
      <c r="F6217">
        <v>2</v>
      </c>
      <c r="G6217">
        <v>40</v>
      </c>
      <c r="H6217">
        <v>72</v>
      </c>
      <c r="I6217">
        <v>0</v>
      </c>
      <c r="J6217">
        <v>1</v>
      </c>
      <c r="K6217">
        <v>40</v>
      </c>
    </row>
    <row r="6218" spans="1:11" x14ac:dyDescent="0.2">
      <c r="A6218">
        <v>41420</v>
      </c>
      <c r="B6218">
        <v>305428</v>
      </c>
      <c r="C6218" t="s">
        <v>8843</v>
      </c>
      <c r="D6218">
        <v>10</v>
      </c>
      <c r="E6218">
        <v>20</v>
      </c>
      <c r="F6218">
        <v>1</v>
      </c>
      <c r="G6218">
        <v>20</v>
      </c>
      <c r="H6218">
        <v>88</v>
      </c>
      <c r="I6218">
        <v>0</v>
      </c>
      <c r="J6218">
        <v>1</v>
      </c>
      <c r="K6218">
        <v>20</v>
      </c>
    </row>
    <row r="6219" spans="1:11" x14ac:dyDescent="0.2">
      <c r="A6219">
        <v>41439</v>
      </c>
      <c r="B6219">
        <v>305429</v>
      </c>
      <c r="C6219" t="s">
        <v>8844</v>
      </c>
      <c r="D6219">
        <v>10</v>
      </c>
      <c r="E6219">
        <v>20</v>
      </c>
      <c r="F6219">
        <v>1</v>
      </c>
      <c r="G6219">
        <v>20</v>
      </c>
      <c r="H6219">
        <v>54</v>
      </c>
      <c r="I6219">
        <v>0</v>
      </c>
      <c r="J6219">
        <v>1</v>
      </c>
      <c r="K6219">
        <v>20</v>
      </c>
    </row>
    <row r="6220" spans="1:11" x14ac:dyDescent="0.2">
      <c r="A6220">
        <v>43416</v>
      </c>
      <c r="B6220">
        <v>305442</v>
      </c>
      <c r="C6220" t="s">
        <v>9398</v>
      </c>
      <c r="D6220">
        <v>10</v>
      </c>
      <c r="E6220">
        <v>20</v>
      </c>
      <c r="F6220">
        <v>-1</v>
      </c>
      <c r="G6220">
        <v>-20</v>
      </c>
      <c r="H6220">
        <v>72</v>
      </c>
      <c r="I6220">
        <v>0</v>
      </c>
      <c r="J6220">
        <v>1</v>
      </c>
      <c r="K6220">
        <v>-20</v>
      </c>
    </row>
    <row r="6221" spans="1:11" x14ac:dyDescent="0.2">
      <c r="A6221">
        <v>43411</v>
      </c>
      <c r="B6221">
        <v>305443</v>
      </c>
      <c r="C6221" t="s">
        <v>9399</v>
      </c>
      <c r="D6221">
        <v>10</v>
      </c>
      <c r="E6221">
        <v>20</v>
      </c>
      <c r="F6221">
        <v>0</v>
      </c>
      <c r="G6221">
        <v>0</v>
      </c>
      <c r="H6221">
        <v>120</v>
      </c>
      <c r="I6221">
        <v>0</v>
      </c>
      <c r="J6221">
        <v>1</v>
      </c>
      <c r="K6221">
        <v>0</v>
      </c>
    </row>
    <row r="6222" spans="1:11" x14ac:dyDescent="0.2">
      <c r="A6222">
        <v>43412</v>
      </c>
      <c r="B6222">
        <v>305444</v>
      </c>
      <c r="C6222" t="s">
        <v>9400</v>
      </c>
      <c r="D6222">
        <v>10</v>
      </c>
      <c r="E6222">
        <v>20</v>
      </c>
      <c r="F6222">
        <v>0</v>
      </c>
      <c r="G6222">
        <v>0</v>
      </c>
      <c r="H6222">
        <v>104</v>
      </c>
      <c r="I6222">
        <v>0</v>
      </c>
      <c r="J6222">
        <v>1</v>
      </c>
      <c r="K6222">
        <v>0</v>
      </c>
    </row>
    <row r="6223" spans="1:11" x14ac:dyDescent="0.2">
      <c r="A6223">
        <v>43410</v>
      </c>
      <c r="B6223">
        <v>305445</v>
      </c>
      <c r="C6223" t="s">
        <v>9401</v>
      </c>
      <c r="D6223">
        <v>10</v>
      </c>
      <c r="E6223">
        <v>20</v>
      </c>
      <c r="F6223">
        <v>-1</v>
      </c>
      <c r="G6223">
        <v>-20</v>
      </c>
      <c r="H6223">
        <v>144</v>
      </c>
      <c r="I6223">
        <v>0</v>
      </c>
      <c r="J6223">
        <v>1</v>
      </c>
      <c r="K6223">
        <v>-20</v>
      </c>
    </row>
    <row r="6224" spans="1:11" x14ac:dyDescent="0.2">
      <c r="A6224">
        <v>46010</v>
      </c>
      <c r="B6224">
        <v>305446</v>
      </c>
      <c r="C6224" t="s">
        <v>7741</v>
      </c>
      <c r="D6224">
        <v>10</v>
      </c>
      <c r="E6224">
        <v>40</v>
      </c>
      <c r="F6224">
        <v>0</v>
      </c>
      <c r="G6224">
        <v>0</v>
      </c>
      <c r="H6224">
        <v>100</v>
      </c>
      <c r="I6224">
        <v>0</v>
      </c>
      <c r="J6224">
        <v>0.99</v>
      </c>
      <c r="K6224">
        <v>0</v>
      </c>
    </row>
    <row r="6225" spans="1:11" x14ac:dyDescent="0.2">
      <c r="A6225">
        <v>52032</v>
      </c>
      <c r="B6225">
        <v>305450</v>
      </c>
      <c r="C6225" t="s">
        <v>9402</v>
      </c>
      <c r="D6225">
        <v>10</v>
      </c>
      <c r="E6225">
        <v>5</v>
      </c>
      <c r="F6225">
        <v>244</v>
      </c>
      <c r="G6225">
        <v>1220</v>
      </c>
      <c r="H6225">
        <v>100</v>
      </c>
      <c r="I6225">
        <v>2.4</v>
      </c>
      <c r="J6225">
        <v>51.49</v>
      </c>
      <c r="K6225">
        <v>62817.8</v>
      </c>
    </row>
    <row r="6226" spans="1:11" x14ac:dyDescent="0.2">
      <c r="A6226">
        <v>52033</v>
      </c>
      <c r="B6226">
        <v>305451</v>
      </c>
      <c r="C6226" t="s">
        <v>9403</v>
      </c>
      <c r="D6226">
        <v>10</v>
      </c>
      <c r="E6226">
        <v>5</v>
      </c>
      <c r="F6226">
        <v>204</v>
      </c>
      <c r="G6226">
        <v>1020</v>
      </c>
      <c r="H6226">
        <v>100</v>
      </c>
      <c r="I6226">
        <v>2</v>
      </c>
      <c r="J6226">
        <v>79.989999999999995</v>
      </c>
      <c r="K6226">
        <v>81589.8</v>
      </c>
    </row>
    <row r="6227" spans="1:11" x14ac:dyDescent="0.2">
      <c r="A6227">
        <v>52130</v>
      </c>
      <c r="B6227">
        <v>305456</v>
      </c>
      <c r="C6227" t="s">
        <v>9404</v>
      </c>
      <c r="D6227">
        <v>10</v>
      </c>
      <c r="E6227">
        <v>20</v>
      </c>
      <c r="F6227">
        <v>200</v>
      </c>
      <c r="G6227">
        <v>4000</v>
      </c>
      <c r="H6227">
        <v>100</v>
      </c>
      <c r="I6227">
        <v>2</v>
      </c>
      <c r="J6227">
        <v>1.49</v>
      </c>
      <c r="K6227">
        <v>5960</v>
      </c>
    </row>
    <row r="6228" spans="1:11" x14ac:dyDescent="0.2">
      <c r="A6228">
        <v>52131</v>
      </c>
      <c r="B6228">
        <v>305457</v>
      </c>
      <c r="C6228" t="s">
        <v>9405</v>
      </c>
      <c r="D6228">
        <v>10</v>
      </c>
      <c r="E6228">
        <v>20</v>
      </c>
      <c r="F6228">
        <v>200</v>
      </c>
      <c r="G6228">
        <v>4000</v>
      </c>
      <c r="H6228">
        <v>100</v>
      </c>
      <c r="I6228">
        <v>2</v>
      </c>
      <c r="J6228">
        <v>1.49</v>
      </c>
      <c r="K6228">
        <v>5960</v>
      </c>
    </row>
    <row r="6229" spans="1:11" x14ac:dyDescent="0.2">
      <c r="A6229">
        <v>41416</v>
      </c>
      <c r="B6229">
        <v>305458</v>
      </c>
      <c r="C6229" t="s">
        <v>9406</v>
      </c>
      <c r="D6229">
        <v>10</v>
      </c>
      <c r="E6229">
        <v>20</v>
      </c>
      <c r="F6229">
        <v>1</v>
      </c>
      <c r="G6229">
        <v>20</v>
      </c>
      <c r="H6229">
        <v>108</v>
      </c>
      <c r="I6229">
        <v>0</v>
      </c>
      <c r="J6229">
        <v>1</v>
      </c>
      <c r="K6229">
        <v>20</v>
      </c>
    </row>
    <row r="6230" spans="1:11" x14ac:dyDescent="0.2">
      <c r="A6230">
        <v>45405</v>
      </c>
      <c r="B6230">
        <v>305462</v>
      </c>
      <c r="C6230" t="s">
        <v>9407</v>
      </c>
      <c r="D6230">
        <v>10</v>
      </c>
      <c r="E6230">
        <v>20</v>
      </c>
      <c r="F6230">
        <v>1</v>
      </c>
      <c r="G6230">
        <v>20</v>
      </c>
      <c r="H6230">
        <v>64</v>
      </c>
      <c r="I6230">
        <v>0</v>
      </c>
      <c r="J6230">
        <v>5.99</v>
      </c>
      <c r="K6230">
        <v>119.8</v>
      </c>
    </row>
    <row r="6231" spans="1:11" x14ac:dyDescent="0.2">
      <c r="A6231">
        <v>45406</v>
      </c>
      <c r="B6231">
        <v>305463</v>
      </c>
      <c r="C6231" t="s">
        <v>9408</v>
      </c>
      <c r="D6231">
        <v>10</v>
      </c>
      <c r="E6231">
        <v>20</v>
      </c>
      <c r="F6231">
        <v>2</v>
      </c>
      <c r="G6231">
        <v>40</v>
      </c>
      <c r="H6231">
        <v>64</v>
      </c>
      <c r="I6231">
        <v>0</v>
      </c>
      <c r="J6231">
        <v>5.99</v>
      </c>
      <c r="K6231">
        <v>239.6</v>
      </c>
    </row>
    <row r="6232" spans="1:11" x14ac:dyDescent="0.2">
      <c r="A6232">
        <v>1376</v>
      </c>
      <c r="B6232">
        <v>305464</v>
      </c>
      <c r="C6232" t="s">
        <v>9409</v>
      </c>
      <c r="D6232">
        <v>10</v>
      </c>
      <c r="E6232">
        <v>20</v>
      </c>
      <c r="F6232">
        <v>588</v>
      </c>
      <c r="G6232">
        <v>11760</v>
      </c>
      <c r="H6232">
        <v>84</v>
      </c>
      <c r="I6232">
        <v>7</v>
      </c>
      <c r="J6232">
        <v>2.99</v>
      </c>
      <c r="K6232">
        <v>35162.400000000001</v>
      </c>
    </row>
    <row r="6233" spans="1:11" x14ac:dyDescent="0.2">
      <c r="A6233">
        <v>42421</v>
      </c>
      <c r="B6233">
        <v>305466</v>
      </c>
      <c r="C6233" t="s">
        <v>9410</v>
      </c>
      <c r="D6233">
        <v>10</v>
      </c>
      <c r="E6233">
        <v>16</v>
      </c>
      <c r="F6233">
        <v>1</v>
      </c>
      <c r="G6233">
        <v>16</v>
      </c>
      <c r="H6233">
        <v>100</v>
      </c>
      <c r="I6233">
        <v>0</v>
      </c>
      <c r="J6233">
        <v>1</v>
      </c>
      <c r="K6233">
        <v>16</v>
      </c>
    </row>
    <row r="6234" spans="1:11" x14ac:dyDescent="0.2">
      <c r="A6234">
        <v>42422</v>
      </c>
      <c r="B6234">
        <v>305467</v>
      </c>
      <c r="C6234" t="s">
        <v>9411</v>
      </c>
      <c r="D6234">
        <v>10</v>
      </c>
      <c r="E6234">
        <v>16</v>
      </c>
      <c r="F6234">
        <v>0</v>
      </c>
      <c r="G6234">
        <v>0</v>
      </c>
      <c r="H6234">
        <v>100</v>
      </c>
      <c r="I6234">
        <v>0</v>
      </c>
      <c r="J6234">
        <v>1</v>
      </c>
      <c r="K6234">
        <v>0</v>
      </c>
    </row>
    <row r="6235" spans="1:11" x14ac:dyDescent="0.2">
      <c r="A6235">
        <v>42405</v>
      </c>
      <c r="B6235">
        <v>305474</v>
      </c>
      <c r="C6235" t="s">
        <v>9412</v>
      </c>
      <c r="D6235">
        <v>10</v>
      </c>
      <c r="E6235">
        <v>20</v>
      </c>
      <c r="F6235">
        <v>0</v>
      </c>
      <c r="G6235">
        <v>0</v>
      </c>
      <c r="H6235">
        <v>30</v>
      </c>
      <c r="I6235">
        <v>0</v>
      </c>
      <c r="J6235">
        <v>1</v>
      </c>
      <c r="K6235">
        <v>0</v>
      </c>
    </row>
    <row r="6236" spans="1:11" x14ac:dyDescent="0.2">
      <c r="A6236">
        <v>42406</v>
      </c>
      <c r="B6236">
        <v>305475</v>
      </c>
      <c r="C6236" t="s">
        <v>9409</v>
      </c>
      <c r="D6236">
        <v>10</v>
      </c>
      <c r="E6236">
        <v>20</v>
      </c>
      <c r="F6236">
        <v>1</v>
      </c>
      <c r="G6236">
        <v>20</v>
      </c>
      <c r="H6236">
        <v>72</v>
      </c>
      <c r="I6236">
        <v>0</v>
      </c>
      <c r="J6236">
        <v>1</v>
      </c>
      <c r="K6236">
        <v>20</v>
      </c>
    </row>
    <row r="6237" spans="1:11" x14ac:dyDescent="0.2">
      <c r="A6237">
        <v>2214</v>
      </c>
      <c r="B6237">
        <v>305482</v>
      </c>
      <c r="C6237" t="s">
        <v>9413</v>
      </c>
      <c r="D6237">
        <v>6</v>
      </c>
      <c r="E6237">
        <v>12</v>
      </c>
      <c r="F6237">
        <v>665</v>
      </c>
      <c r="G6237">
        <v>7980</v>
      </c>
      <c r="H6237">
        <v>35</v>
      </c>
      <c r="I6237">
        <v>19</v>
      </c>
      <c r="J6237">
        <v>4.99</v>
      </c>
      <c r="K6237">
        <v>39820.199999999997</v>
      </c>
    </row>
    <row r="6238" spans="1:11" x14ac:dyDescent="0.2">
      <c r="A6238">
        <v>49040</v>
      </c>
      <c r="B6238">
        <v>305489</v>
      </c>
      <c r="C6238" t="s">
        <v>9414</v>
      </c>
      <c r="D6238">
        <v>10</v>
      </c>
      <c r="E6238">
        <v>16</v>
      </c>
      <c r="F6238">
        <v>1</v>
      </c>
      <c r="G6238">
        <v>16</v>
      </c>
      <c r="H6238">
        <v>100</v>
      </c>
      <c r="I6238">
        <v>0</v>
      </c>
      <c r="J6238">
        <v>2.99</v>
      </c>
      <c r="K6238">
        <v>47.84</v>
      </c>
    </row>
    <row r="6239" spans="1:11" x14ac:dyDescent="0.2">
      <c r="A6239">
        <v>49041</v>
      </c>
      <c r="B6239">
        <v>305490</v>
      </c>
      <c r="C6239" t="s">
        <v>9415</v>
      </c>
      <c r="D6239">
        <v>10</v>
      </c>
      <c r="E6239">
        <v>20</v>
      </c>
      <c r="F6239">
        <v>0</v>
      </c>
      <c r="G6239">
        <v>0</v>
      </c>
      <c r="H6239">
        <v>72</v>
      </c>
      <c r="I6239">
        <v>0</v>
      </c>
      <c r="J6239">
        <v>3.99</v>
      </c>
      <c r="K6239">
        <v>0</v>
      </c>
    </row>
    <row r="6240" spans="1:11" x14ac:dyDescent="0.2">
      <c r="A6240">
        <v>46147</v>
      </c>
      <c r="B6240">
        <v>305497</v>
      </c>
      <c r="C6240" t="s">
        <v>8848</v>
      </c>
      <c r="D6240">
        <v>10</v>
      </c>
      <c r="E6240">
        <v>12</v>
      </c>
      <c r="F6240">
        <v>0</v>
      </c>
      <c r="G6240">
        <v>0</v>
      </c>
      <c r="H6240">
        <v>121</v>
      </c>
      <c r="I6240">
        <v>0</v>
      </c>
      <c r="J6240">
        <v>1</v>
      </c>
      <c r="K6240">
        <v>0</v>
      </c>
    </row>
    <row r="6241" spans="1:11" x14ac:dyDescent="0.2">
      <c r="A6241">
        <v>50002</v>
      </c>
      <c r="B6241">
        <v>305499</v>
      </c>
      <c r="C6241" t="s">
        <v>9416</v>
      </c>
      <c r="D6241">
        <v>10</v>
      </c>
      <c r="E6241">
        <v>60</v>
      </c>
      <c r="F6241">
        <v>0</v>
      </c>
      <c r="G6241">
        <v>0</v>
      </c>
      <c r="H6241">
        <v>100</v>
      </c>
      <c r="I6241">
        <v>0</v>
      </c>
      <c r="J6241">
        <v>2.99</v>
      </c>
      <c r="K6241">
        <v>0</v>
      </c>
    </row>
    <row r="6242" spans="1:11" x14ac:dyDescent="0.2">
      <c r="A6242">
        <v>44408</v>
      </c>
      <c r="B6242">
        <v>305500</v>
      </c>
      <c r="C6242" t="s">
        <v>9417</v>
      </c>
      <c r="D6242">
        <v>10</v>
      </c>
      <c r="E6242">
        <v>20</v>
      </c>
      <c r="F6242">
        <v>0</v>
      </c>
      <c r="G6242">
        <v>0</v>
      </c>
      <c r="H6242">
        <v>48</v>
      </c>
      <c r="I6242">
        <v>0</v>
      </c>
      <c r="J6242">
        <v>1</v>
      </c>
      <c r="K6242">
        <v>0</v>
      </c>
    </row>
    <row r="6243" spans="1:11" x14ac:dyDescent="0.2">
      <c r="A6243">
        <v>44409</v>
      </c>
      <c r="B6243">
        <v>305502</v>
      </c>
      <c r="C6243" t="s">
        <v>9418</v>
      </c>
      <c r="D6243">
        <v>10</v>
      </c>
      <c r="E6243">
        <v>20</v>
      </c>
      <c r="F6243">
        <v>2</v>
      </c>
      <c r="G6243">
        <v>40</v>
      </c>
      <c r="H6243">
        <v>10</v>
      </c>
      <c r="I6243">
        <v>0.2</v>
      </c>
      <c r="J6243">
        <v>1</v>
      </c>
      <c r="K6243">
        <v>40</v>
      </c>
    </row>
    <row r="6244" spans="1:11" x14ac:dyDescent="0.2">
      <c r="A6244">
        <v>50101</v>
      </c>
      <c r="B6244">
        <v>305506</v>
      </c>
      <c r="C6244" t="s">
        <v>9419</v>
      </c>
      <c r="D6244">
        <v>10</v>
      </c>
      <c r="E6244">
        <v>20</v>
      </c>
      <c r="F6244">
        <v>0</v>
      </c>
      <c r="G6244">
        <v>0</v>
      </c>
      <c r="H6244">
        <v>139</v>
      </c>
      <c r="I6244">
        <v>0</v>
      </c>
      <c r="J6244">
        <v>1.99</v>
      </c>
      <c r="K6244">
        <v>0</v>
      </c>
    </row>
    <row r="6245" spans="1:11" x14ac:dyDescent="0.2">
      <c r="A6245">
        <v>50102</v>
      </c>
      <c r="B6245">
        <v>305507</v>
      </c>
      <c r="C6245" t="s">
        <v>9420</v>
      </c>
      <c r="D6245">
        <v>10</v>
      </c>
      <c r="E6245">
        <v>20</v>
      </c>
      <c r="F6245">
        <v>2</v>
      </c>
      <c r="G6245">
        <v>40</v>
      </c>
      <c r="H6245">
        <v>100</v>
      </c>
      <c r="I6245">
        <v>0</v>
      </c>
      <c r="J6245">
        <v>1.99</v>
      </c>
      <c r="K6245">
        <v>79.599999999999994</v>
      </c>
    </row>
    <row r="6246" spans="1:11" x14ac:dyDescent="0.2">
      <c r="A6246">
        <v>48050</v>
      </c>
      <c r="B6246">
        <v>305517</v>
      </c>
      <c r="C6246" t="s">
        <v>9421</v>
      </c>
      <c r="D6246">
        <v>10</v>
      </c>
      <c r="E6246">
        <v>20</v>
      </c>
      <c r="F6246">
        <v>0</v>
      </c>
      <c r="G6246">
        <v>0</v>
      </c>
      <c r="H6246">
        <v>112</v>
      </c>
      <c r="I6246">
        <v>0</v>
      </c>
      <c r="J6246">
        <v>1</v>
      </c>
      <c r="K6246">
        <v>0</v>
      </c>
    </row>
    <row r="6247" spans="1:11" x14ac:dyDescent="0.2">
      <c r="A6247">
        <v>48020</v>
      </c>
      <c r="B6247">
        <v>305518</v>
      </c>
      <c r="C6247" t="s">
        <v>9422</v>
      </c>
      <c r="D6247">
        <v>10</v>
      </c>
      <c r="E6247">
        <v>20</v>
      </c>
      <c r="F6247">
        <v>0</v>
      </c>
      <c r="G6247">
        <v>0</v>
      </c>
      <c r="H6247">
        <v>42</v>
      </c>
      <c r="I6247">
        <v>0</v>
      </c>
      <c r="J6247">
        <v>1</v>
      </c>
      <c r="K6247">
        <v>0</v>
      </c>
    </row>
    <row r="6248" spans="1:11" x14ac:dyDescent="0.2">
      <c r="A6248">
        <v>41417</v>
      </c>
      <c r="B6248">
        <v>305566</v>
      </c>
      <c r="C6248" t="s">
        <v>9423</v>
      </c>
      <c r="D6248">
        <v>10</v>
      </c>
      <c r="E6248">
        <v>14</v>
      </c>
      <c r="F6248">
        <v>0</v>
      </c>
      <c r="G6248">
        <v>0</v>
      </c>
      <c r="H6248">
        <v>194</v>
      </c>
      <c r="I6248">
        <v>0</v>
      </c>
      <c r="J6248">
        <v>1</v>
      </c>
      <c r="K6248">
        <v>0</v>
      </c>
    </row>
    <row r="6249" spans="1:11" x14ac:dyDescent="0.2">
      <c r="A6249">
        <v>41418</v>
      </c>
      <c r="B6249">
        <v>305567</v>
      </c>
      <c r="C6249" t="s">
        <v>9424</v>
      </c>
      <c r="D6249">
        <v>10</v>
      </c>
      <c r="E6249">
        <v>12</v>
      </c>
      <c r="F6249">
        <v>1</v>
      </c>
      <c r="G6249">
        <v>12</v>
      </c>
      <c r="H6249">
        <v>45</v>
      </c>
      <c r="I6249">
        <v>0</v>
      </c>
      <c r="J6249">
        <v>1</v>
      </c>
      <c r="K6249">
        <v>12</v>
      </c>
    </row>
    <row r="6250" spans="1:11" x14ac:dyDescent="0.2">
      <c r="A6250">
        <v>45407</v>
      </c>
      <c r="B6250">
        <v>305575</v>
      </c>
      <c r="C6250" t="s">
        <v>9425</v>
      </c>
      <c r="D6250">
        <v>10</v>
      </c>
      <c r="E6250">
        <v>24</v>
      </c>
      <c r="F6250">
        <v>1</v>
      </c>
      <c r="G6250">
        <v>24</v>
      </c>
      <c r="H6250">
        <v>100</v>
      </c>
      <c r="I6250">
        <v>0</v>
      </c>
      <c r="J6250">
        <v>2.99</v>
      </c>
      <c r="K6250">
        <v>71.760000000000005</v>
      </c>
    </row>
    <row r="6251" spans="1:11" x14ac:dyDescent="0.2">
      <c r="A6251">
        <v>43408</v>
      </c>
      <c r="B6251">
        <v>305624</v>
      </c>
      <c r="C6251" t="s">
        <v>8103</v>
      </c>
      <c r="D6251">
        <v>10</v>
      </c>
      <c r="E6251">
        <v>16</v>
      </c>
      <c r="F6251">
        <v>0</v>
      </c>
      <c r="G6251">
        <v>0</v>
      </c>
      <c r="H6251">
        <v>35</v>
      </c>
      <c r="I6251">
        <v>0</v>
      </c>
      <c r="J6251">
        <v>1</v>
      </c>
      <c r="K6251">
        <v>0</v>
      </c>
    </row>
    <row r="6252" spans="1:11" x14ac:dyDescent="0.2">
      <c r="A6252">
        <v>50103</v>
      </c>
      <c r="B6252">
        <v>305625</v>
      </c>
      <c r="C6252" t="s">
        <v>9426</v>
      </c>
      <c r="D6252">
        <v>10</v>
      </c>
      <c r="E6252">
        <v>16</v>
      </c>
      <c r="F6252">
        <v>1</v>
      </c>
      <c r="G6252">
        <v>16</v>
      </c>
      <c r="H6252">
        <v>100</v>
      </c>
      <c r="I6252">
        <v>0</v>
      </c>
      <c r="J6252">
        <v>7.99</v>
      </c>
      <c r="K6252">
        <v>127.84</v>
      </c>
    </row>
    <row r="6253" spans="1:11" x14ac:dyDescent="0.2">
      <c r="A6253">
        <v>50104</v>
      </c>
      <c r="B6253">
        <v>305636</v>
      </c>
      <c r="C6253" t="s">
        <v>9427</v>
      </c>
      <c r="D6253">
        <v>10</v>
      </c>
      <c r="E6253">
        <v>12</v>
      </c>
      <c r="F6253">
        <v>8</v>
      </c>
      <c r="G6253">
        <v>96</v>
      </c>
      <c r="H6253">
        <v>100</v>
      </c>
      <c r="I6253">
        <v>0.1</v>
      </c>
      <c r="J6253">
        <v>3.99</v>
      </c>
      <c r="K6253">
        <v>383.04</v>
      </c>
    </row>
    <row r="6254" spans="1:11" x14ac:dyDescent="0.2">
      <c r="A6254">
        <v>50105</v>
      </c>
      <c r="B6254">
        <v>305639</v>
      </c>
      <c r="C6254" t="s">
        <v>7810</v>
      </c>
      <c r="D6254">
        <v>10</v>
      </c>
      <c r="E6254">
        <v>12</v>
      </c>
      <c r="F6254">
        <v>3</v>
      </c>
      <c r="G6254">
        <v>36</v>
      </c>
      <c r="H6254">
        <v>100</v>
      </c>
      <c r="I6254">
        <v>0</v>
      </c>
      <c r="J6254">
        <v>3.99</v>
      </c>
      <c r="K6254">
        <v>143.63999999999999</v>
      </c>
    </row>
    <row r="6255" spans="1:11" x14ac:dyDescent="0.2">
      <c r="A6255">
        <v>1206</v>
      </c>
      <c r="B6255">
        <v>305702</v>
      </c>
      <c r="C6255" t="s">
        <v>9428</v>
      </c>
      <c r="D6255">
        <v>6</v>
      </c>
      <c r="E6255">
        <v>6</v>
      </c>
      <c r="F6255">
        <v>600</v>
      </c>
      <c r="G6255">
        <v>3600</v>
      </c>
      <c r="H6255">
        <v>40</v>
      </c>
      <c r="I6255">
        <v>15</v>
      </c>
      <c r="J6255">
        <v>7.99</v>
      </c>
      <c r="K6255">
        <v>28764</v>
      </c>
    </row>
    <row r="6256" spans="1:11" x14ac:dyDescent="0.2">
      <c r="A6256">
        <v>2000</v>
      </c>
      <c r="B6256">
        <v>305713</v>
      </c>
      <c r="C6256" t="s">
        <v>8929</v>
      </c>
      <c r="D6256">
        <v>6</v>
      </c>
      <c r="E6256">
        <v>14</v>
      </c>
      <c r="F6256">
        <v>156</v>
      </c>
      <c r="G6256">
        <v>2184</v>
      </c>
      <c r="H6256">
        <v>12</v>
      </c>
      <c r="I6256">
        <v>13</v>
      </c>
      <c r="J6256">
        <v>16.989999999999998</v>
      </c>
      <c r="K6256">
        <v>37106.160000000003</v>
      </c>
    </row>
    <row r="6257" spans="1:11" x14ac:dyDescent="0.2">
      <c r="A6257">
        <v>52109</v>
      </c>
      <c r="B6257">
        <v>305714</v>
      </c>
      <c r="C6257" t="s">
        <v>9429</v>
      </c>
      <c r="D6257">
        <v>10</v>
      </c>
      <c r="E6257">
        <v>16</v>
      </c>
      <c r="F6257">
        <v>191</v>
      </c>
      <c r="G6257">
        <v>3056</v>
      </c>
      <c r="H6257">
        <v>100</v>
      </c>
      <c r="I6257">
        <v>1.9</v>
      </c>
      <c r="J6257">
        <v>4.99</v>
      </c>
      <c r="K6257">
        <v>15249.44</v>
      </c>
    </row>
    <row r="6258" spans="1:11" x14ac:dyDescent="0.2">
      <c r="A6258">
        <v>52110</v>
      </c>
      <c r="B6258">
        <v>305715</v>
      </c>
      <c r="C6258" t="s">
        <v>9430</v>
      </c>
      <c r="D6258">
        <v>10</v>
      </c>
      <c r="E6258">
        <v>16</v>
      </c>
      <c r="F6258">
        <v>191</v>
      </c>
      <c r="G6258">
        <v>3056</v>
      </c>
      <c r="H6258">
        <v>100</v>
      </c>
      <c r="I6258">
        <v>1.9</v>
      </c>
      <c r="J6258">
        <v>4.99</v>
      </c>
      <c r="K6258">
        <v>15249.44</v>
      </c>
    </row>
    <row r="6259" spans="1:11" x14ac:dyDescent="0.2">
      <c r="A6259">
        <v>45422</v>
      </c>
      <c r="B6259">
        <v>305726</v>
      </c>
      <c r="C6259" t="s">
        <v>9431</v>
      </c>
      <c r="D6259">
        <v>10</v>
      </c>
      <c r="E6259">
        <v>12</v>
      </c>
      <c r="F6259">
        <v>1</v>
      </c>
      <c r="G6259">
        <v>12</v>
      </c>
      <c r="H6259">
        <v>15</v>
      </c>
      <c r="I6259">
        <v>0.1</v>
      </c>
      <c r="J6259">
        <v>19.989999999999998</v>
      </c>
      <c r="K6259">
        <v>239.88</v>
      </c>
    </row>
    <row r="6260" spans="1:11" x14ac:dyDescent="0.2">
      <c r="A6260">
        <v>42407</v>
      </c>
      <c r="B6260">
        <v>305733</v>
      </c>
      <c r="C6260" t="s">
        <v>8441</v>
      </c>
      <c r="D6260">
        <v>10</v>
      </c>
      <c r="E6260">
        <v>16</v>
      </c>
      <c r="F6260">
        <v>0</v>
      </c>
      <c r="G6260">
        <v>0</v>
      </c>
      <c r="H6260">
        <v>20</v>
      </c>
      <c r="I6260">
        <v>0</v>
      </c>
      <c r="J6260">
        <v>1</v>
      </c>
      <c r="K6260">
        <v>0</v>
      </c>
    </row>
    <row r="6261" spans="1:11" x14ac:dyDescent="0.2">
      <c r="A6261">
        <v>42408</v>
      </c>
      <c r="B6261">
        <v>305734</v>
      </c>
      <c r="C6261" t="s">
        <v>8440</v>
      </c>
      <c r="D6261">
        <v>10</v>
      </c>
      <c r="E6261">
        <v>16</v>
      </c>
      <c r="F6261">
        <v>0</v>
      </c>
      <c r="G6261">
        <v>0</v>
      </c>
      <c r="H6261">
        <v>25</v>
      </c>
      <c r="I6261">
        <v>0</v>
      </c>
      <c r="J6261">
        <v>1</v>
      </c>
      <c r="K6261">
        <v>0</v>
      </c>
    </row>
    <row r="6262" spans="1:11" x14ac:dyDescent="0.2">
      <c r="A6262">
        <v>52111</v>
      </c>
      <c r="B6262">
        <v>305745</v>
      </c>
      <c r="C6262" t="s">
        <v>9432</v>
      </c>
      <c r="D6262">
        <v>10</v>
      </c>
      <c r="E6262">
        <v>14</v>
      </c>
      <c r="F6262">
        <v>301</v>
      </c>
      <c r="G6262">
        <v>4214</v>
      </c>
      <c r="H6262">
        <v>24</v>
      </c>
      <c r="I6262">
        <v>12.5</v>
      </c>
      <c r="J6262">
        <v>4.99</v>
      </c>
      <c r="K6262">
        <v>21027.86</v>
      </c>
    </row>
    <row r="6263" spans="1:11" x14ac:dyDescent="0.2">
      <c r="A6263">
        <v>52112</v>
      </c>
      <c r="B6263">
        <v>305749</v>
      </c>
      <c r="C6263" t="s">
        <v>9433</v>
      </c>
      <c r="D6263">
        <v>10</v>
      </c>
      <c r="E6263">
        <v>16</v>
      </c>
      <c r="F6263">
        <v>576</v>
      </c>
      <c r="G6263">
        <v>9216</v>
      </c>
      <c r="H6263">
        <v>36</v>
      </c>
      <c r="I6263">
        <v>16</v>
      </c>
      <c r="J6263">
        <v>3.99</v>
      </c>
      <c r="K6263">
        <v>36771.839999999997</v>
      </c>
    </row>
    <row r="6264" spans="1:11" x14ac:dyDescent="0.2">
      <c r="A6264">
        <v>41419</v>
      </c>
      <c r="B6264">
        <v>305761</v>
      </c>
      <c r="C6264" t="s">
        <v>8929</v>
      </c>
      <c r="D6264">
        <v>10</v>
      </c>
      <c r="E6264">
        <v>12</v>
      </c>
      <c r="F6264">
        <v>0</v>
      </c>
      <c r="G6264">
        <v>0</v>
      </c>
      <c r="H6264">
        <v>15</v>
      </c>
      <c r="I6264">
        <v>0</v>
      </c>
      <c r="J6264">
        <v>1</v>
      </c>
      <c r="K6264">
        <v>0</v>
      </c>
    </row>
    <row r="6265" spans="1:11" x14ac:dyDescent="0.2">
      <c r="A6265">
        <v>48021</v>
      </c>
      <c r="B6265">
        <v>305765</v>
      </c>
      <c r="C6265" t="s">
        <v>9434</v>
      </c>
      <c r="D6265">
        <v>10</v>
      </c>
      <c r="E6265">
        <v>16</v>
      </c>
      <c r="F6265">
        <v>0</v>
      </c>
      <c r="G6265">
        <v>0</v>
      </c>
      <c r="H6265">
        <v>22</v>
      </c>
      <c r="I6265">
        <v>0</v>
      </c>
      <c r="J6265">
        <v>1</v>
      </c>
      <c r="K6265">
        <v>0</v>
      </c>
    </row>
    <row r="6266" spans="1:11" x14ac:dyDescent="0.2">
      <c r="A6266">
        <v>50029</v>
      </c>
      <c r="B6266">
        <v>305780</v>
      </c>
      <c r="C6266" t="s">
        <v>8440</v>
      </c>
      <c r="D6266">
        <v>10</v>
      </c>
      <c r="E6266">
        <v>12</v>
      </c>
      <c r="F6266">
        <v>0</v>
      </c>
      <c r="G6266">
        <v>0</v>
      </c>
      <c r="H6266">
        <v>30</v>
      </c>
      <c r="I6266">
        <v>0</v>
      </c>
      <c r="J6266">
        <v>4.99</v>
      </c>
      <c r="K6266">
        <v>0</v>
      </c>
    </row>
    <row r="6267" spans="1:11" x14ac:dyDescent="0.2">
      <c r="A6267">
        <v>50030</v>
      </c>
      <c r="B6267">
        <v>305781</v>
      </c>
      <c r="C6267" t="s">
        <v>8441</v>
      </c>
      <c r="D6267">
        <v>10</v>
      </c>
      <c r="E6267">
        <v>12</v>
      </c>
      <c r="F6267">
        <v>0</v>
      </c>
      <c r="G6267">
        <v>0</v>
      </c>
      <c r="H6267">
        <v>25</v>
      </c>
      <c r="I6267">
        <v>0</v>
      </c>
      <c r="J6267">
        <v>4.99</v>
      </c>
      <c r="K6267">
        <v>0</v>
      </c>
    </row>
    <row r="6268" spans="1:11" x14ac:dyDescent="0.2">
      <c r="A6268">
        <v>50133</v>
      </c>
      <c r="B6268">
        <v>305805</v>
      </c>
      <c r="C6268" t="s">
        <v>9435</v>
      </c>
      <c r="D6268">
        <v>10</v>
      </c>
      <c r="E6268">
        <v>14</v>
      </c>
      <c r="F6268">
        <v>0</v>
      </c>
      <c r="G6268">
        <v>0</v>
      </c>
      <c r="H6268">
        <v>25</v>
      </c>
      <c r="I6268">
        <v>0</v>
      </c>
      <c r="J6268">
        <v>17.989999999999998</v>
      </c>
      <c r="K6268">
        <v>0</v>
      </c>
    </row>
    <row r="6269" spans="1:11" x14ac:dyDescent="0.2">
      <c r="A6269">
        <v>46834</v>
      </c>
      <c r="B6269">
        <v>305806</v>
      </c>
      <c r="C6269" t="s">
        <v>9436</v>
      </c>
      <c r="D6269">
        <v>10</v>
      </c>
      <c r="E6269">
        <v>10</v>
      </c>
      <c r="F6269">
        <v>1</v>
      </c>
      <c r="G6269">
        <v>10</v>
      </c>
      <c r="H6269">
        <v>66</v>
      </c>
      <c r="I6269">
        <v>0</v>
      </c>
      <c r="J6269">
        <v>7.99</v>
      </c>
      <c r="K6269">
        <v>79.900000000000006</v>
      </c>
    </row>
    <row r="6270" spans="1:11" x14ac:dyDescent="0.2">
      <c r="A6270">
        <v>49814</v>
      </c>
      <c r="B6270">
        <v>305808</v>
      </c>
      <c r="C6270" t="s">
        <v>9437</v>
      </c>
      <c r="D6270">
        <v>10</v>
      </c>
      <c r="E6270">
        <v>8</v>
      </c>
      <c r="F6270">
        <v>0</v>
      </c>
      <c r="G6270">
        <v>0</v>
      </c>
      <c r="H6270">
        <v>30</v>
      </c>
      <c r="I6270">
        <v>0</v>
      </c>
      <c r="J6270">
        <v>6.99</v>
      </c>
      <c r="K6270">
        <v>0</v>
      </c>
    </row>
    <row r="6271" spans="1:11" x14ac:dyDescent="0.2">
      <c r="A6271">
        <v>51831</v>
      </c>
      <c r="B6271">
        <v>305812</v>
      </c>
      <c r="C6271" t="s">
        <v>9438</v>
      </c>
      <c r="D6271">
        <v>10</v>
      </c>
      <c r="E6271">
        <v>4</v>
      </c>
      <c r="F6271">
        <v>16</v>
      </c>
      <c r="G6271">
        <v>62</v>
      </c>
      <c r="H6271">
        <v>30</v>
      </c>
      <c r="I6271">
        <v>0.5</v>
      </c>
      <c r="J6271">
        <v>24.49</v>
      </c>
      <c r="K6271">
        <v>1518.38</v>
      </c>
    </row>
    <row r="6272" spans="1:11" x14ac:dyDescent="0.2">
      <c r="A6272">
        <v>47835</v>
      </c>
      <c r="B6272">
        <v>305813</v>
      </c>
      <c r="C6272" t="s">
        <v>9439</v>
      </c>
      <c r="D6272">
        <v>10</v>
      </c>
      <c r="E6272">
        <v>6</v>
      </c>
      <c r="F6272">
        <v>0</v>
      </c>
      <c r="G6272">
        <v>0</v>
      </c>
      <c r="H6272">
        <v>36</v>
      </c>
      <c r="I6272">
        <v>0</v>
      </c>
      <c r="J6272">
        <v>9.99</v>
      </c>
      <c r="K6272">
        <v>0</v>
      </c>
    </row>
    <row r="6273" spans="1:11" x14ac:dyDescent="0.2">
      <c r="A6273">
        <v>47836</v>
      </c>
      <c r="B6273">
        <v>305814</v>
      </c>
      <c r="C6273" t="s">
        <v>9440</v>
      </c>
      <c r="D6273">
        <v>10</v>
      </c>
      <c r="E6273">
        <v>12</v>
      </c>
      <c r="F6273">
        <v>0</v>
      </c>
      <c r="G6273">
        <v>0</v>
      </c>
      <c r="H6273">
        <v>20</v>
      </c>
      <c r="I6273">
        <v>0</v>
      </c>
      <c r="J6273">
        <v>6.99</v>
      </c>
      <c r="K6273">
        <v>0</v>
      </c>
    </row>
    <row r="6274" spans="1:11" x14ac:dyDescent="0.2">
      <c r="A6274">
        <v>45826</v>
      </c>
      <c r="B6274">
        <v>305819</v>
      </c>
      <c r="C6274" t="s">
        <v>9441</v>
      </c>
      <c r="D6274">
        <v>10</v>
      </c>
      <c r="E6274">
        <v>8</v>
      </c>
      <c r="F6274">
        <v>0</v>
      </c>
      <c r="G6274">
        <v>0</v>
      </c>
      <c r="H6274">
        <v>64</v>
      </c>
      <c r="I6274">
        <v>0</v>
      </c>
      <c r="J6274">
        <v>14.99</v>
      </c>
      <c r="K6274">
        <v>0</v>
      </c>
    </row>
    <row r="6275" spans="1:11" x14ac:dyDescent="0.2">
      <c r="A6275">
        <v>47837</v>
      </c>
      <c r="B6275">
        <v>305839</v>
      </c>
      <c r="C6275" t="s">
        <v>9442</v>
      </c>
      <c r="D6275">
        <v>10</v>
      </c>
      <c r="E6275">
        <v>6</v>
      </c>
      <c r="F6275">
        <v>0</v>
      </c>
      <c r="G6275">
        <v>0</v>
      </c>
      <c r="H6275">
        <v>80</v>
      </c>
      <c r="I6275">
        <v>0</v>
      </c>
      <c r="J6275">
        <v>9.99</v>
      </c>
      <c r="K6275">
        <v>0</v>
      </c>
    </row>
    <row r="6276" spans="1:11" x14ac:dyDescent="0.2">
      <c r="A6276">
        <v>47838</v>
      </c>
      <c r="B6276">
        <v>305841</v>
      </c>
      <c r="C6276" t="s">
        <v>9443</v>
      </c>
      <c r="D6276">
        <v>10</v>
      </c>
      <c r="E6276">
        <v>6</v>
      </c>
      <c r="F6276">
        <v>1</v>
      </c>
      <c r="G6276">
        <v>6</v>
      </c>
      <c r="H6276">
        <v>100</v>
      </c>
      <c r="I6276">
        <v>0</v>
      </c>
      <c r="J6276">
        <v>9.99</v>
      </c>
      <c r="K6276">
        <v>59.94</v>
      </c>
    </row>
    <row r="6277" spans="1:11" x14ac:dyDescent="0.2">
      <c r="A6277">
        <v>47839</v>
      </c>
      <c r="B6277">
        <v>305845</v>
      </c>
      <c r="C6277" t="s">
        <v>7469</v>
      </c>
      <c r="D6277">
        <v>10</v>
      </c>
      <c r="E6277">
        <v>4</v>
      </c>
      <c r="F6277">
        <v>0</v>
      </c>
      <c r="G6277">
        <v>0</v>
      </c>
      <c r="H6277">
        <v>84</v>
      </c>
      <c r="I6277">
        <v>0</v>
      </c>
      <c r="J6277">
        <v>6.99</v>
      </c>
      <c r="K6277">
        <v>0</v>
      </c>
    </row>
    <row r="6278" spans="1:11" x14ac:dyDescent="0.2">
      <c r="A6278">
        <v>51832</v>
      </c>
      <c r="B6278">
        <v>305856</v>
      </c>
      <c r="C6278" t="s">
        <v>9444</v>
      </c>
      <c r="D6278">
        <v>10</v>
      </c>
      <c r="E6278">
        <v>4</v>
      </c>
      <c r="F6278">
        <v>137</v>
      </c>
      <c r="G6278">
        <v>549</v>
      </c>
      <c r="H6278">
        <v>24</v>
      </c>
      <c r="I6278">
        <v>5.7</v>
      </c>
      <c r="J6278">
        <v>44.99</v>
      </c>
      <c r="K6278">
        <v>24699.51</v>
      </c>
    </row>
    <row r="6279" spans="1:11" x14ac:dyDescent="0.2">
      <c r="A6279">
        <v>47417</v>
      </c>
      <c r="B6279">
        <v>305857</v>
      </c>
      <c r="C6279" t="s">
        <v>9445</v>
      </c>
      <c r="D6279">
        <v>10</v>
      </c>
      <c r="E6279">
        <v>1</v>
      </c>
      <c r="F6279">
        <v>0</v>
      </c>
      <c r="G6279">
        <v>0</v>
      </c>
      <c r="H6279">
        <v>40</v>
      </c>
      <c r="I6279">
        <v>0</v>
      </c>
      <c r="J6279">
        <v>179</v>
      </c>
      <c r="K6279">
        <v>0</v>
      </c>
    </row>
    <row r="6280" spans="1:11" x14ac:dyDescent="0.2">
      <c r="A6280">
        <v>45827</v>
      </c>
      <c r="B6280">
        <v>305860</v>
      </c>
      <c r="C6280" t="s">
        <v>9446</v>
      </c>
      <c r="D6280">
        <v>10</v>
      </c>
      <c r="E6280">
        <v>4</v>
      </c>
      <c r="F6280">
        <v>0</v>
      </c>
      <c r="G6280">
        <v>0</v>
      </c>
      <c r="H6280">
        <v>60</v>
      </c>
      <c r="I6280">
        <v>0</v>
      </c>
      <c r="J6280">
        <v>13.99</v>
      </c>
      <c r="K6280">
        <v>0</v>
      </c>
    </row>
    <row r="6281" spans="1:11" x14ac:dyDescent="0.2">
      <c r="A6281">
        <v>44836</v>
      </c>
      <c r="B6281">
        <v>305862</v>
      </c>
      <c r="C6281" t="s">
        <v>9447</v>
      </c>
      <c r="D6281">
        <v>10</v>
      </c>
      <c r="E6281">
        <v>4</v>
      </c>
      <c r="F6281">
        <v>1</v>
      </c>
      <c r="G6281">
        <v>4</v>
      </c>
      <c r="H6281">
        <v>56</v>
      </c>
      <c r="I6281">
        <v>0</v>
      </c>
      <c r="J6281">
        <v>13.99</v>
      </c>
      <c r="K6281">
        <v>55.96</v>
      </c>
    </row>
    <row r="6282" spans="1:11" x14ac:dyDescent="0.2">
      <c r="A6282">
        <v>44837</v>
      </c>
      <c r="B6282">
        <v>305863</v>
      </c>
      <c r="C6282" t="s">
        <v>9448</v>
      </c>
      <c r="D6282">
        <v>10</v>
      </c>
      <c r="E6282">
        <v>6</v>
      </c>
      <c r="F6282">
        <v>0</v>
      </c>
      <c r="G6282">
        <v>0</v>
      </c>
      <c r="H6282">
        <v>72</v>
      </c>
      <c r="I6282">
        <v>0</v>
      </c>
      <c r="J6282">
        <v>8.99</v>
      </c>
      <c r="K6282">
        <v>0</v>
      </c>
    </row>
    <row r="6283" spans="1:11" x14ac:dyDescent="0.2">
      <c r="A6283">
        <v>44838</v>
      </c>
      <c r="B6283">
        <v>305864</v>
      </c>
      <c r="C6283" t="s">
        <v>9449</v>
      </c>
      <c r="D6283">
        <v>10</v>
      </c>
      <c r="E6283">
        <v>6</v>
      </c>
      <c r="F6283">
        <v>0</v>
      </c>
      <c r="G6283">
        <v>0</v>
      </c>
      <c r="H6283">
        <v>48</v>
      </c>
      <c r="I6283">
        <v>0</v>
      </c>
      <c r="J6283">
        <v>9.99</v>
      </c>
      <c r="K6283">
        <v>0</v>
      </c>
    </row>
    <row r="6284" spans="1:11" x14ac:dyDescent="0.2">
      <c r="A6284">
        <v>44839</v>
      </c>
      <c r="B6284">
        <v>305865</v>
      </c>
      <c r="C6284" t="s">
        <v>9450</v>
      </c>
      <c r="D6284">
        <v>10</v>
      </c>
      <c r="E6284">
        <v>6</v>
      </c>
      <c r="F6284">
        <v>0</v>
      </c>
      <c r="G6284">
        <v>0</v>
      </c>
      <c r="H6284">
        <v>20</v>
      </c>
      <c r="I6284">
        <v>0</v>
      </c>
      <c r="J6284">
        <v>9.99</v>
      </c>
      <c r="K6284">
        <v>0</v>
      </c>
    </row>
    <row r="6285" spans="1:11" x14ac:dyDescent="0.2">
      <c r="A6285">
        <v>48051</v>
      </c>
      <c r="B6285">
        <v>305870</v>
      </c>
      <c r="C6285" t="s">
        <v>9451</v>
      </c>
      <c r="D6285">
        <v>10</v>
      </c>
      <c r="E6285">
        <v>8</v>
      </c>
      <c r="F6285">
        <v>0</v>
      </c>
      <c r="G6285">
        <v>0</v>
      </c>
      <c r="H6285">
        <v>100</v>
      </c>
      <c r="I6285">
        <v>0</v>
      </c>
      <c r="J6285">
        <v>12.49</v>
      </c>
      <c r="K6285">
        <v>0</v>
      </c>
    </row>
    <row r="6286" spans="1:11" x14ac:dyDescent="0.2">
      <c r="A6286">
        <v>47840</v>
      </c>
      <c r="B6286">
        <v>305871</v>
      </c>
      <c r="C6286" t="s">
        <v>9452</v>
      </c>
      <c r="D6286">
        <v>10</v>
      </c>
      <c r="E6286">
        <v>12</v>
      </c>
      <c r="F6286">
        <v>0</v>
      </c>
      <c r="G6286">
        <v>0</v>
      </c>
      <c r="H6286">
        <v>20</v>
      </c>
      <c r="I6286">
        <v>0</v>
      </c>
      <c r="J6286">
        <v>5.99</v>
      </c>
      <c r="K6286">
        <v>0</v>
      </c>
    </row>
    <row r="6287" spans="1:11" x14ac:dyDescent="0.2">
      <c r="A6287">
        <v>47841</v>
      </c>
      <c r="B6287">
        <v>305893</v>
      </c>
      <c r="C6287" t="s">
        <v>9278</v>
      </c>
      <c r="D6287">
        <v>10</v>
      </c>
      <c r="E6287">
        <v>10</v>
      </c>
      <c r="F6287">
        <v>0</v>
      </c>
      <c r="G6287">
        <v>0</v>
      </c>
      <c r="H6287">
        <v>220</v>
      </c>
      <c r="I6287">
        <v>0</v>
      </c>
      <c r="J6287">
        <v>4.99</v>
      </c>
      <c r="K6287">
        <v>0</v>
      </c>
    </row>
    <row r="6288" spans="1:11" x14ac:dyDescent="0.2">
      <c r="A6288">
        <v>48836</v>
      </c>
      <c r="B6288">
        <v>305908</v>
      </c>
      <c r="C6288" t="s">
        <v>9453</v>
      </c>
      <c r="D6288">
        <v>10</v>
      </c>
      <c r="E6288">
        <v>24</v>
      </c>
      <c r="F6288">
        <v>2</v>
      </c>
      <c r="G6288">
        <v>48</v>
      </c>
      <c r="H6288">
        <v>49</v>
      </c>
      <c r="I6288">
        <v>0</v>
      </c>
      <c r="J6288">
        <v>2.99</v>
      </c>
      <c r="K6288">
        <v>143.52000000000001</v>
      </c>
    </row>
    <row r="6289" spans="1:11" x14ac:dyDescent="0.2">
      <c r="A6289">
        <v>49111</v>
      </c>
      <c r="B6289">
        <v>305913</v>
      </c>
      <c r="C6289" t="s">
        <v>9454</v>
      </c>
      <c r="D6289">
        <v>10</v>
      </c>
      <c r="E6289">
        <v>6</v>
      </c>
      <c r="F6289">
        <v>12</v>
      </c>
      <c r="G6289">
        <v>73</v>
      </c>
      <c r="H6289">
        <v>192</v>
      </c>
      <c r="I6289">
        <v>0.1</v>
      </c>
      <c r="J6289">
        <v>14.99</v>
      </c>
      <c r="K6289">
        <v>1094.27</v>
      </c>
    </row>
    <row r="6290" spans="1:11" x14ac:dyDescent="0.2">
      <c r="A6290">
        <v>46011</v>
      </c>
      <c r="B6290">
        <v>305919</v>
      </c>
      <c r="C6290" t="s">
        <v>9455</v>
      </c>
      <c r="D6290">
        <v>10</v>
      </c>
      <c r="E6290">
        <v>12</v>
      </c>
      <c r="F6290">
        <v>0</v>
      </c>
      <c r="G6290">
        <v>0</v>
      </c>
      <c r="H6290">
        <v>100</v>
      </c>
      <c r="I6290">
        <v>0</v>
      </c>
      <c r="J6290">
        <v>1</v>
      </c>
      <c r="K6290">
        <v>0</v>
      </c>
    </row>
    <row r="6291" spans="1:11" x14ac:dyDescent="0.2">
      <c r="A6291">
        <v>46017</v>
      </c>
      <c r="B6291">
        <v>305926</v>
      </c>
      <c r="C6291" t="s">
        <v>9456</v>
      </c>
      <c r="D6291">
        <v>10</v>
      </c>
      <c r="E6291">
        <v>221</v>
      </c>
      <c r="F6291">
        <v>0</v>
      </c>
      <c r="G6291">
        <v>0</v>
      </c>
      <c r="H6291">
        <v>28</v>
      </c>
      <c r="I6291">
        <v>0</v>
      </c>
      <c r="J6291">
        <v>1.49</v>
      </c>
      <c r="K6291">
        <v>0</v>
      </c>
    </row>
    <row r="6292" spans="1:11" x14ac:dyDescent="0.2">
      <c r="A6292">
        <v>46051</v>
      </c>
      <c r="B6292">
        <v>305929</v>
      </c>
      <c r="C6292" t="s">
        <v>9457</v>
      </c>
      <c r="D6292">
        <v>10</v>
      </c>
      <c r="E6292">
        <v>20</v>
      </c>
      <c r="F6292">
        <v>0</v>
      </c>
      <c r="G6292">
        <v>0</v>
      </c>
      <c r="H6292">
        <v>12</v>
      </c>
      <c r="I6292">
        <v>0</v>
      </c>
      <c r="J6292">
        <v>1</v>
      </c>
      <c r="K6292">
        <v>0</v>
      </c>
    </row>
    <row r="6293" spans="1:11" x14ac:dyDescent="0.2">
      <c r="A6293">
        <v>51078</v>
      </c>
      <c r="B6293">
        <v>305944</v>
      </c>
      <c r="C6293" t="s">
        <v>9458</v>
      </c>
      <c r="D6293">
        <v>10</v>
      </c>
      <c r="E6293">
        <v>4</v>
      </c>
      <c r="F6293">
        <v>9</v>
      </c>
      <c r="G6293">
        <v>36</v>
      </c>
      <c r="H6293">
        <v>402</v>
      </c>
      <c r="I6293">
        <v>0</v>
      </c>
      <c r="J6293">
        <v>19.989999999999998</v>
      </c>
      <c r="K6293">
        <v>719.64</v>
      </c>
    </row>
    <row r="6294" spans="1:11" x14ac:dyDescent="0.2">
      <c r="A6294">
        <v>51056</v>
      </c>
      <c r="B6294">
        <v>305965</v>
      </c>
      <c r="C6294" t="s">
        <v>7481</v>
      </c>
      <c r="D6294">
        <v>10</v>
      </c>
      <c r="E6294">
        <v>8</v>
      </c>
      <c r="F6294">
        <v>-2</v>
      </c>
      <c r="G6294">
        <v>-16</v>
      </c>
      <c r="H6294">
        <v>140</v>
      </c>
      <c r="I6294">
        <v>0</v>
      </c>
      <c r="J6294">
        <v>11.99</v>
      </c>
      <c r="K6294">
        <v>-191.84</v>
      </c>
    </row>
    <row r="6295" spans="1:11" x14ac:dyDescent="0.2">
      <c r="A6295">
        <v>48010</v>
      </c>
      <c r="B6295">
        <v>305984</v>
      </c>
      <c r="C6295" t="s">
        <v>9459</v>
      </c>
      <c r="D6295">
        <v>10</v>
      </c>
      <c r="E6295">
        <v>4</v>
      </c>
      <c r="F6295">
        <v>0</v>
      </c>
      <c r="G6295">
        <v>0</v>
      </c>
      <c r="H6295">
        <v>110</v>
      </c>
      <c r="I6295">
        <v>0</v>
      </c>
      <c r="J6295">
        <v>9.99</v>
      </c>
      <c r="K6295">
        <v>0</v>
      </c>
    </row>
    <row r="6296" spans="1:11" x14ac:dyDescent="0.2">
      <c r="A6296">
        <v>51080</v>
      </c>
      <c r="B6296">
        <v>305985</v>
      </c>
      <c r="C6296" t="s">
        <v>7455</v>
      </c>
      <c r="D6296">
        <v>10</v>
      </c>
      <c r="E6296">
        <v>12</v>
      </c>
      <c r="F6296">
        <v>1</v>
      </c>
      <c r="G6296">
        <v>12</v>
      </c>
      <c r="H6296">
        <v>225</v>
      </c>
      <c r="I6296">
        <v>0</v>
      </c>
      <c r="J6296">
        <v>11.99</v>
      </c>
      <c r="K6296">
        <v>143.88</v>
      </c>
    </row>
    <row r="6297" spans="1:11" x14ac:dyDescent="0.2">
      <c r="A6297">
        <v>51128</v>
      </c>
      <c r="B6297">
        <v>305991</v>
      </c>
      <c r="C6297" t="s">
        <v>7910</v>
      </c>
      <c r="D6297">
        <v>10</v>
      </c>
      <c r="E6297">
        <v>4</v>
      </c>
      <c r="F6297">
        <v>9</v>
      </c>
      <c r="G6297">
        <v>36</v>
      </c>
      <c r="H6297">
        <v>20</v>
      </c>
      <c r="I6297">
        <v>0.5</v>
      </c>
      <c r="J6297">
        <v>29.99</v>
      </c>
      <c r="K6297">
        <v>1079.6400000000001</v>
      </c>
    </row>
    <row r="6298" spans="1:11" x14ac:dyDescent="0.2">
      <c r="A6298">
        <v>50031</v>
      </c>
      <c r="B6298">
        <v>306001</v>
      </c>
      <c r="C6298" t="s">
        <v>8563</v>
      </c>
      <c r="D6298">
        <v>10</v>
      </c>
      <c r="E6298">
        <v>6</v>
      </c>
      <c r="F6298">
        <v>0</v>
      </c>
      <c r="G6298">
        <v>0</v>
      </c>
      <c r="H6298">
        <v>56</v>
      </c>
      <c r="I6298">
        <v>0</v>
      </c>
      <c r="J6298">
        <v>16.989999999999998</v>
      </c>
      <c r="K6298">
        <v>0</v>
      </c>
    </row>
    <row r="6299" spans="1:11" x14ac:dyDescent="0.2">
      <c r="A6299">
        <v>50827</v>
      </c>
      <c r="B6299">
        <v>306015</v>
      </c>
      <c r="C6299" t="s">
        <v>9460</v>
      </c>
      <c r="D6299">
        <v>10</v>
      </c>
      <c r="E6299">
        <v>6</v>
      </c>
      <c r="F6299">
        <v>1</v>
      </c>
      <c r="G6299">
        <v>6</v>
      </c>
      <c r="H6299">
        <v>288</v>
      </c>
      <c r="I6299">
        <v>0</v>
      </c>
      <c r="J6299">
        <v>7.99</v>
      </c>
      <c r="K6299">
        <v>47.94</v>
      </c>
    </row>
    <row r="6300" spans="1:11" x14ac:dyDescent="0.2">
      <c r="A6300">
        <v>4200</v>
      </c>
      <c r="B6300">
        <v>306038</v>
      </c>
      <c r="C6300" t="s">
        <v>9461</v>
      </c>
      <c r="D6300">
        <v>6</v>
      </c>
      <c r="E6300">
        <v>5</v>
      </c>
      <c r="F6300">
        <v>269</v>
      </c>
      <c r="G6300">
        <v>1345</v>
      </c>
      <c r="H6300">
        <v>100</v>
      </c>
      <c r="I6300">
        <v>2.7</v>
      </c>
      <c r="J6300">
        <v>14.99</v>
      </c>
      <c r="K6300">
        <v>20161.55</v>
      </c>
    </row>
    <row r="6301" spans="1:11" x14ac:dyDescent="0.2">
      <c r="A6301">
        <v>13100</v>
      </c>
      <c r="B6301">
        <v>306054</v>
      </c>
      <c r="C6301" t="s">
        <v>9358</v>
      </c>
      <c r="D6301">
        <v>6</v>
      </c>
      <c r="E6301">
        <v>20</v>
      </c>
      <c r="F6301">
        <v>164</v>
      </c>
      <c r="G6301">
        <v>3280</v>
      </c>
      <c r="H6301">
        <v>110</v>
      </c>
      <c r="I6301">
        <v>1.5</v>
      </c>
      <c r="J6301">
        <v>3.99</v>
      </c>
      <c r="K6301">
        <v>13087.2</v>
      </c>
    </row>
    <row r="6302" spans="1:11" x14ac:dyDescent="0.2">
      <c r="A6302">
        <v>51006</v>
      </c>
      <c r="B6302">
        <v>306072</v>
      </c>
      <c r="C6302" t="s">
        <v>9462</v>
      </c>
      <c r="D6302">
        <v>10</v>
      </c>
      <c r="E6302">
        <v>4</v>
      </c>
      <c r="F6302">
        <v>2</v>
      </c>
      <c r="G6302">
        <v>8</v>
      </c>
      <c r="H6302">
        <v>108</v>
      </c>
      <c r="I6302">
        <v>0</v>
      </c>
      <c r="J6302">
        <v>26.99</v>
      </c>
      <c r="K6302">
        <v>215.92</v>
      </c>
    </row>
    <row r="6303" spans="1:11" x14ac:dyDescent="0.2">
      <c r="A6303">
        <v>44436</v>
      </c>
      <c r="B6303">
        <v>306073</v>
      </c>
      <c r="C6303" t="s">
        <v>9218</v>
      </c>
      <c r="D6303">
        <v>10</v>
      </c>
      <c r="E6303">
        <v>8</v>
      </c>
      <c r="F6303">
        <v>2</v>
      </c>
      <c r="G6303">
        <v>16</v>
      </c>
      <c r="H6303">
        <v>100</v>
      </c>
      <c r="I6303">
        <v>0</v>
      </c>
      <c r="J6303">
        <v>7.99</v>
      </c>
      <c r="K6303">
        <v>127.84</v>
      </c>
    </row>
    <row r="6304" spans="1:11" x14ac:dyDescent="0.2">
      <c r="A6304">
        <v>44437</v>
      </c>
      <c r="B6304">
        <v>306075</v>
      </c>
      <c r="C6304" t="s">
        <v>9463</v>
      </c>
      <c r="D6304">
        <v>10</v>
      </c>
      <c r="E6304">
        <v>6</v>
      </c>
      <c r="F6304">
        <v>9</v>
      </c>
      <c r="G6304">
        <v>54</v>
      </c>
      <c r="H6304">
        <v>35</v>
      </c>
      <c r="I6304">
        <v>0.3</v>
      </c>
      <c r="J6304">
        <v>11.99</v>
      </c>
      <c r="K6304">
        <v>647.46</v>
      </c>
    </row>
    <row r="6305" spans="1:11" x14ac:dyDescent="0.2">
      <c r="A6305">
        <v>48137</v>
      </c>
      <c r="B6305">
        <v>306076</v>
      </c>
      <c r="C6305" t="s">
        <v>9464</v>
      </c>
      <c r="D6305">
        <v>10</v>
      </c>
      <c r="E6305">
        <v>1</v>
      </c>
      <c r="F6305">
        <v>0</v>
      </c>
      <c r="G6305">
        <v>0</v>
      </c>
      <c r="H6305">
        <v>24</v>
      </c>
      <c r="I6305">
        <v>0</v>
      </c>
      <c r="J6305">
        <v>59.99</v>
      </c>
      <c r="K6305">
        <v>0</v>
      </c>
    </row>
    <row r="6306" spans="1:11" x14ac:dyDescent="0.2">
      <c r="A6306">
        <v>47404</v>
      </c>
      <c r="B6306">
        <v>306091</v>
      </c>
      <c r="C6306" t="s">
        <v>9465</v>
      </c>
      <c r="D6306">
        <v>10</v>
      </c>
      <c r="E6306">
        <v>10</v>
      </c>
      <c r="F6306">
        <v>0</v>
      </c>
      <c r="G6306">
        <v>0</v>
      </c>
      <c r="H6306">
        <v>35</v>
      </c>
      <c r="I6306">
        <v>0</v>
      </c>
      <c r="J6306">
        <v>6.99</v>
      </c>
      <c r="K6306">
        <v>0</v>
      </c>
    </row>
    <row r="6307" spans="1:11" x14ac:dyDescent="0.2">
      <c r="A6307">
        <v>48138</v>
      </c>
      <c r="B6307">
        <v>306103</v>
      </c>
      <c r="C6307" t="s">
        <v>9466</v>
      </c>
      <c r="D6307">
        <v>10</v>
      </c>
      <c r="E6307">
        <v>4</v>
      </c>
      <c r="F6307">
        <v>0</v>
      </c>
      <c r="G6307">
        <v>0</v>
      </c>
      <c r="H6307">
        <v>70</v>
      </c>
      <c r="I6307">
        <v>0</v>
      </c>
      <c r="J6307">
        <v>14.99</v>
      </c>
      <c r="K6307">
        <v>0</v>
      </c>
    </row>
    <row r="6308" spans="1:11" x14ac:dyDescent="0.2">
      <c r="A6308">
        <v>48139</v>
      </c>
      <c r="B6308">
        <v>306107</v>
      </c>
      <c r="C6308" t="s">
        <v>9467</v>
      </c>
      <c r="D6308">
        <v>10</v>
      </c>
      <c r="E6308">
        <v>6</v>
      </c>
      <c r="F6308">
        <v>1</v>
      </c>
      <c r="G6308">
        <v>3</v>
      </c>
      <c r="H6308">
        <v>42</v>
      </c>
      <c r="I6308">
        <v>0</v>
      </c>
      <c r="J6308">
        <v>9.99</v>
      </c>
      <c r="K6308">
        <v>29.97</v>
      </c>
    </row>
    <row r="6309" spans="1:11" x14ac:dyDescent="0.2">
      <c r="A6309">
        <v>51007</v>
      </c>
      <c r="B6309">
        <v>306119</v>
      </c>
      <c r="C6309" t="s">
        <v>9468</v>
      </c>
      <c r="D6309">
        <v>10</v>
      </c>
      <c r="E6309">
        <v>6</v>
      </c>
      <c r="F6309">
        <v>1</v>
      </c>
      <c r="G6309">
        <v>6</v>
      </c>
      <c r="H6309">
        <v>100</v>
      </c>
      <c r="I6309">
        <v>0</v>
      </c>
      <c r="J6309">
        <v>12.99</v>
      </c>
      <c r="K6309">
        <v>77.94</v>
      </c>
    </row>
    <row r="6310" spans="1:11" x14ac:dyDescent="0.2">
      <c r="A6310">
        <v>43859</v>
      </c>
      <c r="B6310">
        <v>306155</v>
      </c>
      <c r="C6310" t="s">
        <v>9469</v>
      </c>
      <c r="D6310">
        <v>10</v>
      </c>
      <c r="E6310">
        <v>1</v>
      </c>
      <c r="F6310">
        <v>0</v>
      </c>
      <c r="G6310">
        <v>0</v>
      </c>
      <c r="H6310">
        <v>33</v>
      </c>
      <c r="I6310">
        <v>0</v>
      </c>
      <c r="J6310">
        <v>49.99</v>
      </c>
      <c r="K6310">
        <v>0</v>
      </c>
    </row>
    <row r="6311" spans="1:11" x14ac:dyDescent="0.2">
      <c r="A6311">
        <v>46018</v>
      </c>
      <c r="B6311">
        <v>306156</v>
      </c>
      <c r="C6311" t="s">
        <v>9456</v>
      </c>
      <c r="D6311">
        <v>10</v>
      </c>
      <c r="E6311">
        <v>93</v>
      </c>
      <c r="F6311">
        <v>1</v>
      </c>
      <c r="G6311">
        <v>93</v>
      </c>
      <c r="H6311">
        <v>100</v>
      </c>
      <c r="I6311">
        <v>0</v>
      </c>
      <c r="J6311">
        <v>1.49</v>
      </c>
      <c r="K6311">
        <v>138.57</v>
      </c>
    </row>
    <row r="6312" spans="1:11" x14ac:dyDescent="0.2">
      <c r="A6312">
        <v>48140</v>
      </c>
      <c r="B6312">
        <v>306182</v>
      </c>
      <c r="C6312" t="s">
        <v>9470</v>
      </c>
      <c r="D6312">
        <v>10</v>
      </c>
      <c r="E6312">
        <v>4</v>
      </c>
      <c r="F6312">
        <v>0</v>
      </c>
      <c r="G6312">
        <v>0</v>
      </c>
      <c r="H6312">
        <v>70</v>
      </c>
      <c r="I6312">
        <v>0</v>
      </c>
      <c r="J6312">
        <v>14.99</v>
      </c>
      <c r="K6312">
        <v>0</v>
      </c>
    </row>
    <row r="6313" spans="1:11" x14ac:dyDescent="0.2">
      <c r="A6313">
        <v>46019</v>
      </c>
      <c r="B6313">
        <v>306208</v>
      </c>
      <c r="C6313" t="s">
        <v>9101</v>
      </c>
      <c r="D6313">
        <v>10</v>
      </c>
      <c r="E6313">
        <v>71</v>
      </c>
      <c r="F6313">
        <v>0</v>
      </c>
      <c r="G6313">
        <v>0</v>
      </c>
      <c r="H6313">
        <v>32</v>
      </c>
      <c r="I6313">
        <v>0</v>
      </c>
      <c r="J6313">
        <v>1</v>
      </c>
      <c r="K6313">
        <v>0</v>
      </c>
    </row>
    <row r="6314" spans="1:11" x14ac:dyDescent="0.2">
      <c r="A6314">
        <v>46052</v>
      </c>
      <c r="B6314">
        <v>306217</v>
      </c>
      <c r="C6314" t="s">
        <v>9471</v>
      </c>
      <c r="D6314">
        <v>10</v>
      </c>
      <c r="E6314">
        <v>12</v>
      </c>
      <c r="F6314">
        <v>0</v>
      </c>
      <c r="G6314">
        <v>0</v>
      </c>
      <c r="H6314">
        <v>40</v>
      </c>
      <c r="I6314">
        <v>0</v>
      </c>
      <c r="J6314">
        <v>1</v>
      </c>
      <c r="K6314">
        <v>0</v>
      </c>
    </row>
    <row r="6315" spans="1:11" x14ac:dyDescent="0.2">
      <c r="A6315">
        <v>49815</v>
      </c>
      <c r="B6315">
        <v>306253</v>
      </c>
      <c r="C6315" t="s">
        <v>9472</v>
      </c>
      <c r="D6315">
        <v>10</v>
      </c>
      <c r="E6315">
        <v>1</v>
      </c>
      <c r="F6315">
        <v>6</v>
      </c>
      <c r="G6315">
        <v>6</v>
      </c>
      <c r="H6315">
        <v>32</v>
      </c>
      <c r="I6315">
        <v>0.2</v>
      </c>
      <c r="J6315">
        <v>34.99</v>
      </c>
      <c r="K6315">
        <v>209.94</v>
      </c>
    </row>
    <row r="6316" spans="1:11" x14ac:dyDescent="0.2">
      <c r="A6316">
        <v>43860</v>
      </c>
      <c r="B6316">
        <v>306293</v>
      </c>
      <c r="C6316" t="s">
        <v>9473</v>
      </c>
      <c r="D6316">
        <v>10</v>
      </c>
      <c r="E6316">
        <v>1</v>
      </c>
      <c r="F6316">
        <v>0</v>
      </c>
      <c r="G6316">
        <v>0</v>
      </c>
      <c r="H6316">
        <v>96</v>
      </c>
      <c r="I6316">
        <v>0</v>
      </c>
      <c r="J6316">
        <v>16.989999999999998</v>
      </c>
      <c r="K6316">
        <v>0</v>
      </c>
    </row>
    <row r="6317" spans="1:11" x14ac:dyDescent="0.2">
      <c r="A6317">
        <v>51833</v>
      </c>
      <c r="B6317">
        <v>306321</v>
      </c>
      <c r="C6317" t="s">
        <v>9474</v>
      </c>
      <c r="D6317">
        <v>10</v>
      </c>
      <c r="E6317">
        <v>1</v>
      </c>
      <c r="F6317">
        <v>19</v>
      </c>
      <c r="G6317">
        <v>19</v>
      </c>
      <c r="H6317">
        <v>68</v>
      </c>
      <c r="I6317">
        <v>0.3</v>
      </c>
      <c r="J6317">
        <v>29.99</v>
      </c>
      <c r="K6317">
        <v>569.80999999999995</v>
      </c>
    </row>
    <row r="6318" spans="1:11" x14ac:dyDescent="0.2">
      <c r="A6318">
        <v>49816</v>
      </c>
      <c r="B6318">
        <v>306357</v>
      </c>
      <c r="C6318" t="s">
        <v>9475</v>
      </c>
      <c r="D6318">
        <v>10</v>
      </c>
      <c r="E6318">
        <v>36</v>
      </c>
      <c r="F6318">
        <v>0</v>
      </c>
      <c r="G6318">
        <v>0</v>
      </c>
      <c r="H6318">
        <v>16</v>
      </c>
      <c r="I6318">
        <v>0</v>
      </c>
      <c r="J6318">
        <v>3.99</v>
      </c>
      <c r="K6318">
        <v>0</v>
      </c>
    </row>
    <row r="6319" spans="1:11" x14ac:dyDescent="0.2">
      <c r="A6319">
        <v>48837</v>
      </c>
      <c r="B6319">
        <v>306410</v>
      </c>
      <c r="C6319" t="s">
        <v>9476</v>
      </c>
      <c r="D6319">
        <v>10</v>
      </c>
      <c r="E6319">
        <v>4</v>
      </c>
      <c r="F6319">
        <v>-2</v>
      </c>
      <c r="G6319">
        <v>-8</v>
      </c>
      <c r="H6319">
        <v>77</v>
      </c>
      <c r="I6319">
        <v>0</v>
      </c>
      <c r="J6319">
        <v>29.99</v>
      </c>
      <c r="K6319">
        <v>-239.92</v>
      </c>
    </row>
    <row r="6320" spans="1:11" x14ac:dyDescent="0.2">
      <c r="A6320">
        <v>51834</v>
      </c>
      <c r="B6320">
        <v>306437</v>
      </c>
      <c r="C6320" t="s">
        <v>9477</v>
      </c>
      <c r="D6320">
        <v>10</v>
      </c>
      <c r="E6320">
        <v>2</v>
      </c>
      <c r="F6320">
        <v>122</v>
      </c>
      <c r="G6320">
        <v>243</v>
      </c>
      <c r="H6320">
        <v>70</v>
      </c>
      <c r="I6320">
        <v>1.7</v>
      </c>
      <c r="J6320">
        <v>39.99</v>
      </c>
      <c r="K6320">
        <v>9717.57</v>
      </c>
    </row>
    <row r="6321" spans="1:11" x14ac:dyDescent="0.2">
      <c r="A6321">
        <v>52100</v>
      </c>
      <c r="B6321">
        <v>306476</v>
      </c>
      <c r="C6321" t="s">
        <v>9478</v>
      </c>
      <c r="D6321">
        <v>10</v>
      </c>
      <c r="E6321">
        <v>12</v>
      </c>
      <c r="F6321">
        <v>228</v>
      </c>
      <c r="G6321">
        <v>2736</v>
      </c>
      <c r="H6321">
        <v>64</v>
      </c>
      <c r="I6321">
        <v>3.6</v>
      </c>
      <c r="J6321">
        <v>4.99</v>
      </c>
      <c r="K6321">
        <v>13652.64</v>
      </c>
    </row>
    <row r="6322" spans="1:11" x14ac:dyDescent="0.2">
      <c r="A6322">
        <v>52034</v>
      </c>
      <c r="B6322">
        <v>306625</v>
      </c>
      <c r="C6322" t="s">
        <v>7760</v>
      </c>
      <c r="D6322">
        <v>10</v>
      </c>
      <c r="E6322">
        <v>8</v>
      </c>
      <c r="F6322">
        <v>320</v>
      </c>
      <c r="G6322">
        <v>2560</v>
      </c>
      <c r="H6322">
        <v>56</v>
      </c>
      <c r="I6322">
        <v>5.7</v>
      </c>
      <c r="J6322">
        <v>11.99</v>
      </c>
      <c r="K6322">
        <v>30694.400000000001</v>
      </c>
    </row>
    <row r="6323" spans="1:11" x14ac:dyDescent="0.2">
      <c r="A6323">
        <v>52035</v>
      </c>
      <c r="B6323">
        <v>306626</v>
      </c>
      <c r="C6323" t="s">
        <v>8885</v>
      </c>
      <c r="D6323">
        <v>10</v>
      </c>
      <c r="E6323">
        <v>8</v>
      </c>
      <c r="F6323">
        <v>341</v>
      </c>
      <c r="G6323">
        <v>2728</v>
      </c>
      <c r="H6323">
        <v>40</v>
      </c>
      <c r="I6323">
        <v>8.5</v>
      </c>
      <c r="J6323">
        <v>15.99</v>
      </c>
      <c r="K6323">
        <v>43620.72</v>
      </c>
    </row>
    <row r="6324" spans="1:11" x14ac:dyDescent="0.2">
      <c r="A6324">
        <v>52036</v>
      </c>
      <c r="B6324">
        <v>306627</v>
      </c>
      <c r="C6324" t="s">
        <v>9479</v>
      </c>
      <c r="D6324">
        <v>10</v>
      </c>
      <c r="E6324">
        <v>9</v>
      </c>
      <c r="F6324">
        <v>546</v>
      </c>
      <c r="G6324">
        <v>4914</v>
      </c>
      <c r="H6324">
        <v>60</v>
      </c>
      <c r="I6324">
        <v>9.1</v>
      </c>
      <c r="J6324">
        <v>4.99</v>
      </c>
      <c r="K6324">
        <v>24520.86</v>
      </c>
    </row>
    <row r="6325" spans="1:11" x14ac:dyDescent="0.2">
      <c r="A6325">
        <v>52037</v>
      </c>
      <c r="B6325">
        <v>306628</v>
      </c>
      <c r="C6325" t="s">
        <v>9480</v>
      </c>
      <c r="D6325">
        <v>10</v>
      </c>
      <c r="E6325">
        <v>9</v>
      </c>
      <c r="F6325">
        <v>496</v>
      </c>
      <c r="G6325">
        <v>4464</v>
      </c>
      <c r="H6325">
        <v>50</v>
      </c>
      <c r="I6325">
        <v>9.9</v>
      </c>
      <c r="J6325">
        <v>6.99</v>
      </c>
      <c r="K6325">
        <v>31203.360000000001</v>
      </c>
    </row>
    <row r="6326" spans="1:11" x14ac:dyDescent="0.2">
      <c r="A6326">
        <v>1399</v>
      </c>
      <c r="B6326">
        <v>306659</v>
      </c>
      <c r="C6326" t="s">
        <v>9481</v>
      </c>
      <c r="D6326">
        <v>10</v>
      </c>
      <c r="E6326">
        <v>2</v>
      </c>
      <c r="F6326">
        <v>2828</v>
      </c>
      <c r="G6326">
        <v>5656</v>
      </c>
      <c r="H6326">
        <v>21</v>
      </c>
      <c r="I6326">
        <v>134.69999999999999</v>
      </c>
      <c r="J6326">
        <v>34.99</v>
      </c>
      <c r="K6326">
        <v>197903.44</v>
      </c>
    </row>
    <row r="6327" spans="1:11" x14ac:dyDescent="0.2">
      <c r="A6327">
        <v>1398</v>
      </c>
      <c r="B6327">
        <v>306660</v>
      </c>
      <c r="C6327" t="s">
        <v>9482</v>
      </c>
      <c r="D6327">
        <v>10</v>
      </c>
      <c r="E6327">
        <v>1</v>
      </c>
      <c r="F6327">
        <v>3424</v>
      </c>
      <c r="G6327">
        <v>3424</v>
      </c>
      <c r="H6327">
        <v>30</v>
      </c>
      <c r="I6327">
        <v>114.1</v>
      </c>
      <c r="J6327">
        <v>79.989999999999995</v>
      </c>
      <c r="K6327">
        <v>273885.76</v>
      </c>
    </row>
    <row r="6328" spans="1:11" x14ac:dyDescent="0.2">
      <c r="A6328">
        <v>1318</v>
      </c>
      <c r="B6328">
        <v>306664</v>
      </c>
      <c r="C6328" t="s">
        <v>9483</v>
      </c>
      <c r="D6328">
        <v>10</v>
      </c>
      <c r="E6328">
        <v>2</v>
      </c>
      <c r="F6328">
        <v>1341</v>
      </c>
      <c r="G6328">
        <v>2682</v>
      </c>
      <c r="H6328">
        <v>60</v>
      </c>
      <c r="I6328">
        <v>22.4</v>
      </c>
      <c r="J6328">
        <v>39.99</v>
      </c>
      <c r="K6328">
        <v>107253.18</v>
      </c>
    </row>
    <row r="6329" spans="1:11" x14ac:dyDescent="0.2">
      <c r="A6329">
        <v>52115</v>
      </c>
      <c r="B6329">
        <v>306718</v>
      </c>
      <c r="C6329" t="s">
        <v>9484</v>
      </c>
      <c r="D6329">
        <v>10</v>
      </c>
      <c r="E6329">
        <v>6</v>
      </c>
      <c r="F6329">
        <v>285</v>
      </c>
      <c r="G6329">
        <v>1710</v>
      </c>
      <c r="H6329">
        <v>25</v>
      </c>
      <c r="I6329">
        <v>11.4</v>
      </c>
      <c r="J6329">
        <v>13.99</v>
      </c>
      <c r="K6329">
        <v>23922.9</v>
      </c>
    </row>
    <row r="6330" spans="1:11" x14ac:dyDescent="0.2">
      <c r="A6330">
        <v>2215</v>
      </c>
      <c r="B6330">
        <v>306787</v>
      </c>
      <c r="C6330" t="s">
        <v>9485</v>
      </c>
      <c r="D6330">
        <v>6</v>
      </c>
      <c r="E6330">
        <v>2</v>
      </c>
      <c r="F6330">
        <v>686</v>
      </c>
      <c r="G6330">
        <v>1372</v>
      </c>
      <c r="H6330">
        <v>100</v>
      </c>
      <c r="I6330">
        <v>6.9</v>
      </c>
      <c r="J6330">
        <v>49.99</v>
      </c>
      <c r="K6330">
        <v>68586.28</v>
      </c>
    </row>
    <row r="6331" spans="1:11" x14ac:dyDescent="0.2">
      <c r="A6331">
        <v>2262</v>
      </c>
      <c r="B6331">
        <v>306940</v>
      </c>
      <c r="C6331" t="s">
        <v>9486</v>
      </c>
      <c r="D6331">
        <v>6</v>
      </c>
      <c r="E6331">
        <v>16</v>
      </c>
      <c r="F6331">
        <v>616</v>
      </c>
      <c r="G6331">
        <v>9856</v>
      </c>
      <c r="H6331">
        <v>396</v>
      </c>
      <c r="I6331">
        <v>1.6</v>
      </c>
      <c r="J6331">
        <v>1.99</v>
      </c>
      <c r="K6331">
        <v>19613.439999999999</v>
      </c>
    </row>
    <row r="6332" spans="1:11" x14ac:dyDescent="0.2">
      <c r="A6332">
        <v>2280</v>
      </c>
      <c r="B6332">
        <v>306944</v>
      </c>
      <c r="C6332" t="s">
        <v>9487</v>
      </c>
      <c r="D6332">
        <v>6</v>
      </c>
      <c r="E6332">
        <v>50</v>
      </c>
      <c r="F6332">
        <v>207</v>
      </c>
      <c r="G6332">
        <v>10350</v>
      </c>
      <c r="H6332">
        <v>63</v>
      </c>
      <c r="I6332">
        <v>3.3</v>
      </c>
      <c r="J6332">
        <v>1.99</v>
      </c>
      <c r="K6332">
        <v>20596.5</v>
      </c>
    </row>
    <row r="6333" spans="1:11" x14ac:dyDescent="0.2">
      <c r="A6333">
        <v>2286</v>
      </c>
      <c r="B6333">
        <v>306946</v>
      </c>
      <c r="C6333" t="s">
        <v>9184</v>
      </c>
      <c r="D6333">
        <v>6</v>
      </c>
      <c r="E6333">
        <v>11</v>
      </c>
      <c r="F6333">
        <v>868</v>
      </c>
      <c r="G6333">
        <v>9548</v>
      </c>
      <c r="H6333">
        <v>100</v>
      </c>
      <c r="I6333">
        <v>8.6999999999999993</v>
      </c>
      <c r="J6333">
        <v>3.99</v>
      </c>
      <c r="K6333">
        <v>38096.519999999997</v>
      </c>
    </row>
    <row r="6334" spans="1:11" x14ac:dyDescent="0.2">
      <c r="A6334">
        <v>2264</v>
      </c>
      <c r="B6334">
        <v>306948</v>
      </c>
      <c r="C6334" t="s">
        <v>9488</v>
      </c>
      <c r="D6334">
        <v>6</v>
      </c>
      <c r="E6334">
        <v>4</v>
      </c>
      <c r="F6334">
        <v>762</v>
      </c>
      <c r="G6334">
        <v>3048</v>
      </c>
      <c r="H6334">
        <v>100</v>
      </c>
      <c r="I6334">
        <v>7.6</v>
      </c>
      <c r="J6334">
        <v>23.99</v>
      </c>
      <c r="K6334">
        <v>73121.52</v>
      </c>
    </row>
    <row r="6335" spans="1:11" x14ac:dyDescent="0.2">
      <c r="A6335">
        <v>2281</v>
      </c>
      <c r="B6335">
        <v>306954</v>
      </c>
      <c r="C6335" t="s">
        <v>9489</v>
      </c>
      <c r="D6335">
        <v>6</v>
      </c>
      <c r="E6335">
        <v>12</v>
      </c>
      <c r="F6335">
        <v>462</v>
      </c>
      <c r="G6335">
        <v>5544</v>
      </c>
      <c r="H6335">
        <v>99</v>
      </c>
      <c r="I6335">
        <v>4.7</v>
      </c>
      <c r="J6335">
        <v>9.99</v>
      </c>
      <c r="K6335">
        <v>55384.56</v>
      </c>
    </row>
    <row r="6336" spans="1:11" x14ac:dyDescent="0.2">
      <c r="A6336">
        <v>2265</v>
      </c>
      <c r="B6336">
        <v>306958</v>
      </c>
      <c r="C6336" t="s">
        <v>9490</v>
      </c>
      <c r="D6336">
        <v>6</v>
      </c>
      <c r="E6336">
        <v>10</v>
      </c>
      <c r="F6336">
        <v>540</v>
      </c>
      <c r="G6336">
        <v>5400</v>
      </c>
      <c r="H6336">
        <v>100</v>
      </c>
      <c r="I6336">
        <v>5.4</v>
      </c>
      <c r="J6336">
        <v>6.99</v>
      </c>
      <c r="K6336">
        <v>37746</v>
      </c>
    </row>
    <row r="6337" spans="1:11" x14ac:dyDescent="0.2">
      <c r="A6337">
        <v>2266</v>
      </c>
      <c r="B6337">
        <v>306964</v>
      </c>
      <c r="C6337" t="s">
        <v>9491</v>
      </c>
      <c r="D6337">
        <v>6</v>
      </c>
      <c r="E6337">
        <v>40</v>
      </c>
      <c r="F6337">
        <v>344</v>
      </c>
      <c r="G6337">
        <v>13760</v>
      </c>
      <c r="H6337">
        <v>80</v>
      </c>
      <c r="I6337">
        <v>4.3</v>
      </c>
      <c r="J6337">
        <v>0.99</v>
      </c>
      <c r="K6337">
        <v>13622.4</v>
      </c>
    </row>
    <row r="6338" spans="1:11" x14ac:dyDescent="0.2">
      <c r="A6338">
        <v>2288</v>
      </c>
      <c r="B6338">
        <v>306968</v>
      </c>
      <c r="C6338" t="s">
        <v>9492</v>
      </c>
      <c r="D6338">
        <v>6</v>
      </c>
      <c r="E6338">
        <v>6</v>
      </c>
      <c r="F6338">
        <v>440</v>
      </c>
      <c r="G6338">
        <v>2640</v>
      </c>
      <c r="H6338">
        <v>100</v>
      </c>
      <c r="I6338">
        <v>4.4000000000000004</v>
      </c>
      <c r="J6338">
        <v>13.99</v>
      </c>
      <c r="K6338">
        <v>36933.599999999999</v>
      </c>
    </row>
    <row r="6339" spans="1:11" x14ac:dyDescent="0.2">
      <c r="A6339">
        <v>4201</v>
      </c>
      <c r="B6339">
        <v>307240</v>
      </c>
      <c r="C6339" t="s">
        <v>9493</v>
      </c>
      <c r="D6339">
        <v>6</v>
      </c>
      <c r="E6339">
        <v>12</v>
      </c>
      <c r="F6339">
        <v>279</v>
      </c>
      <c r="G6339">
        <v>3348</v>
      </c>
      <c r="H6339">
        <v>100</v>
      </c>
      <c r="I6339">
        <v>2.8</v>
      </c>
      <c r="J6339">
        <v>3.99</v>
      </c>
      <c r="K6339">
        <v>13358.52</v>
      </c>
    </row>
    <row r="6340" spans="1:11" x14ac:dyDescent="0.2">
      <c r="A6340">
        <v>4202</v>
      </c>
      <c r="B6340">
        <v>307241</v>
      </c>
      <c r="C6340" t="s">
        <v>8174</v>
      </c>
      <c r="D6340">
        <v>6</v>
      </c>
      <c r="E6340">
        <v>12</v>
      </c>
      <c r="F6340">
        <v>308</v>
      </c>
      <c r="G6340">
        <v>3696</v>
      </c>
      <c r="H6340">
        <v>100</v>
      </c>
      <c r="I6340">
        <v>3.1</v>
      </c>
      <c r="J6340">
        <v>2.99</v>
      </c>
      <c r="K6340">
        <v>11051.04</v>
      </c>
    </row>
    <row r="6341" spans="1:11" x14ac:dyDescent="0.2">
      <c r="A6341">
        <v>3255</v>
      </c>
      <c r="B6341">
        <v>307348</v>
      </c>
      <c r="C6341" t="s">
        <v>8116</v>
      </c>
      <c r="D6341">
        <v>6</v>
      </c>
      <c r="E6341">
        <v>6</v>
      </c>
      <c r="F6341">
        <v>170</v>
      </c>
      <c r="G6341">
        <v>1020</v>
      </c>
      <c r="H6341">
        <v>120</v>
      </c>
      <c r="I6341">
        <v>1.4</v>
      </c>
      <c r="J6341">
        <v>11.99</v>
      </c>
      <c r="K6341">
        <v>12229.8</v>
      </c>
    </row>
    <row r="6342" spans="1:11" x14ac:dyDescent="0.2">
      <c r="A6342">
        <v>1208</v>
      </c>
      <c r="B6342">
        <v>307371</v>
      </c>
      <c r="C6342" t="s">
        <v>9494</v>
      </c>
      <c r="D6342">
        <v>6</v>
      </c>
      <c r="E6342">
        <v>2</v>
      </c>
      <c r="F6342">
        <v>332</v>
      </c>
      <c r="G6342">
        <v>664</v>
      </c>
      <c r="H6342">
        <v>63</v>
      </c>
      <c r="I6342">
        <v>5.3</v>
      </c>
      <c r="J6342">
        <v>21.99</v>
      </c>
      <c r="K6342">
        <v>14601.36</v>
      </c>
    </row>
    <row r="6343" spans="1:11" x14ac:dyDescent="0.2">
      <c r="A6343">
        <v>1210</v>
      </c>
      <c r="B6343">
        <v>307376</v>
      </c>
      <c r="C6343" t="s">
        <v>9495</v>
      </c>
      <c r="D6343">
        <v>6</v>
      </c>
      <c r="E6343">
        <v>4</v>
      </c>
      <c r="F6343">
        <v>869</v>
      </c>
      <c r="G6343">
        <v>3476</v>
      </c>
      <c r="H6343">
        <v>100</v>
      </c>
      <c r="I6343">
        <v>8.6999999999999993</v>
      </c>
      <c r="J6343">
        <v>19.989999999999998</v>
      </c>
      <c r="K6343">
        <v>69485.240000000005</v>
      </c>
    </row>
    <row r="6344" spans="1:11" x14ac:dyDescent="0.2">
      <c r="A6344">
        <v>3270</v>
      </c>
      <c r="B6344">
        <v>307445</v>
      </c>
      <c r="C6344" t="s">
        <v>9496</v>
      </c>
      <c r="D6344">
        <v>6</v>
      </c>
      <c r="E6344">
        <v>1</v>
      </c>
      <c r="F6344">
        <v>1584</v>
      </c>
      <c r="G6344">
        <v>1584</v>
      </c>
      <c r="H6344">
        <v>100</v>
      </c>
      <c r="I6344">
        <v>15.8</v>
      </c>
      <c r="J6344">
        <v>12.99</v>
      </c>
      <c r="K6344">
        <v>20576.16</v>
      </c>
    </row>
    <row r="6345" spans="1:11" x14ac:dyDescent="0.2">
      <c r="A6345">
        <v>3260</v>
      </c>
      <c r="B6345">
        <v>307458</v>
      </c>
      <c r="C6345" t="s">
        <v>9497</v>
      </c>
      <c r="D6345">
        <v>6</v>
      </c>
      <c r="E6345">
        <v>205</v>
      </c>
      <c r="F6345">
        <v>86</v>
      </c>
      <c r="G6345">
        <v>17630</v>
      </c>
      <c r="H6345">
        <v>100</v>
      </c>
      <c r="I6345">
        <v>0.9</v>
      </c>
      <c r="J6345">
        <v>1.79</v>
      </c>
      <c r="K6345">
        <v>31557.7</v>
      </c>
    </row>
    <row r="6346" spans="1:11" x14ac:dyDescent="0.2">
      <c r="A6346">
        <v>3272</v>
      </c>
      <c r="B6346">
        <v>307459</v>
      </c>
      <c r="C6346" t="s">
        <v>9498</v>
      </c>
      <c r="D6346">
        <v>6</v>
      </c>
      <c r="E6346">
        <v>21</v>
      </c>
      <c r="F6346">
        <v>336</v>
      </c>
      <c r="G6346">
        <v>7056</v>
      </c>
      <c r="H6346">
        <v>100</v>
      </c>
      <c r="I6346">
        <v>3.4</v>
      </c>
      <c r="J6346">
        <v>2.4900000000000002</v>
      </c>
      <c r="K6346">
        <v>17569.439999999999</v>
      </c>
    </row>
    <row r="6347" spans="1:11" x14ac:dyDescent="0.2">
      <c r="A6347">
        <v>3256</v>
      </c>
      <c r="B6347">
        <v>307468</v>
      </c>
      <c r="C6347" t="s">
        <v>9499</v>
      </c>
      <c r="D6347">
        <v>6</v>
      </c>
      <c r="E6347">
        <v>20</v>
      </c>
      <c r="F6347">
        <v>356</v>
      </c>
      <c r="G6347">
        <v>7120</v>
      </c>
      <c r="H6347">
        <v>100</v>
      </c>
      <c r="I6347">
        <v>3.6</v>
      </c>
      <c r="J6347">
        <v>1.99</v>
      </c>
      <c r="K6347">
        <v>14168.8</v>
      </c>
    </row>
    <row r="6348" spans="1:11" x14ac:dyDescent="0.2">
      <c r="A6348">
        <v>3275</v>
      </c>
      <c r="B6348">
        <v>307470</v>
      </c>
      <c r="C6348" t="s">
        <v>9500</v>
      </c>
      <c r="D6348">
        <v>6</v>
      </c>
      <c r="E6348">
        <v>18</v>
      </c>
      <c r="F6348">
        <v>480</v>
      </c>
      <c r="G6348">
        <v>8640</v>
      </c>
      <c r="H6348">
        <v>100</v>
      </c>
      <c r="I6348">
        <v>4.8</v>
      </c>
      <c r="J6348">
        <v>1.99</v>
      </c>
      <c r="K6348">
        <v>17193.599999999999</v>
      </c>
    </row>
    <row r="6349" spans="1:11" x14ac:dyDescent="0.2">
      <c r="A6349">
        <v>3279</v>
      </c>
      <c r="B6349">
        <v>307482</v>
      </c>
      <c r="C6349" t="s">
        <v>9501</v>
      </c>
      <c r="D6349">
        <v>6</v>
      </c>
      <c r="E6349">
        <v>24</v>
      </c>
      <c r="F6349">
        <v>484</v>
      </c>
      <c r="G6349">
        <v>11616</v>
      </c>
      <c r="H6349">
        <v>100</v>
      </c>
      <c r="I6349">
        <v>4.8</v>
      </c>
      <c r="J6349">
        <v>1.99</v>
      </c>
      <c r="K6349">
        <v>23115.84</v>
      </c>
    </row>
    <row r="6350" spans="1:11" x14ac:dyDescent="0.2">
      <c r="A6350">
        <v>2216</v>
      </c>
      <c r="B6350">
        <v>307619</v>
      </c>
      <c r="C6350" t="s">
        <v>9502</v>
      </c>
      <c r="D6350">
        <v>6</v>
      </c>
      <c r="E6350">
        <v>6</v>
      </c>
      <c r="F6350">
        <v>432</v>
      </c>
      <c r="G6350">
        <v>2592</v>
      </c>
      <c r="H6350">
        <v>8</v>
      </c>
      <c r="I6350">
        <v>54</v>
      </c>
      <c r="J6350">
        <v>11.99</v>
      </c>
      <c r="K6350">
        <v>31078.080000000002</v>
      </c>
    </row>
    <row r="6351" spans="1:11" x14ac:dyDescent="0.2">
      <c r="A6351">
        <v>3249</v>
      </c>
      <c r="B6351">
        <v>307629</v>
      </c>
      <c r="C6351" t="s">
        <v>9503</v>
      </c>
      <c r="D6351">
        <v>6</v>
      </c>
      <c r="E6351">
        <v>2</v>
      </c>
      <c r="F6351">
        <v>490</v>
      </c>
      <c r="G6351">
        <v>980</v>
      </c>
      <c r="H6351">
        <v>35</v>
      </c>
      <c r="I6351">
        <v>14</v>
      </c>
      <c r="J6351">
        <v>34.99</v>
      </c>
      <c r="K6351">
        <v>34290.199999999997</v>
      </c>
    </row>
    <row r="6352" spans="1:11" x14ac:dyDescent="0.2">
      <c r="A6352">
        <v>1312</v>
      </c>
      <c r="B6352">
        <v>307695</v>
      </c>
      <c r="C6352" t="s">
        <v>9504</v>
      </c>
      <c r="D6352">
        <v>6</v>
      </c>
      <c r="E6352">
        <v>10</v>
      </c>
      <c r="F6352">
        <v>2301</v>
      </c>
      <c r="G6352">
        <v>23010</v>
      </c>
      <c r="H6352">
        <v>144</v>
      </c>
      <c r="I6352">
        <v>16</v>
      </c>
      <c r="J6352">
        <v>9.99</v>
      </c>
      <c r="K6352">
        <v>229869.9</v>
      </c>
    </row>
    <row r="6353" spans="1:11" x14ac:dyDescent="0.2">
      <c r="A6353">
        <v>1228</v>
      </c>
      <c r="B6353">
        <v>307737</v>
      </c>
      <c r="C6353" t="s">
        <v>9505</v>
      </c>
      <c r="D6353">
        <v>6</v>
      </c>
      <c r="E6353">
        <v>30</v>
      </c>
      <c r="F6353">
        <v>270</v>
      </c>
      <c r="G6353">
        <v>8100</v>
      </c>
      <c r="H6353">
        <v>104</v>
      </c>
      <c r="I6353">
        <v>2.6</v>
      </c>
      <c r="J6353">
        <v>1.99</v>
      </c>
      <c r="K6353">
        <v>16119</v>
      </c>
    </row>
    <row r="6354" spans="1:11" x14ac:dyDescent="0.2">
      <c r="A6354">
        <v>1214</v>
      </c>
      <c r="B6354">
        <v>307751</v>
      </c>
      <c r="C6354" t="s">
        <v>9506</v>
      </c>
      <c r="D6354">
        <v>6</v>
      </c>
      <c r="E6354">
        <v>10</v>
      </c>
      <c r="F6354">
        <v>305</v>
      </c>
      <c r="G6354">
        <v>3050</v>
      </c>
      <c r="H6354">
        <v>100</v>
      </c>
      <c r="I6354">
        <v>3.1</v>
      </c>
      <c r="J6354">
        <v>4.99</v>
      </c>
      <c r="K6354">
        <v>15219.5</v>
      </c>
    </row>
    <row r="6355" spans="1:11" x14ac:dyDescent="0.2">
      <c r="A6355">
        <v>1215</v>
      </c>
      <c r="B6355">
        <v>307752</v>
      </c>
      <c r="C6355" t="s">
        <v>9507</v>
      </c>
      <c r="D6355">
        <v>6</v>
      </c>
      <c r="E6355">
        <v>10</v>
      </c>
      <c r="F6355">
        <v>267</v>
      </c>
      <c r="G6355">
        <v>2670</v>
      </c>
      <c r="H6355">
        <v>100</v>
      </c>
      <c r="I6355">
        <v>2.7</v>
      </c>
      <c r="J6355">
        <v>7.99</v>
      </c>
      <c r="K6355">
        <v>21333.3</v>
      </c>
    </row>
    <row r="6356" spans="1:11" x14ac:dyDescent="0.2">
      <c r="A6356">
        <v>3251</v>
      </c>
      <c r="B6356">
        <v>307772</v>
      </c>
      <c r="C6356" t="s">
        <v>9508</v>
      </c>
      <c r="D6356">
        <v>6</v>
      </c>
      <c r="E6356">
        <v>20</v>
      </c>
      <c r="F6356">
        <v>167</v>
      </c>
      <c r="G6356">
        <v>3340</v>
      </c>
      <c r="H6356">
        <v>36</v>
      </c>
      <c r="I6356">
        <v>4.5999999999999996</v>
      </c>
      <c r="J6356">
        <v>7.99</v>
      </c>
      <c r="K6356">
        <v>26686.6</v>
      </c>
    </row>
    <row r="6357" spans="1:11" x14ac:dyDescent="0.2">
      <c r="A6357">
        <v>3252</v>
      </c>
      <c r="B6357">
        <v>307787</v>
      </c>
      <c r="C6357" t="s">
        <v>9509</v>
      </c>
      <c r="D6357">
        <v>6</v>
      </c>
      <c r="E6357">
        <v>20</v>
      </c>
      <c r="F6357">
        <v>172</v>
      </c>
      <c r="G6357">
        <v>3440</v>
      </c>
      <c r="H6357">
        <v>100</v>
      </c>
      <c r="I6357">
        <v>1.7</v>
      </c>
      <c r="J6357">
        <v>3.99</v>
      </c>
      <c r="K6357">
        <v>13725.6</v>
      </c>
    </row>
    <row r="6358" spans="1:11" x14ac:dyDescent="0.2">
      <c r="A6358">
        <v>3283</v>
      </c>
      <c r="B6358">
        <v>307796</v>
      </c>
      <c r="C6358" t="s">
        <v>9510</v>
      </c>
      <c r="D6358">
        <v>6</v>
      </c>
      <c r="E6358">
        <v>20</v>
      </c>
      <c r="F6358">
        <v>90</v>
      </c>
      <c r="G6358">
        <v>1800</v>
      </c>
      <c r="H6358">
        <v>100</v>
      </c>
      <c r="I6358">
        <v>0.9</v>
      </c>
      <c r="J6358">
        <v>8.99</v>
      </c>
      <c r="K6358">
        <v>16182</v>
      </c>
    </row>
    <row r="6359" spans="1:11" x14ac:dyDescent="0.2">
      <c r="A6359">
        <v>3284</v>
      </c>
      <c r="B6359">
        <v>307804</v>
      </c>
      <c r="C6359" t="s">
        <v>9511</v>
      </c>
      <c r="D6359">
        <v>6</v>
      </c>
      <c r="E6359">
        <v>20</v>
      </c>
      <c r="F6359">
        <v>168</v>
      </c>
      <c r="G6359">
        <v>3360</v>
      </c>
      <c r="H6359">
        <v>100</v>
      </c>
      <c r="I6359">
        <v>1.7</v>
      </c>
      <c r="J6359">
        <v>12.99</v>
      </c>
      <c r="K6359">
        <v>43646.400000000001</v>
      </c>
    </row>
    <row r="6360" spans="1:11" x14ac:dyDescent="0.2">
      <c r="A6360">
        <v>3285</v>
      </c>
      <c r="B6360">
        <v>307813</v>
      </c>
      <c r="C6360" t="s">
        <v>9512</v>
      </c>
      <c r="D6360">
        <v>6</v>
      </c>
      <c r="E6360">
        <v>16</v>
      </c>
      <c r="F6360">
        <v>200</v>
      </c>
      <c r="G6360">
        <v>3200</v>
      </c>
      <c r="H6360">
        <v>100</v>
      </c>
      <c r="I6360">
        <v>2</v>
      </c>
      <c r="J6360">
        <v>9.99</v>
      </c>
      <c r="K6360">
        <v>31968</v>
      </c>
    </row>
    <row r="6361" spans="1:11" x14ac:dyDescent="0.2">
      <c r="A6361">
        <v>3286</v>
      </c>
      <c r="B6361">
        <v>307819</v>
      </c>
      <c r="C6361" t="s">
        <v>9513</v>
      </c>
      <c r="D6361">
        <v>6</v>
      </c>
      <c r="E6361">
        <v>20</v>
      </c>
      <c r="F6361">
        <v>180</v>
      </c>
      <c r="G6361">
        <v>3600</v>
      </c>
      <c r="H6361">
        <v>100</v>
      </c>
      <c r="I6361">
        <v>1.8</v>
      </c>
      <c r="J6361">
        <v>7.99</v>
      </c>
      <c r="K6361">
        <v>28764</v>
      </c>
    </row>
    <row r="6362" spans="1:11" x14ac:dyDescent="0.2">
      <c r="A6362">
        <v>3254</v>
      </c>
      <c r="B6362">
        <v>307825</v>
      </c>
      <c r="C6362" t="s">
        <v>9514</v>
      </c>
      <c r="D6362">
        <v>6</v>
      </c>
      <c r="E6362">
        <v>20</v>
      </c>
      <c r="F6362">
        <v>175</v>
      </c>
      <c r="G6362">
        <v>3500</v>
      </c>
      <c r="H6362">
        <v>100</v>
      </c>
      <c r="I6362">
        <v>1.8</v>
      </c>
      <c r="J6362">
        <v>8.99</v>
      </c>
      <c r="K6362">
        <v>31465</v>
      </c>
    </row>
    <row r="6363" spans="1:11" x14ac:dyDescent="0.2">
      <c r="A6363">
        <v>3288</v>
      </c>
      <c r="B6363">
        <v>307897</v>
      </c>
      <c r="C6363" t="s">
        <v>9515</v>
      </c>
      <c r="D6363">
        <v>6</v>
      </c>
      <c r="E6363">
        <v>14</v>
      </c>
      <c r="F6363">
        <v>120</v>
      </c>
      <c r="G6363">
        <v>1680</v>
      </c>
      <c r="H6363">
        <v>100</v>
      </c>
      <c r="I6363">
        <v>1.2</v>
      </c>
      <c r="J6363">
        <v>9.99</v>
      </c>
      <c r="K6363">
        <v>16783.2</v>
      </c>
    </row>
    <row r="6364" spans="1:11" x14ac:dyDescent="0.2">
      <c r="A6364">
        <v>3210</v>
      </c>
      <c r="B6364">
        <v>308016</v>
      </c>
      <c r="C6364" t="s">
        <v>9516</v>
      </c>
      <c r="D6364">
        <v>6</v>
      </c>
      <c r="E6364">
        <v>12</v>
      </c>
      <c r="F6364">
        <v>200</v>
      </c>
      <c r="G6364">
        <v>2400</v>
      </c>
      <c r="H6364">
        <v>100</v>
      </c>
      <c r="I6364">
        <v>2</v>
      </c>
      <c r="J6364">
        <v>4.99</v>
      </c>
      <c r="K6364">
        <v>11976</v>
      </c>
    </row>
    <row r="6365" spans="1:11" x14ac:dyDescent="0.2">
      <c r="A6365">
        <v>3211</v>
      </c>
      <c r="B6365">
        <v>308018</v>
      </c>
      <c r="C6365" t="s">
        <v>9517</v>
      </c>
      <c r="D6365">
        <v>6</v>
      </c>
      <c r="E6365">
        <v>12</v>
      </c>
      <c r="F6365">
        <v>240</v>
      </c>
      <c r="G6365">
        <v>2880</v>
      </c>
      <c r="H6365">
        <v>100</v>
      </c>
      <c r="I6365">
        <v>2.4</v>
      </c>
      <c r="J6365">
        <v>4.99</v>
      </c>
      <c r="K6365">
        <v>14371.2</v>
      </c>
    </row>
    <row r="6366" spans="1:11" x14ac:dyDescent="0.2">
      <c r="A6366">
        <v>1216</v>
      </c>
      <c r="B6366">
        <v>308077</v>
      </c>
      <c r="C6366" t="s">
        <v>8425</v>
      </c>
      <c r="D6366">
        <v>6</v>
      </c>
      <c r="E6366">
        <v>12</v>
      </c>
      <c r="F6366">
        <v>320</v>
      </c>
      <c r="G6366">
        <v>3840</v>
      </c>
      <c r="H6366">
        <v>20</v>
      </c>
      <c r="I6366">
        <v>16</v>
      </c>
      <c r="J6366">
        <v>6.99</v>
      </c>
      <c r="K6366">
        <v>26841.599999999999</v>
      </c>
    </row>
    <row r="6367" spans="1:11" x14ac:dyDescent="0.2">
      <c r="A6367">
        <v>2217</v>
      </c>
      <c r="B6367">
        <v>308083</v>
      </c>
      <c r="C6367" t="s">
        <v>9518</v>
      </c>
      <c r="D6367">
        <v>6</v>
      </c>
      <c r="E6367">
        <v>1</v>
      </c>
      <c r="F6367">
        <v>690</v>
      </c>
      <c r="G6367">
        <v>690</v>
      </c>
      <c r="H6367">
        <v>100</v>
      </c>
      <c r="I6367">
        <v>6.9</v>
      </c>
      <c r="J6367">
        <v>31.99</v>
      </c>
      <c r="K6367">
        <v>22073.1</v>
      </c>
    </row>
    <row r="6368" spans="1:11" x14ac:dyDescent="0.2">
      <c r="A6368">
        <v>2218</v>
      </c>
      <c r="B6368">
        <v>308085</v>
      </c>
      <c r="C6368" t="s">
        <v>9519</v>
      </c>
      <c r="D6368">
        <v>6</v>
      </c>
      <c r="E6368">
        <v>1</v>
      </c>
      <c r="F6368">
        <v>300</v>
      </c>
      <c r="G6368">
        <v>300</v>
      </c>
      <c r="H6368">
        <v>100</v>
      </c>
      <c r="I6368">
        <v>3</v>
      </c>
      <c r="J6368">
        <v>31.99</v>
      </c>
      <c r="K6368">
        <v>9597</v>
      </c>
    </row>
    <row r="6369" spans="1:11" x14ac:dyDescent="0.2">
      <c r="A6369">
        <v>2219</v>
      </c>
      <c r="B6369">
        <v>308088</v>
      </c>
      <c r="C6369" t="s">
        <v>9520</v>
      </c>
      <c r="D6369">
        <v>6</v>
      </c>
      <c r="E6369">
        <v>10</v>
      </c>
      <c r="F6369">
        <v>243</v>
      </c>
      <c r="G6369">
        <v>2430</v>
      </c>
      <c r="H6369">
        <v>243</v>
      </c>
      <c r="I6369">
        <v>1</v>
      </c>
      <c r="J6369">
        <v>3.99</v>
      </c>
      <c r="K6369">
        <v>9695.7000000000007</v>
      </c>
    </row>
    <row r="6370" spans="1:11" x14ac:dyDescent="0.2">
      <c r="A6370">
        <v>2221</v>
      </c>
      <c r="B6370">
        <v>308091</v>
      </c>
      <c r="C6370" t="s">
        <v>9521</v>
      </c>
      <c r="D6370">
        <v>6</v>
      </c>
      <c r="E6370">
        <v>4</v>
      </c>
      <c r="F6370">
        <v>672</v>
      </c>
      <c r="G6370">
        <v>2688</v>
      </c>
      <c r="H6370">
        <v>56</v>
      </c>
      <c r="I6370">
        <v>12</v>
      </c>
      <c r="J6370">
        <v>6.99</v>
      </c>
      <c r="K6370">
        <v>18789.12</v>
      </c>
    </row>
    <row r="6371" spans="1:11" x14ac:dyDescent="0.2">
      <c r="A6371">
        <v>2222</v>
      </c>
      <c r="B6371">
        <v>308093</v>
      </c>
      <c r="C6371" t="s">
        <v>9522</v>
      </c>
      <c r="D6371">
        <v>6</v>
      </c>
      <c r="E6371">
        <v>4</v>
      </c>
      <c r="F6371">
        <v>336</v>
      </c>
      <c r="G6371">
        <v>1344</v>
      </c>
      <c r="H6371">
        <v>21</v>
      </c>
      <c r="I6371">
        <v>16</v>
      </c>
      <c r="J6371">
        <v>19.989999999999998</v>
      </c>
      <c r="K6371">
        <v>26866.560000000001</v>
      </c>
    </row>
    <row r="6372" spans="1:11" x14ac:dyDescent="0.2">
      <c r="A6372">
        <v>2223</v>
      </c>
      <c r="B6372">
        <v>308094</v>
      </c>
      <c r="C6372" t="s">
        <v>9523</v>
      </c>
      <c r="D6372">
        <v>6</v>
      </c>
      <c r="E6372">
        <v>8</v>
      </c>
      <c r="F6372">
        <v>190</v>
      </c>
      <c r="G6372">
        <v>1520</v>
      </c>
      <c r="H6372">
        <v>100</v>
      </c>
      <c r="I6372">
        <v>1.9</v>
      </c>
      <c r="J6372">
        <v>8.99</v>
      </c>
      <c r="K6372">
        <v>13664.8</v>
      </c>
    </row>
    <row r="6373" spans="1:11" x14ac:dyDescent="0.2">
      <c r="A6373">
        <v>4203</v>
      </c>
      <c r="B6373">
        <v>308101</v>
      </c>
      <c r="C6373" t="s">
        <v>9524</v>
      </c>
      <c r="D6373">
        <v>6</v>
      </c>
      <c r="E6373">
        <v>40</v>
      </c>
      <c r="F6373">
        <v>118</v>
      </c>
      <c r="G6373">
        <v>4720</v>
      </c>
      <c r="H6373">
        <v>100</v>
      </c>
      <c r="I6373">
        <v>1.2</v>
      </c>
      <c r="J6373">
        <v>1.99</v>
      </c>
      <c r="K6373">
        <v>9392.7999999999993</v>
      </c>
    </row>
    <row r="6374" spans="1:11" x14ac:dyDescent="0.2">
      <c r="A6374">
        <v>4204</v>
      </c>
      <c r="B6374">
        <v>308102</v>
      </c>
      <c r="C6374" t="s">
        <v>9525</v>
      </c>
      <c r="D6374">
        <v>6</v>
      </c>
      <c r="E6374">
        <v>25</v>
      </c>
      <c r="F6374">
        <v>362</v>
      </c>
      <c r="G6374">
        <v>9050</v>
      </c>
      <c r="H6374">
        <v>100</v>
      </c>
      <c r="I6374">
        <v>3.6</v>
      </c>
      <c r="J6374">
        <v>1.99</v>
      </c>
      <c r="K6374">
        <v>18009.5</v>
      </c>
    </row>
    <row r="6375" spans="1:11" x14ac:dyDescent="0.2">
      <c r="A6375">
        <v>4205</v>
      </c>
      <c r="B6375">
        <v>308113</v>
      </c>
      <c r="C6375" t="s">
        <v>7925</v>
      </c>
      <c r="D6375">
        <v>6</v>
      </c>
      <c r="E6375">
        <v>80</v>
      </c>
      <c r="F6375">
        <v>193</v>
      </c>
      <c r="G6375">
        <v>15440</v>
      </c>
      <c r="H6375">
        <v>100</v>
      </c>
      <c r="I6375">
        <v>1.9</v>
      </c>
      <c r="J6375">
        <v>0.99</v>
      </c>
      <c r="K6375">
        <v>15285.6</v>
      </c>
    </row>
    <row r="6376" spans="1:11" x14ac:dyDescent="0.2">
      <c r="A6376">
        <v>2251</v>
      </c>
      <c r="B6376">
        <v>308150</v>
      </c>
      <c r="C6376" t="s">
        <v>8004</v>
      </c>
      <c r="D6376">
        <v>6</v>
      </c>
      <c r="E6376">
        <v>12</v>
      </c>
      <c r="F6376">
        <v>193</v>
      </c>
      <c r="G6376">
        <v>2316</v>
      </c>
      <c r="H6376">
        <v>56</v>
      </c>
      <c r="I6376">
        <v>3.4</v>
      </c>
      <c r="J6376">
        <v>11.99</v>
      </c>
      <c r="K6376">
        <v>27768.84</v>
      </c>
    </row>
    <row r="6377" spans="1:11" x14ac:dyDescent="0.2">
      <c r="A6377">
        <v>2268</v>
      </c>
      <c r="B6377">
        <v>308154</v>
      </c>
      <c r="C6377" t="s">
        <v>9526</v>
      </c>
      <c r="D6377">
        <v>6</v>
      </c>
      <c r="E6377">
        <v>12</v>
      </c>
      <c r="F6377">
        <v>179</v>
      </c>
      <c r="G6377">
        <v>2148</v>
      </c>
      <c r="H6377">
        <v>21</v>
      </c>
      <c r="I6377">
        <v>8.5</v>
      </c>
      <c r="J6377">
        <v>11.99</v>
      </c>
      <c r="K6377">
        <v>25754.52</v>
      </c>
    </row>
    <row r="6378" spans="1:11" x14ac:dyDescent="0.2">
      <c r="A6378">
        <v>2282</v>
      </c>
      <c r="B6378">
        <v>308156</v>
      </c>
      <c r="C6378" t="s">
        <v>8825</v>
      </c>
      <c r="D6378">
        <v>6</v>
      </c>
      <c r="E6378">
        <v>14</v>
      </c>
      <c r="F6378">
        <v>155</v>
      </c>
      <c r="G6378">
        <v>2170</v>
      </c>
      <c r="H6378">
        <v>100</v>
      </c>
      <c r="I6378">
        <v>1.6</v>
      </c>
      <c r="J6378">
        <v>8.99</v>
      </c>
      <c r="K6378">
        <v>19508.3</v>
      </c>
    </row>
    <row r="6379" spans="1:11" x14ac:dyDescent="0.2">
      <c r="A6379">
        <v>2291</v>
      </c>
      <c r="B6379">
        <v>308170</v>
      </c>
      <c r="C6379" t="s">
        <v>9527</v>
      </c>
      <c r="D6379">
        <v>6</v>
      </c>
      <c r="E6379">
        <v>12</v>
      </c>
      <c r="F6379">
        <v>234</v>
      </c>
      <c r="G6379">
        <v>2808</v>
      </c>
      <c r="H6379">
        <v>100</v>
      </c>
      <c r="I6379">
        <v>2.2999999999999998</v>
      </c>
      <c r="J6379">
        <v>5.99</v>
      </c>
      <c r="K6379">
        <v>16819.919999999998</v>
      </c>
    </row>
    <row r="6380" spans="1:11" x14ac:dyDescent="0.2">
      <c r="A6380">
        <v>2292</v>
      </c>
      <c r="B6380">
        <v>308173</v>
      </c>
      <c r="C6380" t="s">
        <v>7999</v>
      </c>
      <c r="D6380">
        <v>6</v>
      </c>
      <c r="E6380">
        <v>10</v>
      </c>
      <c r="F6380">
        <v>1420</v>
      </c>
      <c r="G6380">
        <v>14200</v>
      </c>
      <c r="H6380">
        <v>100</v>
      </c>
      <c r="I6380">
        <v>14.2</v>
      </c>
      <c r="J6380">
        <v>12.99</v>
      </c>
      <c r="K6380">
        <v>184458</v>
      </c>
    </row>
    <row r="6381" spans="1:11" x14ac:dyDescent="0.2">
      <c r="A6381">
        <v>2293</v>
      </c>
      <c r="B6381">
        <v>308174</v>
      </c>
      <c r="C6381" t="s">
        <v>9528</v>
      </c>
      <c r="D6381">
        <v>6</v>
      </c>
      <c r="E6381">
        <v>10</v>
      </c>
      <c r="F6381">
        <v>252</v>
      </c>
      <c r="G6381">
        <v>2520</v>
      </c>
      <c r="H6381">
        <v>100</v>
      </c>
      <c r="I6381">
        <v>2.5</v>
      </c>
      <c r="J6381">
        <v>14.99</v>
      </c>
      <c r="K6381">
        <v>37774.800000000003</v>
      </c>
    </row>
    <row r="6382" spans="1:11" x14ac:dyDescent="0.2">
      <c r="A6382">
        <v>60001</v>
      </c>
      <c r="B6382">
        <v>308517</v>
      </c>
      <c r="C6382" t="s">
        <v>9529</v>
      </c>
      <c r="D6382">
        <v>6</v>
      </c>
      <c r="E6382">
        <v>1</v>
      </c>
      <c r="F6382">
        <v>8583</v>
      </c>
      <c r="G6382">
        <v>8583</v>
      </c>
      <c r="H6382">
        <v>17</v>
      </c>
      <c r="I6382">
        <v>504.9</v>
      </c>
      <c r="J6382">
        <v>1.99</v>
      </c>
      <c r="K6382">
        <v>17080.169999999998</v>
      </c>
    </row>
    <row r="6383" spans="1:11" x14ac:dyDescent="0.2">
      <c r="A6383">
        <v>60003</v>
      </c>
      <c r="B6383">
        <v>308519</v>
      </c>
      <c r="C6383" t="s">
        <v>9530</v>
      </c>
      <c r="D6383">
        <v>6</v>
      </c>
      <c r="E6383">
        <v>1</v>
      </c>
      <c r="F6383">
        <v>2774</v>
      </c>
      <c r="G6383">
        <v>2774</v>
      </c>
      <c r="H6383">
        <v>15</v>
      </c>
      <c r="I6383">
        <v>184.9</v>
      </c>
      <c r="J6383">
        <v>1.99</v>
      </c>
      <c r="K6383">
        <v>5520.26</v>
      </c>
    </row>
    <row r="6384" spans="1:11" x14ac:dyDescent="0.2">
      <c r="A6384">
        <v>60004</v>
      </c>
      <c r="B6384">
        <v>308522</v>
      </c>
      <c r="C6384" t="s">
        <v>9531</v>
      </c>
      <c r="D6384">
        <v>6</v>
      </c>
      <c r="E6384">
        <v>1</v>
      </c>
      <c r="F6384">
        <v>4665</v>
      </c>
      <c r="G6384">
        <v>4665</v>
      </c>
      <c r="H6384">
        <v>20</v>
      </c>
      <c r="I6384">
        <v>233.3</v>
      </c>
      <c r="J6384">
        <v>1.99</v>
      </c>
      <c r="K6384">
        <v>9283.35</v>
      </c>
    </row>
    <row r="6385" spans="1:11" x14ac:dyDescent="0.2">
      <c r="A6385">
        <v>60006</v>
      </c>
      <c r="B6385">
        <v>308524</v>
      </c>
      <c r="C6385" t="s">
        <v>9532</v>
      </c>
      <c r="D6385">
        <v>6</v>
      </c>
      <c r="E6385">
        <v>1</v>
      </c>
      <c r="F6385">
        <v>1524</v>
      </c>
      <c r="G6385">
        <v>1524</v>
      </c>
      <c r="H6385">
        <v>15</v>
      </c>
      <c r="I6385">
        <v>101.6</v>
      </c>
      <c r="J6385">
        <v>1.99</v>
      </c>
      <c r="K6385">
        <v>3032.76</v>
      </c>
    </row>
    <row r="6386" spans="1:11" x14ac:dyDescent="0.2">
      <c r="A6386">
        <v>60007</v>
      </c>
      <c r="B6386">
        <v>308525</v>
      </c>
      <c r="C6386" t="s">
        <v>9533</v>
      </c>
      <c r="D6386">
        <v>6</v>
      </c>
      <c r="E6386">
        <v>1</v>
      </c>
      <c r="F6386">
        <v>6576</v>
      </c>
      <c r="G6386">
        <v>6576</v>
      </c>
      <c r="H6386">
        <v>15</v>
      </c>
      <c r="I6386">
        <v>438.4</v>
      </c>
      <c r="J6386">
        <v>1.99</v>
      </c>
      <c r="K6386">
        <v>13086.24</v>
      </c>
    </row>
    <row r="6387" spans="1:11" x14ac:dyDescent="0.2">
      <c r="A6387">
        <v>60009</v>
      </c>
      <c r="B6387">
        <v>308527</v>
      </c>
      <c r="C6387" t="s">
        <v>9534</v>
      </c>
      <c r="D6387">
        <v>6</v>
      </c>
      <c r="E6387">
        <v>1</v>
      </c>
      <c r="F6387">
        <v>8015</v>
      </c>
      <c r="G6387">
        <v>8015</v>
      </c>
      <c r="H6387">
        <v>100</v>
      </c>
      <c r="I6387">
        <v>80.2</v>
      </c>
      <c r="J6387">
        <v>1.99</v>
      </c>
      <c r="K6387">
        <v>15949.85</v>
      </c>
    </row>
    <row r="6388" spans="1:11" x14ac:dyDescent="0.2">
      <c r="A6388">
        <v>60010</v>
      </c>
      <c r="B6388">
        <v>308528</v>
      </c>
      <c r="C6388" t="s">
        <v>9535</v>
      </c>
      <c r="D6388">
        <v>6</v>
      </c>
      <c r="E6388">
        <v>1</v>
      </c>
      <c r="F6388">
        <v>4624</v>
      </c>
      <c r="G6388">
        <v>4624</v>
      </c>
      <c r="H6388">
        <v>12</v>
      </c>
      <c r="I6388">
        <v>385.3</v>
      </c>
      <c r="J6388">
        <v>1.99</v>
      </c>
      <c r="K6388">
        <v>9201.76</v>
      </c>
    </row>
    <row r="6389" spans="1:11" x14ac:dyDescent="0.2">
      <c r="A6389">
        <v>60012</v>
      </c>
      <c r="B6389">
        <v>308529</v>
      </c>
      <c r="C6389" t="s">
        <v>9536</v>
      </c>
      <c r="D6389">
        <v>6</v>
      </c>
      <c r="E6389">
        <v>1</v>
      </c>
      <c r="F6389">
        <v>2295</v>
      </c>
      <c r="G6389">
        <v>2295</v>
      </c>
      <c r="H6389">
        <v>20</v>
      </c>
      <c r="I6389">
        <v>114.8</v>
      </c>
      <c r="J6389">
        <v>1.99</v>
      </c>
      <c r="K6389">
        <v>4567.05</v>
      </c>
    </row>
    <row r="6390" spans="1:11" x14ac:dyDescent="0.2">
      <c r="A6390">
        <v>2269</v>
      </c>
      <c r="B6390">
        <v>308530</v>
      </c>
      <c r="C6390" t="s">
        <v>9537</v>
      </c>
      <c r="D6390">
        <v>6</v>
      </c>
      <c r="E6390">
        <v>6</v>
      </c>
      <c r="F6390">
        <v>303</v>
      </c>
      <c r="G6390">
        <v>1818</v>
      </c>
      <c r="H6390">
        <v>144</v>
      </c>
      <c r="I6390">
        <v>2.1</v>
      </c>
      <c r="J6390">
        <v>12.99</v>
      </c>
      <c r="K6390">
        <v>23615.82</v>
      </c>
    </row>
    <row r="6391" spans="1:11" x14ac:dyDescent="0.2">
      <c r="A6391">
        <v>1217</v>
      </c>
      <c r="B6391">
        <v>308724</v>
      </c>
      <c r="C6391" t="s">
        <v>7603</v>
      </c>
      <c r="D6391">
        <v>6</v>
      </c>
      <c r="E6391">
        <v>14</v>
      </c>
      <c r="F6391">
        <v>352</v>
      </c>
      <c r="G6391">
        <v>4928</v>
      </c>
      <c r="H6391">
        <v>108</v>
      </c>
      <c r="I6391">
        <v>3.3</v>
      </c>
      <c r="J6391">
        <v>4.99</v>
      </c>
      <c r="K6391">
        <v>24590.720000000001</v>
      </c>
    </row>
    <row r="6392" spans="1:11" x14ac:dyDescent="0.2">
      <c r="A6392">
        <v>1218</v>
      </c>
      <c r="B6392">
        <v>308725</v>
      </c>
      <c r="C6392" t="s">
        <v>8915</v>
      </c>
      <c r="D6392">
        <v>6</v>
      </c>
      <c r="E6392">
        <v>14</v>
      </c>
      <c r="F6392">
        <v>688</v>
      </c>
      <c r="G6392">
        <v>9632</v>
      </c>
      <c r="H6392">
        <v>30</v>
      </c>
      <c r="I6392">
        <v>22.9</v>
      </c>
      <c r="J6392">
        <v>9.99</v>
      </c>
      <c r="K6392">
        <v>96223.679999999993</v>
      </c>
    </row>
    <row r="6393" spans="1:11" x14ac:dyDescent="0.2">
      <c r="A6393">
        <v>1219</v>
      </c>
      <c r="B6393">
        <v>308726</v>
      </c>
      <c r="C6393" t="s">
        <v>8491</v>
      </c>
      <c r="D6393">
        <v>6</v>
      </c>
      <c r="E6393">
        <v>14</v>
      </c>
      <c r="F6393">
        <v>210</v>
      </c>
      <c r="G6393">
        <v>2940</v>
      </c>
      <c r="H6393">
        <v>20</v>
      </c>
      <c r="I6393">
        <v>10.5</v>
      </c>
      <c r="J6393">
        <v>12.99</v>
      </c>
      <c r="K6393">
        <v>38190.6</v>
      </c>
    </row>
    <row r="6394" spans="1:11" x14ac:dyDescent="0.2">
      <c r="A6394">
        <v>1221</v>
      </c>
      <c r="B6394">
        <v>308730</v>
      </c>
      <c r="C6394" t="s">
        <v>9369</v>
      </c>
      <c r="D6394">
        <v>6</v>
      </c>
      <c r="E6394">
        <v>14</v>
      </c>
      <c r="F6394">
        <v>390</v>
      </c>
      <c r="G6394">
        <v>5460</v>
      </c>
      <c r="H6394">
        <v>70</v>
      </c>
      <c r="I6394">
        <v>5.6</v>
      </c>
      <c r="J6394">
        <v>6.99</v>
      </c>
      <c r="K6394">
        <v>38165.4</v>
      </c>
    </row>
    <row r="6395" spans="1:11" x14ac:dyDescent="0.2">
      <c r="A6395">
        <v>1222</v>
      </c>
      <c r="B6395">
        <v>308733</v>
      </c>
      <c r="C6395" t="s">
        <v>9538</v>
      </c>
      <c r="D6395">
        <v>6</v>
      </c>
      <c r="E6395">
        <v>14</v>
      </c>
      <c r="F6395">
        <v>251</v>
      </c>
      <c r="G6395">
        <v>3514</v>
      </c>
      <c r="H6395">
        <v>36</v>
      </c>
      <c r="I6395">
        <v>7</v>
      </c>
      <c r="J6395">
        <v>12.99</v>
      </c>
      <c r="K6395">
        <v>45646.86</v>
      </c>
    </row>
    <row r="6396" spans="1:11" x14ac:dyDescent="0.2">
      <c r="A6396">
        <v>3212</v>
      </c>
      <c r="B6396">
        <v>308864</v>
      </c>
      <c r="C6396" t="s">
        <v>9539</v>
      </c>
      <c r="D6396">
        <v>6</v>
      </c>
      <c r="E6396">
        <v>16</v>
      </c>
      <c r="F6396">
        <v>486</v>
      </c>
      <c r="G6396">
        <v>7776</v>
      </c>
      <c r="H6396">
        <v>100</v>
      </c>
      <c r="I6396">
        <v>4.9000000000000004</v>
      </c>
      <c r="J6396">
        <v>7.99</v>
      </c>
      <c r="K6396">
        <v>62130.239999999998</v>
      </c>
    </row>
    <row r="6397" spans="1:11" x14ac:dyDescent="0.2">
      <c r="A6397">
        <v>3214</v>
      </c>
      <c r="B6397">
        <v>308869</v>
      </c>
      <c r="C6397" t="s">
        <v>8383</v>
      </c>
      <c r="D6397">
        <v>6</v>
      </c>
      <c r="E6397">
        <v>14</v>
      </c>
      <c r="F6397">
        <v>468</v>
      </c>
      <c r="G6397">
        <v>6552</v>
      </c>
      <c r="H6397">
        <v>100</v>
      </c>
      <c r="I6397">
        <v>4.7</v>
      </c>
      <c r="J6397">
        <v>6.99</v>
      </c>
      <c r="K6397">
        <v>45798.48</v>
      </c>
    </row>
    <row r="6398" spans="1:11" x14ac:dyDescent="0.2">
      <c r="A6398">
        <v>3215</v>
      </c>
      <c r="B6398">
        <v>308999</v>
      </c>
      <c r="C6398" t="s">
        <v>8317</v>
      </c>
      <c r="D6398">
        <v>6</v>
      </c>
      <c r="E6398">
        <v>18</v>
      </c>
      <c r="F6398">
        <v>200</v>
      </c>
      <c r="G6398">
        <v>3600</v>
      </c>
      <c r="H6398">
        <v>100</v>
      </c>
      <c r="I6398">
        <v>2</v>
      </c>
      <c r="J6398">
        <v>9.99</v>
      </c>
      <c r="K6398">
        <v>35964</v>
      </c>
    </row>
    <row r="6399" spans="1:11" x14ac:dyDescent="0.2">
      <c r="A6399">
        <v>1223</v>
      </c>
      <c r="B6399">
        <v>309060</v>
      </c>
      <c r="C6399" t="s">
        <v>8945</v>
      </c>
      <c r="D6399">
        <v>6</v>
      </c>
      <c r="E6399">
        <v>12</v>
      </c>
      <c r="F6399">
        <v>180</v>
      </c>
      <c r="G6399">
        <v>2160</v>
      </c>
      <c r="H6399">
        <v>18</v>
      </c>
      <c r="I6399">
        <v>10</v>
      </c>
      <c r="J6399">
        <v>11.99</v>
      </c>
      <c r="K6399">
        <v>25898.400000000001</v>
      </c>
    </row>
    <row r="6400" spans="1:11" x14ac:dyDescent="0.2">
      <c r="A6400">
        <v>1224</v>
      </c>
      <c r="B6400">
        <v>309073</v>
      </c>
      <c r="C6400" t="s">
        <v>8943</v>
      </c>
      <c r="D6400">
        <v>6</v>
      </c>
      <c r="E6400">
        <v>12</v>
      </c>
      <c r="F6400">
        <v>192</v>
      </c>
      <c r="G6400">
        <v>2304</v>
      </c>
      <c r="H6400">
        <v>24</v>
      </c>
      <c r="I6400">
        <v>8</v>
      </c>
      <c r="J6400">
        <v>11.99</v>
      </c>
      <c r="K6400">
        <v>27624.959999999999</v>
      </c>
    </row>
    <row r="6401" spans="1:11" x14ac:dyDescent="0.2">
      <c r="A6401">
        <v>2224</v>
      </c>
      <c r="B6401">
        <v>309147</v>
      </c>
      <c r="C6401" t="s">
        <v>8289</v>
      </c>
      <c r="D6401">
        <v>6</v>
      </c>
      <c r="E6401">
        <v>14</v>
      </c>
      <c r="F6401">
        <v>216</v>
      </c>
      <c r="G6401">
        <v>3024</v>
      </c>
      <c r="H6401">
        <v>54</v>
      </c>
      <c r="I6401">
        <v>4</v>
      </c>
      <c r="J6401">
        <v>11.99</v>
      </c>
      <c r="K6401">
        <v>36257.760000000002</v>
      </c>
    </row>
    <row r="6402" spans="1:11" x14ac:dyDescent="0.2">
      <c r="A6402">
        <v>2225</v>
      </c>
      <c r="B6402">
        <v>309150</v>
      </c>
      <c r="C6402" t="s">
        <v>9540</v>
      </c>
      <c r="D6402">
        <v>6</v>
      </c>
      <c r="E6402">
        <v>14</v>
      </c>
      <c r="F6402">
        <v>372</v>
      </c>
      <c r="G6402">
        <v>5208</v>
      </c>
      <c r="H6402">
        <v>60</v>
      </c>
      <c r="I6402">
        <v>6.2</v>
      </c>
      <c r="J6402">
        <v>8.99</v>
      </c>
      <c r="K6402">
        <v>46819.92</v>
      </c>
    </row>
    <row r="6403" spans="1:11" x14ac:dyDescent="0.2">
      <c r="A6403">
        <v>2226</v>
      </c>
      <c r="B6403">
        <v>309153</v>
      </c>
      <c r="C6403" t="s">
        <v>9541</v>
      </c>
      <c r="D6403">
        <v>6</v>
      </c>
      <c r="E6403">
        <v>14</v>
      </c>
      <c r="F6403">
        <v>250</v>
      </c>
      <c r="G6403">
        <v>3500</v>
      </c>
      <c r="H6403">
        <v>70</v>
      </c>
      <c r="I6403">
        <v>3.6</v>
      </c>
      <c r="J6403">
        <v>5.99</v>
      </c>
      <c r="K6403">
        <v>20965</v>
      </c>
    </row>
    <row r="6404" spans="1:11" x14ac:dyDescent="0.2">
      <c r="A6404">
        <v>2227</v>
      </c>
      <c r="B6404">
        <v>309156</v>
      </c>
      <c r="C6404" t="s">
        <v>8800</v>
      </c>
      <c r="D6404">
        <v>6</v>
      </c>
      <c r="E6404">
        <v>14</v>
      </c>
      <c r="F6404">
        <v>176</v>
      </c>
      <c r="G6404">
        <v>2464</v>
      </c>
      <c r="H6404">
        <v>100</v>
      </c>
      <c r="I6404">
        <v>1.8</v>
      </c>
      <c r="J6404">
        <v>9.99</v>
      </c>
      <c r="K6404">
        <v>24615.360000000001</v>
      </c>
    </row>
    <row r="6405" spans="1:11" x14ac:dyDescent="0.2">
      <c r="A6405">
        <v>2228</v>
      </c>
      <c r="B6405">
        <v>309164</v>
      </c>
      <c r="C6405" t="s">
        <v>7829</v>
      </c>
      <c r="D6405">
        <v>6</v>
      </c>
      <c r="E6405">
        <v>14</v>
      </c>
      <c r="F6405">
        <v>648</v>
      </c>
      <c r="G6405">
        <v>9072</v>
      </c>
      <c r="H6405">
        <v>108</v>
      </c>
      <c r="I6405">
        <v>6</v>
      </c>
      <c r="J6405">
        <v>4.99</v>
      </c>
      <c r="K6405">
        <v>45269.279999999999</v>
      </c>
    </row>
    <row r="6406" spans="1:11" x14ac:dyDescent="0.2">
      <c r="A6406">
        <v>2229</v>
      </c>
      <c r="B6406">
        <v>309166</v>
      </c>
      <c r="C6406" t="s">
        <v>6479</v>
      </c>
      <c r="D6406">
        <v>6</v>
      </c>
      <c r="E6406">
        <v>14</v>
      </c>
      <c r="F6406">
        <v>196</v>
      </c>
      <c r="G6406">
        <v>2744</v>
      </c>
      <c r="H6406">
        <v>35</v>
      </c>
      <c r="I6406">
        <v>5.6</v>
      </c>
      <c r="J6406">
        <v>9.99</v>
      </c>
      <c r="K6406">
        <v>27412.560000000001</v>
      </c>
    </row>
    <row r="6407" spans="1:11" x14ac:dyDescent="0.2">
      <c r="A6407">
        <v>3291</v>
      </c>
      <c r="B6407">
        <v>309359</v>
      </c>
      <c r="C6407" t="s">
        <v>9542</v>
      </c>
      <c r="D6407">
        <v>6</v>
      </c>
      <c r="E6407">
        <v>20</v>
      </c>
      <c r="F6407">
        <v>509</v>
      </c>
      <c r="G6407">
        <v>10180</v>
      </c>
      <c r="H6407">
        <v>100</v>
      </c>
      <c r="I6407">
        <v>5.0999999999999996</v>
      </c>
      <c r="J6407">
        <v>2.99</v>
      </c>
      <c r="K6407">
        <v>30438.2</v>
      </c>
    </row>
    <row r="6408" spans="1:11" x14ac:dyDescent="0.2">
      <c r="A6408">
        <v>2200</v>
      </c>
      <c r="B6408">
        <v>309363</v>
      </c>
      <c r="C6408" t="s">
        <v>9543</v>
      </c>
      <c r="D6408">
        <v>6</v>
      </c>
      <c r="E6408">
        <v>20</v>
      </c>
      <c r="F6408">
        <v>302</v>
      </c>
      <c r="G6408">
        <v>6040</v>
      </c>
      <c r="H6408">
        <v>117</v>
      </c>
      <c r="I6408">
        <v>2.6</v>
      </c>
      <c r="J6408">
        <v>2.99</v>
      </c>
      <c r="K6408">
        <v>18059.599999999999</v>
      </c>
    </row>
    <row r="6409" spans="1:11" x14ac:dyDescent="0.2">
      <c r="A6409">
        <v>3218</v>
      </c>
      <c r="B6409">
        <v>309367</v>
      </c>
      <c r="C6409" t="s">
        <v>9544</v>
      </c>
      <c r="D6409">
        <v>6</v>
      </c>
      <c r="E6409">
        <v>20</v>
      </c>
      <c r="F6409">
        <v>276</v>
      </c>
      <c r="G6409">
        <v>5520</v>
      </c>
      <c r="H6409">
        <v>100</v>
      </c>
      <c r="I6409">
        <v>2.8</v>
      </c>
      <c r="J6409">
        <v>3.99</v>
      </c>
      <c r="K6409">
        <v>22024.799999999999</v>
      </c>
    </row>
    <row r="6410" spans="1:11" x14ac:dyDescent="0.2">
      <c r="A6410">
        <v>3219</v>
      </c>
      <c r="B6410">
        <v>309369</v>
      </c>
      <c r="C6410" t="s">
        <v>9418</v>
      </c>
      <c r="D6410">
        <v>6</v>
      </c>
      <c r="E6410">
        <v>20</v>
      </c>
      <c r="F6410">
        <v>300</v>
      </c>
      <c r="G6410">
        <v>6000</v>
      </c>
      <c r="H6410">
        <v>100</v>
      </c>
      <c r="I6410">
        <v>3</v>
      </c>
      <c r="J6410">
        <v>4.99</v>
      </c>
      <c r="K6410">
        <v>29940</v>
      </c>
    </row>
    <row r="6411" spans="1:11" x14ac:dyDescent="0.2">
      <c r="A6411">
        <v>48838</v>
      </c>
      <c r="B6411">
        <v>309484</v>
      </c>
      <c r="C6411" t="s">
        <v>9545</v>
      </c>
      <c r="D6411">
        <v>10</v>
      </c>
      <c r="E6411">
        <v>6</v>
      </c>
      <c r="F6411">
        <v>1</v>
      </c>
      <c r="G6411">
        <v>6</v>
      </c>
      <c r="H6411">
        <v>32</v>
      </c>
      <c r="I6411">
        <v>0</v>
      </c>
      <c r="J6411">
        <v>24.99</v>
      </c>
      <c r="K6411">
        <v>149.94</v>
      </c>
    </row>
    <row r="6412" spans="1:11" x14ac:dyDescent="0.2">
      <c r="A6412">
        <v>4251</v>
      </c>
      <c r="B6412">
        <v>309527</v>
      </c>
      <c r="C6412" t="s">
        <v>9546</v>
      </c>
      <c r="D6412">
        <v>6</v>
      </c>
      <c r="E6412">
        <v>138</v>
      </c>
      <c r="F6412">
        <v>80</v>
      </c>
      <c r="G6412">
        <v>11040</v>
      </c>
      <c r="H6412">
        <v>100</v>
      </c>
      <c r="I6412">
        <v>0.8</v>
      </c>
      <c r="J6412">
        <v>2.4900000000000002</v>
      </c>
      <c r="K6412">
        <v>27489.599999999999</v>
      </c>
    </row>
    <row r="6413" spans="1:11" x14ac:dyDescent="0.2">
      <c r="A6413">
        <v>3221</v>
      </c>
      <c r="B6413">
        <v>309565</v>
      </c>
      <c r="C6413" t="s">
        <v>9547</v>
      </c>
      <c r="D6413">
        <v>6</v>
      </c>
      <c r="E6413">
        <v>4</v>
      </c>
      <c r="F6413">
        <v>420</v>
      </c>
      <c r="G6413">
        <v>1680</v>
      </c>
      <c r="H6413">
        <v>100</v>
      </c>
      <c r="I6413">
        <v>4.2</v>
      </c>
      <c r="J6413">
        <v>24.99</v>
      </c>
      <c r="K6413">
        <v>41983.199999999997</v>
      </c>
    </row>
    <row r="6414" spans="1:11" x14ac:dyDescent="0.2">
      <c r="A6414">
        <v>3222</v>
      </c>
      <c r="B6414">
        <v>309571</v>
      </c>
      <c r="C6414" t="s">
        <v>9548</v>
      </c>
      <c r="D6414">
        <v>6</v>
      </c>
      <c r="E6414">
        <v>1</v>
      </c>
      <c r="F6414">
        <v>672</v>
      </c>
      <c r="G6414">
        <v>672</v>
      </c>
      <c r="H6414">
        <v>100</v>
      </c>
      <c r="I6414">
        <v>6.7</v>
      </c>
      <c r="J6414">
        <v>59.99</v>
      </c>
      <c r="K6414">
        <v>40313.279999999999</v>
      </c>
    </row>
    <row r="6415" spans="1:11" x14ac:dyDescent="0.2">
      <c r="A6415">
        <v>2270</v>
      </c>
      <c r="B6415">
        <v>309702</v>
      </c>
      <c r="C6415" t="s">
        <v>9549</v>
      </c>
      <c r="D6415">
        <v>6</v>
      </c>
      <c r="E6415">
        <v>270</v>
      </c>
      <c r="F6415">
        <v>168</v>
      </c>
      <c r="G6415">
        <v>45360</v>
      </c>
      <c r="H6415">
        <v>100</v>
      </c>
      <c r="I6415">
        <v>1.7</v>
      </c>
      <c r="J6415">
        <v>1.99</v>
      </c>
      <c r="K6415">
        <v>90266.4</v>
      </c>
    </row>
    <row r="6416" spans="1:11" x14ac:dyDescent="0.2">
      <c r="A6416">
        <v>2295</v>
      </c>
      <c r="B6416">
        <v>309823</v>
      </c>
      <c r="C6416" t="s">
        <v>9550</v>
      </c>
      <c r="D6416">
        <v>6</v>
      </c>
      <c r="E6416">
        <v>4</v>
      </c>
      <c r="F6416">
        <v>404</v>
      </c>
      <c r="G6416">
        <v>1616</v>
      </c>
      <c r="H6416">
        <v>100</v>
      </c>
      <c r="I6416">
        <v>4</v>
      </c>
      <c r="J6416">
        <v>24.99</v>
      </c>
      <c r="K6416">
        <v>40383.839999999997</v>
      </c>
    </row>
    <row r="6417" spans="1:11" x14ac:dyDescent="0.2">
      <c r="A6417">
        <v>3293</v>
      </c>
      <c r="B6417">
        <v>309886</v>
      </c>
      <c r="C6417" t="s">
        <v>9551</v>
      </c>
      <c r="D6417">
        <v>6</v>
      </c>
      <c r="E6417">
        <v>24</v>
      </c>
      <c r="F6417">
        <v>320</v>
      </c>
      <c r="G6417">
        <v>7680</v>
      </c>
      <c r="H6417">
        <v>100</v>
      </c>
      <c r="I6417">
        <v>3.2</v>
      </c>
      <c r="J6417">
        <v>2.4900000000000002</v>
      </c>
      <c r="K6417">
        <v>19123.2</v>
      </c>
    </row>
    <row r="6418" spans="1:11" x14ac:dyDescent="0.2">
      <c r="A6418">
        <v>1226</v>
      </c>
      <c r="B6418">
        <v>309955</v>
      </c>
      <c r="C6418" t="s">
        <v>8325</v>
      </c>
      <c r="D6418">
        <v>6</v>
      </c>
      <c r="E6418">
        <v>20</v>
      </c>
      <c r="F6418">
        <v>272</v>
      </c>
      <c r="G6418">
        <v>5440</v>
      </c>
      <c r="H6418">
        <v>60</v>
      </c>
      <c r="I6418">
        <v>4.5</v>
      </c>
      <c r="J6418">
        <v>3.99</v>
      </c>
      <c r="K6418">
        <v>21705.599999999999</v>
      </c>
    </row>
    <row r="6419" spans="1:11" x14ac:dyDescent="0.2">
      <c r="A6419">
        <v>1227</v>
      </c>
      <c r="B6419">
        <v>309968</v>
      </c>
      <c r="C6419" t="s">
        <v>9552</v>
      </c>
      <c r="D6419">
        <v>6</v>
      </c>
      <c r="E6419">
        <v>200</v>
      </c>
      <c r="F6419">
        <v>88</v>
      </c>
      <c r="G6419">
        <v>17600</v>
      </c>
      <c r="H6419">
        <v>4</v>
      </c>
      <c r="I6419">
        <v>22</v>
      </c>
      <c r="J6419">
        <v>1.99</v>
      </c>
      <c r="K6419">
        <v>35024</v>
      </c>
    </row>
    <row r="6420" spans="1:11" x14ac:dyDescent="0.2">
      <c r="A6420">
        <v>42423</v>
      </c>
      <c r="B6420">
        <v>310049</v>
      </c>
      <c r="C6420" t="s">
        <v>9553</v>
      </c>
      <c r="D6420">
        <v>10</v>
      </c>
      <c r="E6420">
        <v>8</v>
      </c>
      <c r="F6420">
        <v>0</v>
      </c>
      <c r="G6420">
        <v>0</v>
      </c>
      <c r="H6420">
        <v>144</v>
      </c>
      <c r="I6420">
        <v>0</v>
      </c>
      <c r="J6420">
        <v>5.99</v>
      </c>
      <c r="K6420">
        <v>0</v>
      </c>
    </row>
    <row r="6421" spans="1:11" x14ac:dyDescent="0.2">
      <c r="A6421">
        <v>49137</v>
      </c>
      <c r="B6421">
        <v>310057</v>
      </c>
      <c r="C6421" t="s">
        <v>9554</v>
      </c>
      <c r="D6421">
        <v>10</v>
      </c>
      <c r="E6421">
        <v>10</v>
      </c>
      <c r="F6421">
        <v>0</v>
      </c>
      <c r="G6421">
        <v>0</v>
      </c>
      <c r="H6421">
        <v>18</v>
      </c>
      <c r="I6421">
        <v>0</v>
      </c>
      <c r="J6421">
        <v>4.99</v>
      </c>
      <c r="K6421">
        <v>0</v>
      </c>
    </row>
    <row r="6422" spans="1:11" x14ac:dyDescent="0.2">
      <c r="A6422">
        <v>49138</v>
      </c>
      <c r="B6422">
        <v>310058</v>
      </c>
      <c r="C6422" t="s">
        <v>9555</v>
      </c>
      <c r="D6422">
        <v>10</v>
      </c>
      <c r="E6422">
        <v>6</v>
      </c>
      <c r="F6422">
        <v>1</v>
      </c>
      <c r="G6422">
        <v>6</v>
      </c>
      <c r="H6422">
        <v>48</v>
      </c>
      <c r="I6422">
        <v>0</v>
      </c>
      <c r="J6422">
        <v>24.99</v>
      </c>
      <c r="K6422">
        <v>149.94</v>
      </c>
    </row>
    <row r="6423" spans="1:11" x14ac:dyDescent="0.2">
      <c r="A6423">
        <v>37515</v>
      </c>
      <c r="B6423">
        <v>5003290</v>
      </c>
      <c r="C6423" t="s">
        <v>9556</v>
      </c>
      <c r="D6423">
        <v>10</v>
      </c>
      <c r="E6423">
        <v>10</v>
      </c>
      <c r="F6423">
        <v>0</v>
      </c>
      <c r="G6423">
        <v>0</v>
      </c>
      <c r="H6423">
        <v>90</v>
      </c>
      <c r="I6423">
        <v>0</v>
      </c>
      <c r="J6423">
        <v>1.99</v>
      </c>
      <c r="K6423">
        <v>0</v>
      </c>
    </row>
    <row r="6424" spans="1:11" x14ac:dyDescent="0.2">
      <c r="A6424">
        <v>48509</v>
      </c>
      <c r="B6424">
        <v>5100531</v>
      </c>
      <c r="C6424" t="s">
        <v>9557</v>
      </c>
      <c r="D6424">
        <v>10</v>
      </c>
      <c r="E6424">
        <v>10</v>
      </c>
      <c r="F6424">
        <v>-1</v>
      </c>
      <c r="G6424">
        <v>-10</v>
      </c>
      <c r="H6424">
        <v>120</v>
      </c>
      <c r="I6424">
        <v>0</v>
      </c>
      <c r="J6424">
        <v>3.99</v>
      </c>
      <c r="K6424">
        <v>-39.9</v>
      </c>
    </row>
    <row r="6425" spans="1:11" x14ac:dyDescent="0.2">
      <c r="A6425">
        <v>37516</v>
      </c>
      <c r="B6425">
        <v>5101939</v>
      </c>
      <c r="C6425" t="s">
        <v>9558</v>
      </c>
      <c r="D6425">
        <v>10</v>
      </c>
      <c r="E6425">
        <v>20</v>
      </c>
      <c r="F6425">
        <v>0</v>
      </c>
      <c r="G6425">
        <v>0</v>
      </c>
      <c r="H6425">
        <v>91</v>
      </c>
      <c r="I6425">
        <v>0</v>
      </c>
      <c r="J6425">
        <v>3.29</v>
      </c>
      <c r="K6425">
        <v>0</v>
      </c>
    </row>
    <row r="6426" spans="1:11" x14ac:dyDescent="0.2">
      <c r="A6426">
        <v>57449</v>
      </c>
      <c r="B6426">
        <v>5102295</v>
      </c>
      <c r="C6426" t="s">
        <v>9559</v>
      </c>
      <c r="D6426">
        <v>10</v>
      </c>
      <c r="E6426">
        <v>10</v>
      </c>
      <c r="F6426">
        <v>0</v>
      </c>
      <c r="G6426">
        <v>0</v>
      </c>
      <c r="H6426">
        <v>84</v>
      </c>
      <c r="I6426">
        <v>0</v>
      </c>
      <c r="J6426">
        <v>1.99</v>
      </c>
      <c r="K6426">
        <v>0</v>
      </c>
    </row>
    <row r="6427" spans="1:11" x14ac:dyDescent="0.2">
      <c r="A6427">
        <v>57450</v>
      </c>
      <c r="B6427">
        <v>5102296</v>
      </c>
      <c r="C6427" t="s">
        <v>9560</v>
      </c>
      <c r="D6427">
        <v>10</v>
      </c>
      <c r="E6427">
        <v>10</v>
      </c>
      <c r="F6427">
        <v>0</v>
      </c>
      <c r="G6427">
        <v>-1</v>
      </c>
      <c r="H6427">
        <v>84</v>
      </c>
      <c r="I6427">
        <v>0</v>
      </c>
      <c r="J6427">
        <v>2.19</v>
      </c>
      <c r="K6427">
        <v>-2.19</v>
      </c>
    </row>
    <row r="6428" spans="1:11" x14ac:dyDescent="0.2">
      <c r="A6428">
        <v>50504</v>
      </c>
      <c r="B6428">
        <v>5102649</v>
      </c>
      <c r="C6428" t="s">
        <v>9561</v>
      </c>
      <c r="D6428">
        <v>10</v>
      </c>
      <c r="E6428">
        <v>6</v>
      </c>
      <c r="F6428">
        <v>-4</v>
      </c>
      <c r="G6428">
        <v>-22</v>
      </c>
      <c r="H6428">
        <v>114</v>
      </c>
      <c r="I6428">
        <v>0</v>
      </c>
      <c r="J6428">
        <v>9.9499999999999993</v>
      </c>
      <c r="K6428">
        <v>-218.9</v>
      </c>
    </row>
    <row r="6429" spans="1:11" x14ac:dyDescent="0.2">
      <c r="A6429">
        <v>57451</v>
      </c>
      <c r="B6429">
        <v>5104979</v>
      </c>
      <c r="C6429" t="s">
        <v>9562</v>
      </c>
      <c r="D6429">
        <v>10</v>
      </c>
      <c r="E6429">
        <v>14</v>
      </c>
      <c r="F6429">
        <v>0</v>
      </c>
      <c r="G6429">
        <v>0</v>
      </c>
      <c r="H6429">
        <v>120</v>
      </c>
      <c r="I6429">
        <v>0</v>
      </c>
      <c r="J6429">
        <v>2.29</v>
      </c>
      <c r="K6429">
        <v>0</v>
      </c>
    </row>
    <row r="6430" spans="1:11" x14ac:dyDescent="0.2">
      <c r="A6430">
        <v>45633</v>
      </c>
      <c r="B6430">
        <v>5106571</v>
      </c>
      <c r="C6430" t="s">
        <v>9563</v>
      </c>
      <c r="D6430">
        <v>10</v>
      </c>
      <c r="E6430">
        <v>40</v>
      </c>
      <c r="F6430">
        <v>0</v>
      </c>
      <c r="G6430">
        <v>0</v>
      </c>
      <c r="H6430">
        <v>80</v>
      </c>
      <c r="I6430">
        <v>0</v>
      </c>
      <c r="J6430">
        <v>2.99</v>
      </c>
      <c r="K6430">
        <v>0</v>
      </c>
    </row>
    <row r="6431" spans="1:11" x14ac:dyDescent="0.2">
      <c r="A6431">
        <v>4501</v>
      </c>
      <c r="B6431">
        <v>5200217</v>
      </c>
      <c r="C6431" t="s">
        <v>9564</v>
      </c>
      <c r="D6431">
        <v>6</v>
      </c>
      <c r="E6431">
        <v>14</v>
      </c>
      <c r="F6431">
        <v>3</v>
      </c>
      <c r="G6431">
        <v>42</v>
      </c>
      <c r="H6431">
        <v>105</v>
      </c>
      <c r="I6431">
        <v>0</v>
      </c>
      <c r="J6431">
        <v>1.49</v>
      </c>
      <c r="K6431">
        <v>62.58</v>
      </c>
    </row>
    <row r="6432" spans="1:11" x14ac:dyDescent="0.2">
      <c r="A6432">
        <v>4601</v>
      </c>
      <c r="B6432">
        <v>5200282</v>
      </c>
      <c r="C6432" t="s">
        <v>9565</v>
      </c>
      <c r="D6432">
        <v>6</v>
      </c>
      <c r="E6432">
        <v>12</v>
      </c>
      <c r="F6432">
        <v>4</v>
      </c>
      <c r="G6432">
        <v>44</v>
      </c>
      <c r="H6432">
        <v>91</v>
      </c>
      <c r="I6432">
        <v>0</v>
      </c>
      <c r="J6432">
        <v>2.29</v>
      </c>
      <c r="K6432">
        <v>100.76</v>
      </c>
    </row>
    <row r="6433" spans="1:11" x14ac:dyDescent="0.2">
      <c r="A6433">
        <v>99220</v>
      </c>
      <c r="B6433">
        <v>5200553</v>
      </c>
      <c r="C6433" t="s">
        <v>9566</v>
      </c>
      <c r="D6433">
        <v>10</v>
      </c>
      <c r="E6433">
        <v>16</v>
      </c>
      <c r="F6433">
        <v>0</v>
      </c>
      <c r="G6433">
        <v>0</v>
      </c>
      <c r="H6433">
        <v>64</v>
      </c>
      <c r="I6433">
        <v>0</v>
      </c>
      <c r="J6433">
        <v>3.29</v>
      </c>
      <c r="K6433">
        <v>0</v>
      </c>
    </row>
    <row r="6434" spans="1:11" x14ac:dyDescent="0.2">
      <c r="B6434">
        <v>5200703</v>
      </c>
      <c r="C6434" t="s">
        <v>9567</v>
      </c>
      <c r="D6434">
        <v>11</v>
      </c>
      <c r="E6434">
        <v>8</v>
      </c>
      <c r="F6434">
        <v>0</v>
      </c>
      <c r="G6434">
        <v>0</v>
      </c>
      <c r="H6434">
        <v>84</v>
      </c>
      <c r="I6434">
        <v>0</v>
      </c>
      <c r="J6434">
        <v>1.69</v>
      </c>
      <c r="K6434">
        <v>0</v>
      </c>
    </row>
    <row r="6435" spans="1:11" x14ac:dyDescent="0.2">
      <c r="A6435">
        <v>52615</v>
      </c>
      <c r="B6435">
        <v>5200853</v>
      </c>
      <c r="C6435" t="s">
        <v>9568</v>
      </c>
      <c r="D6435">
        <v>6</v>
      </c>
      <c r="E6435">
        <v>20</v>
      </c>
      <c r="F6435">
        <v>210</v>
      </c>
      <c r="G6435">
        <v>4200</v>
      </c>
      <c r="H6435">
        <v>42</v>
      </c>
      <c r="I6435">
        <v>5</v>
      </c>
      <c r="J6435">
        <v>1.49</v>
      </c>
      <c r="K6435">
        <v>6258</v>
      </c>
    </row>
    <row r="6436" spans="1:11" x14ac:dyDescent="0.2">
      <c r="A6436">
        <v>62019</v>
      </c>
      <c r="B6436">
        <v>5200950</v>
      </c>
      <c r="C6436" t="s">
        <v>9569</v>
      </c>
      <c r="D6436">
        <v>8</v>
      </c>
      <c r="E6436">
        <v>6</v>
      </c>
      <c r="F6436">
        <v>522</v>
      </c>
      <c r="G6436">
        <v>3132</v>
      </c>
      <c r="H6436">
        <v>76</v>
      </c>
      <c r="I6436">
        <v>6.9</v>
      </c>
      <c r="J6436">
        <v>14.99</v>
      </c>
      <c r="K6436">
        <v>46948.68</v>
      </c>
    </row>
    <row r="6437" spans="1:11" x14ac:dyDescent="0.2">
      <c r="A6437">
        <v>99236</v>
      </c>
      <c r="B6437">
        <v>5202272</v>
      </c>
      <c r="C6437" t="s">
        <v>9570</v>
      </c>
      <c r="D6437">
        <v>10</v>
      </c>
      <c r="E6437">
        <v>6</v>
      </c>
      <c r="F6437">
        <v>0</v>
      </c>
      <c r="G6437">
        <v>0</v>
      </c>
      <c r="H6437">
        <v>96</v>
      </c>
      <c r="I6437">
        <v>0</v>
      </c>
      <c r="J6437">
        <v>3.99</v>
      </c>
      <c r="K6437">
        <v>0</v>
      </c>
    </row>
    <row r="6438" spans="1:11" x14ac:dyDescent="0.2">
      <c r="A6438">
        <v>57650</v>
      </c>
      <c r="B6438">
        <v>5202468</v>
      </c>
      <c r="C6438" t="s">
        <v>9571</v>
      </c>
      <c r="D6438">
        <v>10</v>
      </c>
      <c r="E6438">
        <v>16</v>
      </c>
      <c r="F6438">
        <v>0</v>
      </c>
      <c r="G6438">
        <v>0</v>
      </c>
      <c r="H6438">
        <v>84</v>
      </c>
      <c r="I6438">
        <v>0</v>
      </c>
      <c r="J6438">
        <v>2.4900000000000002</v>
      </c>
      <c r="K6438">
        <v>0</v>
      </c>
    </row>
    <row r="6439" spans="1:11" x14ac:dyDescent="0.2">
      <c r="A6439">
        <v>4504</v>
      </c>
      <c r="B6439">
        <v>5204115</v>
      </c>
      <c r="C6439" t="s">
        <v>9572</v>
      </c>
      <c r="D6439">
        <v>6</v>
      </c>
      <c r="E6439">
        <v>9</v>
      </c>
      <c r="F6439">
        <v>3</v>
      </c>
      <c r="G6439">
        <v>27</v>
      </c>
      <c r="H6439">
        <v>133</v>
      </c>
      <c r="I6439">
        <v>0</v>
      </c>
      <c r="J6439">
        <v>2.39</v>
      </c>
      <c r="K6439">
        <v>64.53</v>
      </c>
    </row>
    <row r="6440" spans="1:11" x14ac:dyDescent="0.2">
      <c r="A6440">
        <v>99092</v>
      </c>
      <c r="B6440">
        <v>5204188</v>
      </c>
      <c r="C6440" t="s">
        <v>9573</v>
      </c>
      <c r="D6440">
        <v>6</v>
      </c>
      <c r="E6440">
        <v>6</v>
      </c>
      <c r="F6440">
        <v>0</v>
      </c>
      <c r="G6440">
        <v>0</v>
      </c>
      <c r="H6440">
        <v>240</v>
      </c>
      <c r="I6440">
        <v>0</v>
      </c>
      <c r="J6440">
        <v>1.59</v>
      </c>
      <c r="K6440">
        <v>0</v>
      </c>
    </row>
    <row r="6441" spans="1:11" x14ac:dyDescent="0.2">
      <c r="A6441">
        <v>47605</v>
      </c>
      <c r="B6441">
        <v>5204265</v>
      </c>
      <c r="C6441" t="s">
        <v>9574</v>
      </c>
      <c r="D6441">
        <v>10</v>
      </c>
      <c r="E6441">
        <v>12</v>
      </c>
      <c r="F6441">
        <v>7</v>
      </c>
      <c r="G6441">
        <v>84</v>
      </c>
      <c r="H6441">
        <v>54</v>
      </c>
      <c r="I6441">
        <v>0.1</v>
      </c>
      <c r="J6441">
        <v>1.29</v>
      </c>
      <c r="K6441">
        <v>108.36</v>
      </c>
    </row>
    <row r="6442" spans="1:11" x14ac:dyDescent="0.2">
      <c r="A6442">
        <v>62045</v>
      </c>
      <c r="B6442">
        <v>5205095</v>
      </c>
      <c r="C6442" t="s">
        <v>9575</v>
      </c>
      <c r="D6442">
        <v>8</v>
      </c>
      <c r="E6442">
        <v>12</v>
      </c>
      <c r="F6442">
        <v>543</v>
      </c>
      <c r="G6442">
        <v>6516</v>
      </c>
      <c r="H6442">
        <v>70</v>
      </c>
      <c r="I6442">
        <v>7.8</v>
      </c>
      <c r="J6442">
        <v>7.79</v>
      </c>
      <c r="K6442">
        <v>50759.64</v>
      </c>
    </row>
    <row r="6443" spans="1:11" x14ac:dyDescent="0.2">
      <c r="A6443">
        <v>84223</v>
      </c>
      <c r="B6443">
        <v>5206251</v>
      </c>
      <c r="C6443" t="s">
        <v>9576</v>
      </c>
      <c r="D6443">
        <v>6</v>
      </c>
      <c r="E6443">
        <v>6</v>
      </c>
      <c r="F6443">
        <v>225</v>
      </c>
      <c r="G6443">
        <v>1350</v>
      </c>
      <c r="H6443">
        <v>75</v>
      </c>
      <c r="I6443">
        <v>3</v>
      </c>
      <c r="J6443">
        <v>1.65</v>
      </c>
      <c r="K6443">
        <v>2227.5</v>
      </c>
    </row>
    <row r="6444" spans="1:11" x14ac:dyDescent="0.2">
      <c r="A6444">
        <v>99780</v>
      </c>
      <c r="B6444">
        <v>5302792</v>
      </c>
      <c r="C6444" t="s">
        <v>9577</v>
      </c>
      <c r="D6444">
        <v>10</v>
      </c>
      <c r="E6444">
        <v>12</v>
      </c>
      <c r="F6444">
        <v>0</v>
      </c>
      <c r="G6444">
        <v>0</v>
      </c>
      <c r="H6444">
        <v>66</v>
      </c>
      <c r="I6444">
        <v>0</v>
      </c>
      <c r="J6444">
        <v>8.49</v>
      </c>
      <c r="K6444">
        <v>0</v>
      </c>
    </row>
    <row r="6445" spans="1:11" x14ac:dyDescent="0.2">
      <c r="A6445">
        <v>29624</v>
      </c>
      <c r="B6445">
        <v>5302814</v>
      </c>
      <c r="C6445" t="s">
        <v>9578</v>
      </c>
      <c r="D6445">
        <v>10</v>
      </c>
      <c r="E6445">
        <v>6</v>
      </c>
      <c r="F6445">
        <v>0</v>
      </c>
      <c r="G6445">
        <v>0</v>
      </c>
      <c r="H6445">
        <v>120</v>
      </c>
      <c r="I6445">
        <v>0</v>
      </c>
      <c r="J6445">
        <v>12</v>
      </c>
      <c r="K6445">
        <v>0</v>
      </c>
    </row>
    <row r="6446" spans="1:11" x14ac:dyDescent="0.2">
      <c r="A6446">
        <v>57493</v>
      </c>
      <c r="B6446">
        <v>5508414</v>
      </c>
      <c r="C6446" t="s">
        <v>9579</v>
      </c>
      <c r="D6446">
        <v>11</v>
      </c>
      <c r="E6446">
        <v>36</v>
      </c>
      <c r="F6446">
        <v>0</v>
      </c>
      <c r="G6446">
        <v>0</v>
      </c>
      <c r="H6446">
        <v>20</v>
      </c>
      <c r="I6446">
        <v>0</v>
      </c>
      <c r="J6446">
        <v>1</v>
      </c>
      <c r="K6446">
        <v>0</v>
      </c>
    </row>
    <row r="6447" spans="1:11" x14ac:dyDescent="0.2">
      <c r="B6447">
        <v>5508886</v>
      </c>
      <c r="C6447" t="s">
        <v>6672</v>
      </c>
      <c r="D6447">
        <v>11</v>
      </c>
      <c r="E6447">
        <v>135</v>
      </c>
      <c r="F6447">
        <v>0</v>
      </c>
      <c r="G6447">
        <v>0</v>
      </c>
      <c r="H6447">
        <v>16</v>
      </c>
      <c r="I6447">
        <v>0</v>
      </c>
      <c r="J6447">
        <v>0.99</v>
      </c>
      <c r="K6447">
        <v>0</v>
      </c>
    </row>
    <row r="6448" spans="1:11" x14ac:dyDescent="0.2">
      <c r="A6448">
        <v>57494</v>
      </c>
      <c r="B6448">
        <v>5509617</v>
      </c>
      <c r="C6448" t="s">
        <v>9580</v>
      </c>
      <c r="D6448">
        <v>11</v>
      </c>
      <c r="E6448">
        <v>99</v>
      </c>
      <c r="F6448">
        <v>0</v>
      </c>
      <c r="G6448">
        <v>0</v>
      </c>
      <c r="H6448">
        <v>20</v>
      </c>
      <c r="I6448">
        <v>0</v>
      </c>
      <c r="J6448">
        <v>1</v>
      </c>
      <c r="K6448">
        <v>0</v>
      </c>
    </row>
    <row r="6449" spans="1:11" x14ac:dyDescent="0.2">
      <c r="A6449">
        <v>57495</v>
      </c>
      <c r="B6449">
        <v>5511456</v>
      </c>
      <c r="C6449" t="s">
        <v>9581</v>
      </c>
      <c r="D6449">
        <v>10</v>
      </c>
      <c r="E6449">
        <v>12</v>
      </c>
      <c r="F6449">
        <v>0</v>
      </c>
      <c r="G6449">
        <v>0</v>
      </c>
      <c r="H6449">
        <v>108</v>
      </c>
      <c r="I6449">
        <v>0</v>
      </c>
      <c r="J6449">
        <v>0.79</v>
      </c>
      <c r="K6449">
        <v>0</v>
      </c>
    </row>
    <row r="6450" spans="1:11" x14ac:dyDescent="0.2">
      <c r="A6450">
        <v>70072</v>
      </c>
      <c r="B6450">
        <v>5514444</v>
      </c>
      <c r="C6450" t="s">
        <v>9582</v>
      </c>
      <c r="D6450">
        <v>8</v>
      </c>
      <c r="E6450">
        <v>12</v>
      </c>
      <c r="F6450">
        <v>599</v>
      </c>
      <c r="G6450">
        <v>7190</v>
      </c>
      <c r="H6450">
        <v>60</v>
      </c>
      <c r="I6450">
        <v>10</v>
      </c>
      <c r="J6450">
        <v>1.49</v>
      </c>
      <c r="K6450">
        <v>10713.1</v>
      </c>
    </row>
    <row r="6451" spans="1:11" x14ac:dyDescent="0.2">
      <c r="A6451">
        <v>70061</v>
      </c>
      <c r="B6451">
        <v>5514456</v>
      </c>
      <c r="C6451" t="s">
        <v>5735</v>
      </c>
      <c r="D6451">
        <v>8</v>
      </c>
      <c r="E6451">
        <v>15</v>
      </c>
      <c r="F6451">
        <v>672</v>
      </c>
      <c r="G6451">
        <v>10079</v>
      </c>
      <c r="H6451">
        <v>72</v>
      </c>
      <c r="I6451">
        <v>9.3000000000000007</v>
      </c>
      <c r="J6451">
        <v>0.85</v>
      </c>
      <c r="K6451">
        <v>8567.15</v>
      </c>
    </row>
    <row r="6452" spans="1:11" x14ac:dyDescent="0.2">
      <c r="B6452">
        <v>5514473</v>
      </c>
      <c r="C6452" t="s">
        <v>5748</v>
      </c>
      <c r="D6452">
        <v>11</v>
      </c>
      <c r="E6452">
        <v>12</v>
      </c>
      <c r="F6452">
        <v>0</v>
      </c>
      <c r="G6452">
        <v>0</v>
      </c>
      <c r="H6452">
        <v>60</v>
      </c>
      <c r="I6452">
        <v>0</v>
      </c>
      <c r="J6452">
        <v>1.0900000000000001</v>
      </c>
      <c r="K6452">
        <v>0</v>
      </c>
    </row>
    <row r="6453" spans="1:11" x14ac:dyDescent="0.2">
      <c r="A6453">
        <v>70078</v>
      </c>
      <c r="B6453">
        <v>5514494</v>
      </c>
      <c r="C6453" t="s">
        <v>5748</v>
      </c>
      <c r="D6453">
        <v>8</v>
      </c>
      <c r="E6453">
        <v>12</v>
      </c>
      <c r="F6453">
        <v>485</v>
      </c>
      <c r="G6453">
        <v>5820</v>
      </c>
      <c r="H6453">
        <v>50</v>
      </c>
      <c r="I6453">
        <v>9.6999999999999993</v>
      </c>
      <c r="J6453">
        <v>1.55</v>
      </c>
      <c r="K6453">
        <v>9021</v>
      </c>
    </row>
    <row r="6454" spans="1:11" x14ac:dyDescent="0.2">
      <c r="A6454">
        <v>70052</v>
      </c>
      <c r="B6454">
        <v>5514500</v>
      </c>
      <c r="C6454" t="s">
        <v>5748</v>
      </c>
      <c r="D6454">
        <v>6</v>
      </c>
      <c r="E6454">
        <v>12</v>
      </c>
      <c r="F6454">
        <v>1</v>
      </c>
      <c r="G6454">
        <v>12</v>
      </c>
      <c r="H6454">
        <v>50</v>
      </c>
      <c r="I6454">
        <v>0</v>
      </c>
      <c r="J6454">
        <v>1.55</v>
      </c>
      <c r="K6454">
        <v>18.600000000000001</v>
      </c>
    </row>
    <row r="6455" spans="1:11" x14ac:dyDescent="0.2">
      <c r="A6455">
        <v>2659</v>
      </c>
      <c r="B6455">
        <v>5515305</v>
      </c>
      <c r="C6455" t="s">
        <v>5633</v>
      </c>
      <c r="D6455">
        <v>6</v>
      </c>
      <c r="E6455">
        <v>12</v>
      </c>
      <c r="F6455">
        <v>0</v>
      </c>
      <c r="G6455">
        <v>0</v>
      </c>
      <c r="H6455">
        <v>60</v>
      </c>
      <c r="I6455">
        <v>0</v>
      </c>
      <c r="J6455">
        <v>1.69</v>
      </c>
      <c r="K6455">
        <v>0</v>
      </c>
    </row>
    <row r="6456" spans="1:11" x14ac:dyDescent="0.2">
      <c r="A6456">
        <v>57353</v>
      </c>
      <c r="B6456">
        <v>5516238</v>
      </c>
      <c r="C6456" t="s">
        <v>9583</v>
      </c>
      <c r="D6456">
        <v>10</v>
      </c>
      <c r="E6456">
        <v>140</v>
      </c>
      <c r="F6456">
        <v>0</v>
      </c>
      <c r="G6456">
        <v>0</v>
      </c>
      <c r="H6456">
        <v>4</v>
      </c>
      <c r="I6456">
        <v>0</v>
      </c>
      <c r="J6456">
        <v>0.5</v>
      </c>
      <c r="K6456">
        <v>0</v>
      </c>
    </row>
    <row r="6457" spans="1:11" x14ac:dyDescent="0.2">
      <c r="A6457">
        <v>3537</v>
      </c>
      <c r="B6457">
        <v>5600016</v>
      </c>
      <c r="C6457" t="s">
        <v>9584</v>
      </c>
      <c r="D6457">
        <v>6</v>
      </c>
      <c r="E6457">
        <v>12</v>
      </c>
      <c r="F6457">
        <v>3</v>
      </c>
      <c r="G6457">
        <v>36</v>
      </c>
      <c r="H6457">
        <v>52</v>
      </c>
      <c r="I6457">
        <v>0.1</v>
      </c>
      <c r="J6457">
        <v>2.39</v>
      </c>
      <c r="K6457">
        <v>86.04</v>
      </c>
    </row>
    <row r="6458" spans="1:11" x14ac:dyDescent="0.2">
      <c r="A6458">
        <v>41644</v>
      </c>
      <c r="B6458">
        <v>5600064</v>
      </c>
      <c r="C6458" t="s">
        <v>9585</v>
      </c>
      <c r="D6458">
        <v>10</v>
      </c>
      <c r="E6458">
        <v>6</v>
      </c>
      <c r="F6458">
        <v>-2</v>
      </c>
      <c r="G6458">
        <v>-12</v>
      </c>
      <c r="H6458">
        <v>76</v>
      </c>
      <c r="I6458">
        <v>0</v>
      </c>
      <c r="J6458">
        <v>14.29</v>
      </c>
      <c r="K6458">
        <v>-171.48</v>
      </c>
    </row>
    <row r="6459" spans="1:11" x14ac:dyDescent="0.2">
      <c r="B6459">
        <v>5600096</v>
      </c>
      <c r="C6459" t="s">
        <v>9586</v>
      </c>
      <c r="D6459">
        <v>11</v>
      </c>
      <c r="E6459">
        <v>8</v>
      </c>
      <c r="F6459">
        <v>0</v>
      </c>
      <c r="G6459">
        <v>0</v>
      </c>
      <c r="H6459">
        <v>80</v>
      </c>
      <c r="I6459">
        <v>0</v>
      </c>
      <c r="J6459">
        <v>1.39</v>
      </c>
      <c r="K6459">
        <v>0</v>
      </c>
    </row>
    <row r="6460" spans="1:11" x14ac:dyDescent="0.2">
      <c r="B6460">
        <v>5600144</v>
      </c>
      <c r="C6460" t="s">
        <v>9587</v>
      </c>
      <c r="D6460">
        <v>11</v>
      </c>
      <c r="E6460">
        <v>30</v>
      </c>
      <c r="F6460">
        <v>-2</v>
      </c>
      <c r="G6460">
        <v>-60</v>
      </c>
      <c r="H6460">
        <v>30</v>
      </c>
      <c r="I6460">
        <v>-0.1</v>
      </c>
      <c r="J6460">
        <v>1.35</v>
      </c>
      <c r="K6460">
        <v>-81</v>
      </c>
    </row>
    <row r="6461" spans="1:11" x14ac:dyDescent="0.2">
      <c r="A6461">
        <v>95045</v>
      </c>
      <c r="B6461">
        <v>5600148</v>
      </c>
      <c r="C6461" t="s">
        <v>9588</v>
      </c>
      <c r="D6461">
        <v>10</v>
      </c>
      <c r="E6461">
        <v>100</v>
      </c>
      <c r="F6461">
        <v>5</v>
      </c>
      <c r="G6461">
        <v>500</v>
      </c>
      <c r="H6461">
        <v>4</v>
      </c>
      <c r="I6461">
        <v>1.3</v>
      </c>
      <c r="J6461">
        <v>2.39</v>
      </c>
      <c r="K6461">
        <v>1195</v>
      </c>
    </row>
    <row r="6462" spans="1:11" x14ac:dyDescent="0.2">
      <c r="B6462">
        <v>5600151</v>
      </c>
      <c r="C6462" t="s">
        <v>4445</v>
      </c>
      <c r="D6462">
        <v>11</v>
      </c>
      <c r="E6462">
        <v>192</v>
      </c>
      <c r="F6462">
        <v>-19</v>
      </c>
      <c r="G6462">
        <v>-3648</v>
      </c>
      <c r="H6462">
        <v>4</v>
      </c>
      <c r="I6462">
        <v>-4.8</v>
      </c>
      <c r="J6462">
        <v>3.59</v>
      </c>
      <c r="K6462">
        <v>-13096.32</v>
      </c>
    </row>
    <row r="6463" spans="1:11" x14ac:dyDescent="0.2">
      <c r="B6463">
        <v>5600202</v>
      </c>
      <c r="C6463" t="s">
        <v>9589</v>
      </c>
      <c r="D6463">
        <v>11</v>
      </c>
      <c r="E6463">
        <v>6</v>
      </c>
      <c r="F6463">
        <v>0</v>
      </c>
      <c r="G6463">
        <v>0</v>
      </c>
      <c r="H6463">
        <v>80</v>
      </c>
      <c r="I6463">
        <v>0</v>
      </c>
      <c r="J6463">
        <v>8</v>
      </c>
      <c r="K6463">
        <v>0</v>
      </c>
    </row>
    <row r="6464" spans="1:11" x14ac:dyDescent="0.2">
      <c r="B6464">
        <v>5600427</v>
      </c>
      <c r="C6464" t="s">
        <v>9590</v>
      </c>
      <c r="D6464">
        <v>11</v>
      </c>
      <c r="E6464">
        <v>6</v>
      </c>
      <c r="F6464">
        <v>0</v>
      </c>
      <c r="G6464">
        <v>0</v>
      </c>
      <c r="H6464">
        <v>80</v>
      </c>
      <c r="I6464">
        <v>0</v>
      </c>
      <c r="J6464">
        <v>6</v>
      </c>
      <c r="K6464">
        <v>0</v>
      </c>
    </row>
    <row r="6465" spans="1:12" x14ac:dyDescent="0.2">
      <c r="B6465">
        <v>5600476</v>
      </c>
      <c r="C6465" t="s">
        <v>9591</v>
      </c>
      <c r="D6465">
        <v>10</v>
      </c>
      <c r="E6465">
        <v>6</v>
      </c>
      <c r="F6465">
        <v>0</v>
      </c>
      <c r="G6465">
        <v>0</v>
      </c>
      <c r="H6465">
        <v>100</v>
      </c>
      <c r="I6465">
        <v>0</v>
      </c>
      <c r="J6465">
        <v>6.99</v>
      </c>
      <c r="K6465">
        <v>0</v>
      </c>
    </row>
    <row r="6466" spans="1:12" x14ac:dyDescent="0.2">
      <c r="B6466">
        <v>5600624</v>
      </c>
      <c r="C6466" t="s">
        <v>9592</v>
      </c>
      <c r="D6466">
        <v>11</v>
      </c>
      <c r="E6466">
        <v>6</v>
      </c>
      <c r="F6466">
        <v>0</v>
      </c>
      <c r="G6466">
        <v>0</v>
      </c>
      <c r="H6466">
        <v>100</v>
      </c>
      <c r="I6466">
        <v>0</v>
      </c>
      <c r="J6466">
        <v>16.989999999999998</v>
      </c>
      <c r="K6466">
        <v>0</v>
      </c>
    </row>
    <row r="6467" spans="1:12" x14ac:dyDescent="0.2">
      <c r="A6467">
        <v>61067</v>
      </c>
      <c r="B6467">
        <v>5600627</v>
      </c>
      <c r="C6467" t="s">
        <v>9593</v>
      </c>
      <c r="D6467">
        <v>7</v>
      </c>
      <c r="E6467">
        <v>6</v>
      </c>
      <c r="F6467">
        <v>0</v>
      </c>
      <c r="G6467">
        <v>0</v>
      </c>
      <c r="H6467">
        <v>80</v>
      </c>
      <c r="I6467">
        <v>0</v>
      </c>
      <c r="J6467">
        <v>15</v>
      </c>
      <c r="K6467">
        <v>0</v>
      </c>
    </row>
    <row r="6468" spans="1:12" x14ac:dyDescent="0.2">
      <c r="B6468">
        <v>5600640</v>
      </c>
      <c r="C6468" t="s">
        <v>9594</v>
      </c>
      <c r="D6468">
        <v>10</v>
      </c>
      <c r="E6468">
        <v>6</v>
      </c>
      <c r="F6468">
        <v>0</v>
      </c>
      <c r="G6468">
        <v>0</v>
      </c>
      <c r="H6468">
        <v>100</v>
      </c>
      <c r="I6468">
        <v>0</v>
      </c>
      <c r="J6468">
        <v>15.99</v>
      </c>
      <c r="K6468">
        <v>0</v>
      </c>
    </row>
    <row r="6469" spans="1:12" x14ac:dyDescent="0.2">
      <c r="B6469">
        <v>5600641</v>
      </c>
      <c r="C6469" t="s">
        <v>9595</v>
      </c>
      <c r="D6469">
        <v>11</v>
      </c>
      <c r="E6469">
        <v>6</v>
      </c>
      <c r="F6469">
        <v>0</v>
      </c>
      <c r="G6469">
        <v>0</v>
      </c>
      <c r="H6469">
        <v>80</v>
      </c>
      <c r="I6469">
        <v>0</v>
      </c>
      <c r="J6469">
        <v>7</v>
      </c>
      <c r="K6469">
        <v>0</v>
      </c>
    </row>
    <row r="6470" spans="1:12" x14ac:dyDescent="0.2">
      <c r="A6470">
        <v>61060</v>
      </c>
      <c r="B6470">
        <v>5600654</v>
      </c>
      <c r="C6470" t="s">
        <v>9596</v>
      </c>
      <c r="D6470">
        <v>8</v>
      </c>
      <c r="E6470">
        <v>6</v>
      </c>
      <c r="F6470">
        <v>171</v>
      </c>
      <c r="G6470">
        <v>1026</v>
      </c>
      <c r="H6470">
        <v>100</v>
      </c>
      <c r="I6470">
        <v>1.7</v>
      </c>
      <c r="J6470">
        <v>16.989999999999998</v>
      </c>
      <c r="K6470">
        <v>17431.740000000002</v>
      </c>
    </row>
    <row r="6471" spans="1:12" x14ac:dyDescent="0.2">
      <c r="B6471">
        <v>5600658</v>
      </c>
      <c r="C6471" t="s">
        <v>9597</v>
      </c>
      <c r="D6471">
        <v>6</v>
      </c>
      <c r="E6471">
        <v>6</v>
      </c>
      <c r="F6471">
        <v>0</v>
      </c>
      <c r="G6471">
        <v>0</v>
      </c>
      <c r="H6471">
        <v>88</v>
      </c>
      <c r="I6471">
        <v>0</v>
      </c>
      <c r="J6471">
        <v>19.989999999999998</v>
      </c>
      <c r="K6471">
        <v>0</v>
      </c>
    </row>
    <row r="6472" spans="1:12" x14ac:dyDescent="0.2">
      <c r="B6472">
        <v>5600790</v>
      </c>
      <c r="C6472" t="s">
        <v>9598</v>
      </c>
      <c r="D6472">
        <v>11</v>
      </c>
      <c r="E6472">
        <v>6</v>
      </c>
      <c r="F6472">
        <v>0</v>
      </c>
      <c r="G6472">
        <v>0</v>
      </c>
      <c r="H6472">
        <v>100</v>
      </c>
      <c r="I6472">
        <v>0</v>
      </c>
      <c r="J6472">
        <v>5.99</v>
      </c>
      <c r="K6472">
        <v>0</v>
      </c>
    </row>
    <row r="6473" spans="1:12" x14ac:dyDescent="0.2">
      <c r="B6473">
        <v>5600803</v>
      </c>
      <c r="C6473" t="s">
        <v>9599</v>
      </c>
      <c r="D6473">
        <v>10</v>
      </c>
      <c r="E6473">
        <v>6</v>
      </c>
      <c r="F6473">
        <v>0</v>
      </c>
      <c r="G6473">
        <v>0</v>
      </c>
      <c r="H6473">
        <v>100</v>
      </c>
      <c r="I6473">
        <v>0</v>
      </c>
      <c r="J6473">
        <v>32.9</v>
      </c>
      <c r="K6473">
        <v>0</v>
      </c>
    </row>
    <row r="6474" spans="1:12" x14ac:dyDescent="0.2">
      <c r="B6474">
        <v>5600855</v>
      </c>
      <c r="C6474" t="s">
        <v>9600</v>
      </c>
      <c r="D6474">
        <v>11</v>
      </c>
      <c r="E6474">
        <v>12</v>
      </c>
      <c r="F6474">
        <v>0</v>
      </c>
      <c r="G6474">
        <v>0</v>
      </c>
      <c r="H6474">
        <v>40</v>
      </c>
      <c r="I6474">
        <v>0</v>
      </c>
      <c r="J6474">
        <v>15</v>
      </c>
      <c r="K6474">
        <v>0</v>
      </c>
    </row>
    <row r="6475" spans="1:12" x14ac:dyDescent="0.2">
      <c r="B6475">
        <v>5600882</v>
      </c>
      <c r="C6475" t="s">
        <v>9601</v>
      </c>
      <c r="D6475">
        <v>11</v>
      </c>
      <c r="E6475">
        <v>6</v>
      </c>
      <c r="F6475">
        <v>0</v>
      </c>
      <c r="G6475">
        <v>0</v>
      </c>
      <c r="H6475">
        <v>80</v>
      </c>
      <c r="I6475">
        <v>0</v>
      </c>
      <c r="J6475">
        <v>25.9</v>
      </c>
      <c r="K6475">
        <v>0</v>
      </c>
    </row>
    <row r="6476" spans="1:12" x14ac:dyDescent="0.2">
      <c r="B6476">
        <v>5600901</v>
      </c>
      <c r="C6476" t="s">
        <v>9602</v>
      </c>
      <c r="D6476">
        <v>11</v>
      </c>
      <c r="E6476">
        <v>6</v>
      </c>
      <c r="F6476">
        <v>-1</v>
      </c>
      <c r="G6476">
        <v>-6</v>
      </c>
      <c r="H6476">
        <v>100</v>
      </c>
      <c r="I6476">
        <v>0</v>
      </c>
      <c r="J6476">
        <v>4.99</v>
      </c>
      <c r="K6476">
        <v>-29.94</v>
      </c>
    </row>
    <row r="6477" spans="1:12" x14ac:dyDescent="0.2">
      <c r="B6477">
        <v>5600944</v>
      </c>
      <c r="C6477" t="s">
        <v>9603</v>
      </c>
      <c r="D6477">
        <v>11</v>
      </c>
      <c r="E6477">
        <v>6</v>
      </c>
      <c r="F6477">
        <v>0</v>
      </c>
      <c r="G6477">
        <v>0</v>
      </c>
      <c r="H6477">
        <v>80</v>
      </c>
      <c r="I6477">
        <v>0</v>
      </c>
      <c r="J6477">
        <v>12</v>
      </c>
      <c r="K6477">
        <v>0</v>
      </c>
    </row>
    <row r="6478" spans="1:12" x14ac:dyDescent="0.2">
      <c r="B6478">
        <v>5600948</v>
      </c>
      <c r="C6478" t="s">
        <v>9604</v>
      </c>
      <c r="D6478">
        <v>12</v>
      </c>
      <c r="E6478">
        <v>12</v>
      </c>
      <c r="F6478">
        <v>0</v>
      </c>
      <c r="G6478">
        <v>3</v>
      </c>
      <c r="H6478">
        <v>40</v>
      </c>
      <c r="I6478">
        <v>0</v>
      </c>
      <c r="J6478">
        <v>16.989999999999998</v>
      </c>
      <c r="K6478">
        <v>50.97</v>
      </c>
      <c r="L6478" t="s">
        <v>3699</v>
      </c>
    </row>
    <row r="6479" spans="1:12" x14ac:dyDescent="0.2">
      <c r="B6479">
        <v>5600951</v>
      </c>
      <c r="C6479" t="s">
        <v>9605</v>
      </c>
      <c r="D6479">
        <v>6</v>
      </c>
      <c r="E6479">
        <v>12</v>
      </c>
      <c r="F6479">
        <v>0</v>
      </c>
      <c r="G6479">
        <v>0</v>
      </c>
      <c r="H6479">
        <v>40</v>
      </c>
      <c r="I6479">
        <v>0</v>
      </c>
      <c r="J6479">
        <v>64.989999999999995</v>
      </c>
      <c r="K6479">
        <v>0</v>
      </c>
    </row>
    <row r="6480" spans="1:12" x14ac:dyDescent="0.2">
      <c r="B6480">
        <v>5600963</v>
      </c>
      <c r="C6480" t="s">
        <v>9606</v>
      </c>
      <c r="D6480">
        <v>10</v>
      </c>
      <c r="E6480">
        <v>6</v>
      </c>
      <c r="F6480">
        <v>0</v>
      </c>
      <c r="G6480">
        <v>0</v>
      </c>
      <c r="H6480">
        <v>100</v>
      </c>
      <c r="I6480">
        <v>0</v>
      </c>
      <c r="J6480">
        <v>3.89</v>
      </c>
      <c r="K6480">
        <v>0</v>
      </c>
    </row>
    <row r="6481" spans="1:12" x14ac:dyDescent="0.2">
      <c r="B6481">
        <v>5600965</v>
      </c>
      <c r="C6481" t="s">
        <v>9607</v>
      </c>
      <c r="D6481">
        <v>11</v>
      </c>
      <c r="E6481">
        <v>6</v>
      </c>
      <c r="F6481">
        <v>0</v>
      </c>
      <c r="G6481">
        <v>0</v>
      </c>
      <c r="H6481">
        <v>100</v>
      </c>
      <c r="I6481">
        <v>0</v>
      </c>
      <c r="J6481">
        <v>3.99</v>
      </c>
      <c r="K6481">
        <v>0</v>
      </c>
    </row>
    <row r="6482" spans="1:12" x14ac:dyDescent="0.2">
      <c r="A6482">
        <v>26627</v>
      </c>
      <c r="B6482">
        <v>5600967</v>
      </c>
      <c r="C6482" t="s">
        <v>9608</v>
      </c>
      <c r="D6482">
        <v>12</v>
      </c>
      <c r="E6482">
        <v>6</v>
      </c>
      <c r="F6482">
        <v>0</v>
      </c>
      <c r="G6482">
        <v>0</v>
      </c>
      <c r="H6482">
        <v>100</v>
      </c>
      <c r="I6482">
        <v>0</v>
      </c>
      <c r="J6482">
        <v>3</v>
      </c>
      <c r="K6482">
        <v>0</v>
      </c>
      <c r="L6482" t="s">
        <v>3699</v>
      </c>
    </row>
    <row r="6483" spans="1:12" x14ac:dyDescent="0.2">
      <c r="B6483">
        <v>5600975</v>
      </c>
      <c r="C6483" t="s">
        <v>9609</v>
      </c>
      <c r="D6483">
        <v>11</v>
      </c>
      <c r="E6483">
        <v>6</v>
      </c>
      <c r="F6483">
        <v>-6</v>
      </c>
      <c r="G6483">
        <v>-36</v>
      </c>
      <c r="H6483">
        <v>100</v>
      </c>
      <c r="I6483">
        <v>-0.1</v>
      </c>
      <c r="J6483">
        <v>4.29</v>
      </c>
      <c r="K6483">
        <v>-154.44</v>
      </c>
    </row>
    <row r="6484" spans="1:12" x14ac:dyDescent="0.2">
      <c r="B6484">
        <v>5600980</v>
      </c>
      <c r="C6484" t="s">
        <v>9610</v>
      </c>
      <c r="D6484">
        <v>10</v>
      </c>
      <c r="E6484">
        <v>6</v>
      </c>
      <c r="F6484">
        <v>0</v>
      </c>
      <c r="G6484">
        <v>0</v>
      </c>
      <c r="H6484">
        <v>100</v>
      </c>
      <c r="I6484">
        <v>0</v>
      </c>
      <c r="J6484">
        <v>4.79</v>
      </c>
      <c r="K6484">
        <v>0</v>
      </c>
    </row>
    <row r="6485" spans="1:12" x14ac:dyDescent="0.2">
      <c r="B6485">
        <v>5600981</v>
      </c>
      <c r="C6485" t="s">
        <v>9611</v>
      </c>
      <c r="D6485">
        <v>11</v>
      </c>
      <c r="E6485">
        <v>6</v>
      </c>
      <c r="F6485">
        <v>-3</v>
      </c>
      <c r="G6485">
        <v>-18</v>
      </c>
      <c r="H6485">
        <v>100</v>
      </c>
      <c r="I6485">
        <v>0</v>
      </c>
      <c r="J6485">
        <v>4.79</v>
      </c>
      <c r="K6485">
        <v>-86.22</v>
      </c>
    </row>
    <row r="6486" spans="1:12" x14ac:dyDescent="0.2">
      <c r="B6486">
        <v>5600994</v>
      </c>
      <c r="C6486" t="s">
        <v>9612</v>
      </c>
      <c r="D6486">
        <v>10</v>
      </c>
      <c r="E6486">
        <v>6</v>
      </c>
      <c r="F6486">
        <v>0</v>
      </c>
      <c r="G6486">
        <v>0</v>
      </c>
      <c r="H6486">
        <v>100</v>
      </c>
      <c r="I6486">
        <v>0</v>
      </c>
      <c r="J6486">
        <v>6.99</v>
      </c>
      <c r="K6486">
        <v>0</v>
      </c>
    </row>
    <row r="6487" spans="1:12" x14ac:dyDescent="0.2">
      <c r="B6487">
        <v>5600995</v>
      </c>
      <c r="C6487" t="s">
        <v>9613</v>
      </c>
      <c r="D6487">
        <v>10</v>
      </c>
      <c r="E6487">
        <v>6</v>
      </c>
      <c r="F6487">
        <v>0</v>
      </c>
      <c r="G6487">
        <v>0</v>
      </c>
      <c r="H6487">
        <v>100</v>
      </c>
      <c r="I6487">
        <v>0</v>
      </c>
      <c r="J6487">
        <v>6.49</v>
      </c>
      <c r="K6487">
        <v>0</v>
      </c>
    </row>
    <row r="6488" spans="1:12" x14ac:dyDescent="0.2">
      <c r="B6488">
        <v>5600997</v>
      </c>
      <c r="C6488" t="s">
        <v>9614</v>
      </c>
      <c r="D6488">
        <v>12</v>
      </c>
      <c r="E6488">
        <v>6</v>
      </c>
      <c r="F6488">
        <v>0</v>
      </c>
      <c r="G6488">
        <v>0</v>
      </c>
      <c r="H6488">
        <v>100</v>
      </c>
      <c r="I6488">
        <v>0</v>
      </c>
      <c r="J6488">
        <v>3</v>
      </c>
      <c r="K6488">
        <v>0</v>
      </c>
      <c r="L6488" t="s">
        <v>3699</v>
      </c>
    </row>
    <row r="6489" spans="1:12" x14ac:dyDescent="0.2">
      <c r="A6489">
        <v>26628</v>
      </c>
      <c r="B6489">
        <v>5601001</v>
      </c>
      <c r="C6489" t="s">
        <v>9615</v>
      </c>
      <c r="D6489">
        <v>12</v>
      </c>
      <c r="E6489">
        <v>6</v>
      </c>
      <c r="F6489">
        <v>0</v>
      </c>
      <c r="G6489">
        <v>0</v>
      </c>
      <c r="H6489">
        <v>100</v>
      </c>
      <c r="I6489">
        <v>0</v>
      </c>
      <c r="J6489">
        <v>4</v>
      </c>
      <c r="K6489">
        <v>0</v>
      </c>
      <c r="L6489" t="s">
        <v>3699</v>
      </c>
    </row>
    <row r="6490" spans="1:12" x14ac:dyDescent="0.2">
      <c r="B6490">
        <v>5601011</v>
      </c>
      <c r="C6490" t="s">
        <v>9616</v>
      </c>
      <c r="D6490">
        <v>11</v>
      </c>
      <c r="E6490">
        <v>6</v>
      </c>
      <c r="F6490">
        <v>0</v>
      </c>
      <c r="G6490">
        <v>0</v>
      </c>
      <c r="H6490">
        <v>100</v>
      </c>
      <c r="I6490">
        <v>0</v>
      </c>
      <c r="J6490">
        <v>5.99</v>
      </c>
      <c r="K6490">
        <v>0</v>
      </c>
    </row>
    <row r="6491" spans="1:12" x14ac:dyDescent="0.2">
      <c r="B6491">
        <v>5601023</v>
      </c>
      <c r="C6491" t="s">
        <v>9617</v>
      </c>
      <c r="D6491">
        <v>6</v>
      </c>
      <c r="E6491">
        <v>6</v>
      </c>
      <c r="F6491">
        <v>0</v>
      </c>
      <c r="G6491">
        <v>0</v>
      </c>
      <c r="H6491">
        <v>100</v>
      </c>
      <c r="I6491">
        <v>0</v>
      </c>
      <c r="J6491">
        <v>8.99</v>
      </c>
      <c r="K6491">
        <v>0</v>
      </c>
    </row>
    <row r="6492" spans="1:12" x14ac:dyDescent="0.2">
      <c r="B6492">
        <v>5601026</v>
      </c>
      <c r="C6492" t="s">
        <v>9618</v>
      </c>
      <c r="D6492">
        <v>11</v>
      </c>
      <c r="E6492">
        <v>6</v>
      </c>
      <c r="F6492">
        <v>0</v>
      </c>
      <c r="G6492">
        <v>0</v>
      </c>
      <c r="H6492">
        <v>100</v>
      </c>
      <c r="I6492">
        <v>0</v>
      </c>
      <c r="J6492">
        <v>8.49</v>
      </c>
      <c r="K6492">
        <v>0</v>
      </c>
    </row>
    <row r="6493" spans="1:12" x14ac:dyDescent="0.2">
      <c r="B6493">
        <v>5601027</v>
      </c>
      <c r="C6493" t="s">
        <v>9619</v>
      </c>
      <c r="D6493">
        <v>11</v>
      </c>
      <c r="E6493">
        <v>6</v>
      </c>
      <c r="F6493">
        <v>0</v>
      </c>
      <c r="G6493">
        <v>0</v>
      </c>
      <c r="H6493">
        <v>100</v>
      </c>
      <c r="I6493">
        <v>0</v>
      </c>
      <c r="J6493">
        <v>8.99</v>
      </c>
      <c r="K6493">
        <v>0</v>
      </c>
    </row>
    <row r="6494" spans="1:12" x14ac:dyDescent="0.2">
      <c r="B6494">
        <v>5601038</v>
      </c>
      <c r="C6494" t="s">
        <v>9620</v>
      </c>
      <c r="D6494">
        <v>12</v>
      </c>
      <c r="E6494">
        <v>6</v>
      </c>
      <c r="F6494">
        <v>0</v>
      </c>
      <c r="G6494">
        <v>0</v>
      </c>
      <c r="H6494">
        <v>100</v>
      </c>
      <c r="I6494">
        <v>0</v>
      </c>
      <c r="J6494">
        <v>7</v>
      </c>
      <c r="K6494">
        <v>0</v>
      </c>
      <c r="L6494" t="s">
        <v>3699</v>
      </c>
    </row>
    <row r="6495" spans="1:12" x14ac:dyDescent="0.2">
      <c r="B6495">
        <v>5601045</v>
      </c>
      <c r="C6495" t="s">
        <v>9621</v>
      </c>
      <c r="D6495">
        <v>11</v>
      </c>
      <c r="E6495">
        <v>6</v>
      </c>
      <c r="F6495">
        <v>8</v>
      </c>
      <c r="G6495">
        <v>48</v>
      </c>
      <c r="H6495">
        <v>100</v>
      </c>
      <c r="I6495">
        <v>0.1</v>
      </c>
      <c r="J6495">
        <v>8.99</v>
      </c>
      <c r="K6495">
        <v>431.52</v>
      </c>
    </row>
    <row r="6496" spans="1:12" x14ac:dyDescent="0.2">
      <c r="B6496">
        <v>5601088</v>
      </c>
      <c r="C6496" t="s">
        <v>9622</v>
      </c>
      <c r="D6496">
        <v>12</v>
      </c>
      <c r="E6496">
        <v>6</v>
      </c>
      <c r="F6496">
        <v>0</v>
      </c>
      <c r="G6496">
        <v>0</v>
      </c>
      <c r="H6496">
        <v>100</v>
      </c>
      <c r="I6496">
        <v>0</v>
      </c>
      <c r="J6496">
        <v>8</v>
      </c>
      <c r="K6496">
        <v>0</v>
      </c>
      <c r="L6496" t="s">
        <v>3699</v>
      </c>
    </row>
    <row r="6497" spans="1:12" x14ac:dyDescent="0.2">
      <c r="B6497">
        <v>5601093</v>
      </c>
      <c r="C6497" t="s">
        <v>9623</v>
      </c>
      <c r="D6497">
        <v>12</v>
      </c>
      <c r="E6497">
        <v>6</v>
      </c>
      <c r="F6497">
        <v>0</v>
      </c>
      <c r="G6497">
        <v>1</v>
      </c>
      <c r="H6497">
        <v>100</v>
      </c>
      <c r="I6497">
        <v>0</v>
      </c>
      <c r="J6497">
        <v>8.49</v>
      </c>
      <c r="K6497">
        <v>8.49</v>
      </c>
      <c r="L6497" t="s">
        <v>3699</v>
      </c>
    </row>
    <row r="6498" spans="1:12" x14ac:dyDescent="0.2">
      <c r="B6498">
        <v>5601095</v>
      </c>
      <c r="C6498" t="s">
        <v>9624</v>
      </c>
      <c r="D6498">
        <v>12</v>
      </c>
      <c r="E6498">
        <v>6</v>
      </c>
      <c r="F6498">
        <v>0</v>
      </c>
      <c r="G6498">
        <v>0</v>
      </c>
      <c r="H6498">
        <v>105</v>
      </c>
      <c r="I6498">
        <v>0</v>
      </c>
      <c r="J6498">
        <v>5</v>
      </c>
      <c r="K6498">
        <v>0</v>
      </c>
      <c r="L6498" t="s">
        <v>3699</v>
      </c>
    </row>
    <row r="6499" spans="1:12" x14ac:dyDescent="0.2">
      <c r="B6499">
        <v>5601107</v>
      </c>
      <c r="C6499" t="s">
        <v>9625</v>
      </c>
      <c r="D6499">
        <v>12</v>
      </c>
      <c r="E6499">
        <v>6</v>
      </c>
      <c r="F6499">
        <v>0</v>
      </c>
      <c r="G6499">
        <v>0</v>
      </c>
      <c r="H6499">
        <v>105</v>
      </c>
      <c r="I6499">
        <v>0</v>
      </c>
      <c r="J6499">
        <v>7.99</v>
      </c>
      <c r="K6499">
        <v>0</v>
      </c>
      <c r="L6499" t="s">
        <v>3699</v>
      </c>
    </row>
    <row r="6500" spans="1:12" x14ac:dyDescent="0.2">
      <c r="B6500">
        <v>5601161</v>
      </c>
      <c r="C6500" t="s">
        <v>9626</v>
      </c>
      <c r="D6500">
        <v>11</v>
      </c>
      <c r="E6500">
        <v>6</v>
      </c>
      <c r="F6500">
        <v>0</v>
      </c>
      <c r="G6500">
        <v>0</v>
      </c>
      <c r="H6500">
        <v>105</v>
      </c>
      <c r="I6500">
        <v>0</v>
      </c>
      <c r="J6500">
        <v>19.989999999999998</v>
      </c>
      <c r="K6500">
        <v>0</v>
      </c>
    </row>
    <row r="6501" spans="1:12" x14ac:dyDescent="0.2">
      <c r="B6501">
        <v>5601181</v>
      </c>
      <c r="C6501" t="s">
        <v>9627</v>
      </c>
      <c r="D6501">
        <v>10</v>
      </c>
      <c r="E6501">
        <v>6</v>
      </c>
      <c r="F6501">
        <v>0</v>
      </c>
      <c r="G6501">
        <v>0</v>
      </c>
      <c r="H6501">
        <v>100</v>
      </c>
      <c r="I6501">
        <v>0</v>
      </c>
      <c r="J6501">
        <v>4.33</v>
      </c>
      <c r="K6501">
        <v>0</v>
      </c>
    </row>
    <row r="6502" spans="1:12" x14ac:dyDescent="0.2">
      <c r="B6502">
        <v>5601228</v>
      </c>
      <c r="C6502" t="s">
        <v>9628</v>
      </c>
      <c r="D6502">
        <v>12</v>
      </c>
      <c r="E6502">
        <v>6</v>
      </c>
      <c r="F6502">
        <v>0</v>
      </c>
      <c r="G6502">
        <v>0</v>
      </c>
      <c r="H6502">
        <v>105</v>
      </c>
      <c r="I6502">
        <v>0</v>
      </c>
      <c r="J6502">
        <v>6</v>
      </c>
      <c r="K6502">
        <v>0</v>
      </c>
      <c r="L6502" t="s">
        <v>3699</v>
      </c>
    </row>
    <row r="6503" spans="1:12" x14ac:dyDescent="0.2">
      <c r="A6503">
        <v>36609</v>
      </c>
      <c r="B6503">
        <v>5601252</v>
      </c>
      <c r="C6503" t="s">
        <v>9629</v>
      </c>
      <c r="D6503">
        <v>10</v>
      </c>
      <c r="E6503">
        <v>90</v>
      </c>
      <c r="F6503">
        <v>-1</v>
      </c>
      <c r="G6503">
        <v>-90</v>
      </c>
      <c r="H6503">
        <v>4</v>
      </c>
      <c r="I6503">
        <v>-0.3</v>
      </c>
      <c r="J6503">
        <v>2</v>
      </c>
      <c r="K6503">
        <v>-180</v>
      </c>
    </row>
    <row r="6504" spans="1:12" x14ac:dyDescent="0.2">
      <c r="A6504">
        <v>1621</v>
      </c>
      <c r="B6504">
        <v>5601253</v>
      </c>
      <c r="C6504" t="s">
        <v>9630</v>
      </c>
      <c r="D6504">
        <v>6</v>
      </c>
      <c r="E6504">
        <v>90</v>
      </c>
      <c r="F6504">
        <v>0</v>
      </c>
      <c r="G6504">
        <v>0</v>
      </c>
      <c r="H6504">
        <v>100</v>
      </c>
      <c r="I6504">
        <v>0</v>
      </c>
      <c r="J6504">
        <v>3.29</v>
      </c>
      <c r="K6504">
        <v>0</v>
      </c>
    </row>
    <row r="6505" spans="1:12" x14ac:dyDescent="0.2">
      <c r="B6505">
        <v>5601269</v>
      </c>
      <c r="C6505" t="s">
        <v>9631</v>
      </c>
      <c r="D6505">
        <v>10</v>
      </c>
      <c r="E6505">
        <v>6</v>
      </c>
      <c r="F6505">
        <v>0</v>
      </c>
      <c r="G6505">
        <v>0</v>
      </c>
      <c r="H6505">
        <v>100</v>
      </c>
      <c r="I6505">
        <v>0</v>
      </c>
      <c r="J6505">
        <v>5.99</v>
      </c>
      <c r="K6505">
        <v>0</v>
      </c>
    </row>
    <row r="6506" spans="1:12" x14ac:dyDescent="0.2">
      <c r="B6506">
        <v>5601291</v>
      </c>
      <c r="C6506" t="s">
        <v>9632</v>
      </c>
      <c r="D6506">
        <v>12</v>
      </c>
      <c r="E6506">
        <v>6</v>
      </c>
      <c r="F6506">
        <v>0</v>
      </c>
      <c r="G6506">
        <v>0</v>
      </c>
      <c r="H6506">
        <v>100</v>
      </c>
      <c r="I6506">
        <v>0</v>
      </c>
      <c r="J6506">
        <v>4</v>
      </c>
      <c r="K6506">
        <v>0</v>
      </c>
      <c r="L6506" t="s">
        <v>3699</v>
      </c>
    </row>
    <row r="6507" spans="1:12" x14ac:dyDescent="0.2">
      <c r="A6507">
        <v>47690</v>
      </c>
      <c r="B6507">
        <v>5601292</v>
      </c>
      <c r="C6507" t="s">
        <v>9633</v>
      </c>
      <c r="D6507">
        <v>10</v>
      </c>
      <c r="E6507">
        <v>6</v>
      </c>
      <c r="F6507">
        <v>16</v>
      </c>
      <c r="G6507">
        <v>95</v>
      </c>
      <c r="H6507">
        <v>100</v>
      </c>
      <c r="I6507">
        <v>0.2</v>
      </c>
      <c r="J6507">
        <v>2.29</v>
      </c>
      <c r="K6507">
        <v>217.55</v>
      </c>
    </row>
    <row r="6508" spans="1:12" x14ac:dyDescent="0.2">
      <c r="B6508">
        <v>5601365</v>
      </c>
      <c r="C6508" t="s">
        <v>9634</v>
      </c>
      <c r="D6508">
        <v>10</v>
      </c>
      <c r="E6508">
        <v>6</v>
      </c>
      <c r="F6508">
        <v>0</v>
      </c>
      <c r="G6508">
        <v>0</v>
      </c>
      <c r="H6508">
        <v>95</v>
      </c>
      <c r="I6508">
        <v>0</v>
      </c>
      <c r="J6508">
        <v>4.99</v>
      </c>
      <c r="K6508">
        <v>0</v>
      </c>
    </row>
    <row r="6509" spans="1:12" x14ac:dyDescent="0.2">
      <c r="B6509">
        <v>5601371</v>
      </c>
      <c r="C6509" t="s">
        <v>9635</v>
      </c>
      <c r="D6509">
        <v>11</v>
      </c>
      <c r="E6509">
        <v>6</v>
      </c>
      <c r="F6509">
        <v>0</v>
      </c>
      <c r="G6509">
        <v>0</v>
      </c>
      <c r="H6509">
        <v>76</v>
      </c>
      <c r="I6509">
        <v>0</v>
      </c>
      <c r="J6509">
        <v>5.99</v>
      </c>
      <c r="K6509">
        <v>0</v>
      </c>
    </row>
    <row r="6510" spans="1:12" x14ac:dyDescent="0.2">
      <c r="A6510">
        <v>52635</v>
      </c>
      <c r="B6510">
        <v>5601378</v>
      </c>
      <c r="C6510" t="s">
        <v>9636</v>
      </c>
      <c r="D6510">
        <v>6</v>
      </c>
      <c r="E6510">
        <v>6</v>
      </c>
      <c r="F6510">
        <v>304</v>
      </c>
      <c r="G6510">
        <v>1824</v>
      </c>
      <c r="H6510">
        <v>76</v>
      </c>
      <c r="I6510">
        <v>4</v>
      </c>
      <c r="J6510">
        <v>4.99</v>
      </c>
      <c r="K6510">
        <v>9101.76</v>
      </c>
    </row>
    <row r="6511" spans="1:12" x14ac:dyDescent="0.2">
      <c r="B6511">
        <v>5601417</v>
      </c>
      <c r="C6511" t="s">
        <v>9637</v>
      </c>
      <c r="D6511">
        <v>11</v>
      </c>
      <c r="E6511">
        <v>6</v>
      </c>
      <c r="F6511">
        <v>12</v>
      </c>
      <c r="G6511">
        <v>72</v>
      </c>
      <c r="H6511">
        <v>105</v>
      </c>
      <c r="I6511">
        <v>0.1</v>
      </c>
      <c r="J6511">
        <v>3.49</v>
      </c>
      <c r="K6511">
        <v>251.28</v>
      </c>
    </row>
    <row r="6512" spans="1:12" x14ac:dyDescent="0.2">
      <c r="B6512">
        <v>5601436</v>
      </c>
      <c r="C6512" t="s">
        <v>9638</v>
      </c>
      <c r="D6512">
        <v>12</v>
      </c>
      <c r="E6512">
        <v>6</v>
      </c>
      <c r="F6512">
        <v>0</v>
      </c>
      <c r="G6512">
        <v>0</v>
      </c>
      <c r="H6512">
        <v>100</v>
      </c>
      <c r="I6512">
        <v>0</v>
      </c>
      <c r="J6512">
        <v>2</v>
      </c>
      <c r="K6512">
        <v>0</v>
      </c>
      <c r="L6512" t="s">
        <v>3699</v>
      </c>
    </row>
    <row r="6513" spans="1:11" x14ac:dyDescent="0.2">
      <c r="A6513">
        <v>0</v>
      </c>
      <c r="B6513">
        <v>5601617</v>
      </c>
      <c r="C6513" t="s">
        <v>9639</v>
      </c>
      <c r="D6513">
        <v>12</v>
      </c>
      <c r="E6513">
        <v>12</v>
      </c>
      <c r="F6513">
        <v>0</v>
      </c>
      <c r="G6513">
        <v>0</v>
      </c>
      <c r="H6513">
        <v>96</v>
      </c>
      <c r="I6513">
        <v>0</v>
      </c>
      <c r="J6513">
        <v>0.99</v>
      </c>
      <c r="K6513">
        <v>0</v>
      </c>
    </row>
    <row r="6514" spans="1:11" x14ac:dyDescent="0.2">
      <c r="A6514">
        <v>72179</v>
      </c>
      <c r="B6514">
        <v>5601617</v>
      </c>
      <c r="C6514" t="s">
        <v>9639</v>
      </c>
      <c r="D6514">
        <v>8</v>
      </c>
      <c r="E6514">
        <v>18</v>
      </c>
      <c r="F6514">
        <v>393</v>
      </c>
      <c r="G6514">
        <v>7074</v>
      </c>
      <c r="H6514">
        <v>72</v>
      </c>
      <c r="I6514">
        <v>5.5</v>
      </c>
      <c r="J6514">
        <v>0.99</v>
      </c>
      <c r="K6514">
        <v>7003.26</v>
      </c>
    </row>
    <row r="6515" spans="1:11" x14ac:dyDescent="0.2">
      <c r="B6515">
        <v>5601634</v>
      </c>
      <c r="C6515" t="s">
        <v>9640</v>
      </c>
      <c r="D6515">
        <v>11</v>
      </c>
      <c r="E6515">
        <v>10</v>
      </c>
      <c r="F6515">
        <v>0</v>
      </c>
      <c r="G6515">
        <v>0</v>
      </c>
      <c r="H6515">
        <v>72</v>
      </c>
      <c r="I6515">
        <v>0</v>
      </c>
      <c r="J6515">
        <v>2.17</v>
      </c>
      <c r="K6515">
        <v>0</v>
      </c>
    </row>
    <row r="6516" spans="1:11" x14ac:dyDescent="0.2">
      <c r="B6516">
        <v>5601635</v>
      </c>
      <c r="C6516" t="s">
        <v>9641</v>
      </c>
      <c r="D6516">
        <v>10</v>
      </c>
      <c r="E6516">
        <v>10</v>
      </c>
      <c r="F6516">
        <v>0</v>
      </c>
      <c r="G6516">
        <v>0</v>
      </c>
      <c r="H6516">
        <v>72</v>
      </c>
      <c r="I6516">
        <v>0</v>
      </c>
      <c r="J6516">
        <v>1.89</v>
      </c>
      <c r="K6516">
        <v>0</v>
      </c>
    </row>
    <row r="6517" spans="1:11" x14ac:dyDescent="0.2">
      <c r="B6517">
        <v>5601672</v>
      </c>
      <c r="C6517" t="s">
        <v>9642</v>
      </c>
      <c r="D6517">
        <v>11</v>
      </c>
      <c r="E6517">
        <v>16</v>
      </c>
      <c r="F6517">
        <v>-2</v>
      </c>
      <c r="G6517">
        <v>-32</v>
      </c>
      <c r="H6517">
        <v>48</v>
      </c>
      <c r="I6517">
        <v>0</v>
      </c>
      <c r="J6517">
        <v>3.59</v>
      </c>
      <c r="K6517">
        <v>-114.88</v>
      </c>
    </row>
    <row r="6518" spans="1:11" x14ac:dyDescent="0.2">
      <c r="A6518">
        <v>39629</v>
      </c>
      <c r="B6518">
        <v>5601707</v>
      </c>
      <c r="C6518" t="s">
        <v>9643</v>
      </c>
      <c r="D6518">
        <v>10</v>
      </c>
      <c r="E6518">
        <v>120</v>
      </c>
      <c r="F6518">
        <v>2</v>
      </c>
      <c r="G6518">
        <v>240</v>
      </c>
      <c r="H6518">
        <v>4</v>
      </c>
      <c r="I6518">
        <v>0.5</v>
      </c>
      <c r="J6518">
        <v>3.99</v>
      </c>
      <c r="K6518">
        <v>957.6</v>
      </c>
    </row>
    <row r="6519" spans="1:11" x14ac:dyDescent="0.2">
      <c r="A6519">
        <v>30503</v>
      </c>
      <c r="B6519">
        <v>5601711</v>
      </c>
      <c r="C6519" t="s">
        <v>9644</v>
      </c>
      <c r="D6519">
        <v>10</v>
      </c>
      <c r="E6519">
        <v>10</v>
      </c>
      <c r="F6519">
        <v>0</v>
      </c>
      <c r="G6519">
        <v>0</v>
      </c>
      <c r="H6519">
        <v>64</v>
      </c>
      <c r="I6519">
        <v>0</v>
      </c>
      <c r="J6519">
        <v>2.75</v>
      </c>
      <c r="K6519">
        <v>0</v>
      </c>
    </row>
    <row r="6520" spans="1:11" x14ac:dyDescent="0.2">
      <c r="A6520">
        <v>82193</v>
      </c>
      <c r="B6520">
        <v>5601748</v>
      </c>
      <c r="C6520" t="s">
        <v>9645</v>
      </c>
      <c r="D6520">
        <v>8</v>
      </c>
      <c r="E6520">
        <v>16</v>
      </c>
      <c r="F6520">
        <v>431</v>
      </c>
      <c r="G6520">
        <v>6896</v>
      </c>
      <c r="H6520">
        <v>60</v>
      </c>
      <c r="I6520">
        <v>7.2</v>
      </c>
      <c r="J6520">
        <v>1.25</v>
      </c>
      <c r="K6520">
        <v>8620</v>
      </c>
    </row>
    <row r="6521" spans="1:11" x14ac:dyDescent="0.2">
      <c r="A6521">
        <v>82173</v>
      </c>
      <c r="B6521">
        <v>5601749</v>
      </c>
      <c r="C6521" t="s">
        <v>9646</v>
      </c>
      <c r="D6521">
        <v>8</v>
      </c>
      <c r="E6521">
        <v>16</v>
      </c>
      <c r="F6521">
        <v>570</v>
      </c>
      <c r="G6521">
        <v>9120</v>
      </c>
      <c r="H6521">
        <v>60</v>
      </c>
      <c r="I6521">
        <v>9.5</v>
      </c>
      <c r="J6521">
        <v>1.25</v>
      </c>
      <c r="K6521">
        <v>11400</v>
      </c>
    </row>
    <row r="6522" spans="1:11" x14ac:dyDescent="0.2">
      <c r="A6522">
        <v>99034</v>
      </c>
      <c r="B6522">
        <v>5601780</v>
      </c>
      <c r="C6522" t="s">
        <v>9647</v>
      </c>
      <c r="D6522">
        <v>10</v>
      </c>
      <c r="E6522">
        <v>12</v>
      </c>
      <c r="F6522">
        <v>0</v>
      </c>
      <c r="G6522">
        <v>0</v>
      </c>
      <c r="H6522">
        <v>117</v>
      </c>
      <c r="I6522">
        <v>0</v>
      </c>
      <c r="J6522">
        <v>3.99</v>
      </c>
      <c r="K6522">
        <v>0</v>
      </c>
    </row>
    <row r="6523" spans="1:11" x14ac:dyDescent="0.2">
      <c r="A6523">
        <v>99211</v>
      </c>
      <c r="B6523">
        <v>5601781</v>
      </c>
      <c r="C6523" t="s">
        <v>9648</v>
      </c>
      <c r="D6523">
        <v>10</v>
      </c>
      <c r="E6523">
        <v>12</v>
      </c>
      <c r="F6523">
        <v>0</v>
      </c>
      <c r="G6523">
        <v>0</v>
      </c>
      <c r="H6523">
        <v>117</v>
      </c>
      <c r="I6523">
        <v>0</v>
      </c>
      <c r="J6523">
        <v>3.49</v>
      </c>
      <c r="K6523">
        <v>0</v>
      </c>
    </row>
    <row r="6524" spans="1:11" x14ac:dyDescent="0.2">
      <c r="A6524">
        <v>99873</v>
      </c>
      <c r="B6524">
        <v>5601788</v>
      </c>
      <c r="C6524" t="s">
        <v>9649</v>
      </c>
      <c r="D6524">
        <v>10</v>
      </c>
      <c r="E6524">
        <v>6</v>
      </c>
      <c r="F6524">
        <v>0</v>
      </c>
      <c r="G6524">
        <v>0</v>
      </c>
      <c r="H6524">
        <v>84</v>
      </c>
      <c r="I6524">
        <v>0</v>
      </c>
      <c r="J6524">
        <v>6.19</v>
      </c>
      <c r="K6524">
        <v>0</v>
      </c>
    </row>
    <row r="6525" spans="1:11" x14ac:dyDescent="0.2">
      <c r="A6525">
        <v>85230</v>
      </c>
      <c r="B6525">
        <v>5601831</v>
      </c>
      <c r="C6525" t="s">
        <v>9650</v>
      </c>
      <c r="D6525">
        <v>10</v>
      </c>
      <c r="E6525">
        <v>6</v>
      </c>
      <c r="F6525">
        <v>101</v>
      </c>
      <c r="G6525">
        <v>606</v>
      </c>
      <c r="H6525">
        <v>140</v>
      </c>
      <c r="I6525">
        <v>0.7</v>
      </c>
      <c r="J6525">
        <v>3.39</v>
      </c>
      <c r="K6525">
        <v>2054.34</v>
      </c>
    </row>
    <row r="6526" spans="1:11" x14ac:dyDescent="0.2">
      <c r="A6526">
        <v>85225</v>
      </c>
      <c r="B6526">
        <v>5601832</v>
      </c>
      <c r="C6526" t="s">
        <v>9651</v>
      </c>
      <c r="D6526">
        <v>10</v>
      </c>
      <c r="E6526">
        <v>11</v>
      </c>
      <c r="F6526">
        <v>280</v>
      </c>
      <c r="G6526">
        <v>3080</v>
      </c>
      <c r="H6526">
        <v>140</v>
      </c>
      <c r="I6526">
        <v>2</v>
      </c>
      <c r="J6526">
        <v>1.59</v>
      </c>
      <c r="K6526">
        <v>4897.2</v>
      </c>
    </row>
    <row r="6527" spans="1:11" x14ac:dyDescent="0.2">
      <c r="A6527">
        <v>85170</v>
      </c>
      <c r="B6527">
        <v>5601834</v>
      </c>
      <c r="C6527" t="s">
        <v>9652</v>
      </c>
      <c r="D6527">
        <v>9</v>
      </c>
      <c r="E6527">
        <v>8</v>
      </c>
      <c r="F6527">
        <v>-6</v>
      </c>
      <c r="G6527">
        <v>-48</v>
      </c>
      <c r="H6527">
        <v>90</v>
      </c>
      <c r="I6527">
        <v>-0.1</v>
      </c>
      <c r="J6527">
        <v>13.99</v>
      </c>
      <c r="K6527">
        <v>-671.52</v>
      </c>
    </row>
    <row r="6528" spans="1:11" x14ac:dyDescent="0.2">
      <c r="B6528">
        <v>5601842</v>
      </c>
      <c r="C6528" t="s">
        <v>9653</v>
      </c>
      <c r="D6528">
        <v>10</v>
      </c>
      <c r="E6528">
        <v>6</v>
      </c>
      <c r="F6528">
        <v>0</v>
      </c>
      <c r="G6528">
        <v>0</v>
      </c>
      <c r="H6528">
        <v>95</v>
      </c>
      <c r="I6528">
        <v>0</v>
      </c>
      <c r="J6528">
        <v>3.99</v>
      </c>
      <c r="K6528">
        <v>0</v>
      </c>
    </row>
    <row r="6529" spans="1:12" x14ac:dyDescent="0.2">
      <c r="A6529">
        <v>27617</v>
      </c>
      <c r="B6529">
        <v>5601862</v>
      </c>
      <c r="C6529" t="s">
        <v>9654</v>
      </c>
      <c r="D6529">
        <v>12</v>
      </c>
      <c r="E6529">
        <v>90</v>
      </c>
      <c r="F6529">
        <v>0</v>
      </c>
      <c r="G6529">
        <v>0</v>
      </c>
      <c r="H6529">
        <v>4</v>
      </c>
      <c r="I6529">
        <v>0</v>
      </c>
      <c r="J6529">
        <v>1</v>
      </c>
      <c r="K6529">
        <v>0</v>
      </c>
      <c r="L6529" t="s">
        <v>3699</v>
      </c>
    </row>
    <row r="6530" spans="1:12" x14ac:dyDescent="0.2">
      <c r="A6530">
        <v>3620</v>
      </c>
      <c r="B6530">
        <v>5601896</v>
      </c>
      <c r="C6530" t="s">
        <v>9655</v>
      </c>
      <c r="D6530">
        <v>6</v>
      </c>
      <c r="E6530">
        <v>8</v>
      </c>
      <c r="F6530">
        <v>0</v>
      </c>
      <c r="G6530">
        <v>0</v>
      </c>
      <c r="H6530">
        <v>72</v>
      </c>
      <c r="I6530">
        <v>0</v>
      </c>
      <c r="J6530">
        <v>2.59</v>
      </c>
      <c r="K6530">
        <v>0</v>
      </c>
    </row>
    <row r="6531" spans="1:12" x14ac:dyDescent="0.2">
      <c r="B6531">
        <v>5601899</v>
      </c>
      <c r="C6531" t="s">
        <v>9656</v>
      </c>
      <c r="D6531">
        <v>6</v>
      </c>
      <c r="E6531">
        <v>1</v>
      </c>
      <c r="F6531">
        <v>0</v>
      </c>
      <c r="G6531">
        <v>0</v>
      </c>
      <c r="H6531">
        <v>720</v>
      </c>
      <c r="I6531">
        <v>0</v>
      </c>
      <c r="J6531">
        <v>6.99</v>
      </c>
      <c r="K6531">
        <v>0</v>
      </c>
    </row>
    <row r="6532" spans="1:12" x14ac:dyDescent="0.2">
      <c r="A6532">
        <v>32602</v>
      </c>
      <c r="B6532">
        <v>5601900</v>
      </c>
      <c r="C6532" t="s">
        <v>9657</v>
      </c>
      <c r="D6532">
        <v>12</v>
      </c>
      <c r="E6532">
        <v>12</v>
      </c>
      <c r="F6532">
        <v>0</v>
      </c>
      <c r="G6532">
        <v>0</v>
      </c>
      <c r="H6532">
        <v>120</v>
      </c>
      <c r="I6532">
        <v>0</v>
      </c>
      <c r="J6532">
        <v>0.5</v>
      </c>
      <c r="K6532">
        <v>0</v>
      </c>
      <c r="L6532" t="s">
        <v>3699</v>
      </c>
    </row>
    <row r="6533" spans="1:12" x14ac:dyDescent="0.2">
      <c r="B6533">
        <v>5601906</v>
      </c>
      <c r="C6533" t="s">
        <v>9658</v>
      </c>
      <c r="D6533">
        <v>11</v>
      </c>
      <c r="E6533">
        <v>6</v>
      </c>
      <c r="F6533">
        <v>0</v>
      </c>
      <c r="G6533">
        <v>0</v>
      </c>
      <c r="H6533">
        <v>84</v>
      </c>
      <c r="I6533">
        <v>0</v>
      </c>
      <c r="J6533">
        <v>1.58</v>
      </c>
      <c r="K6533">
        <v>0</v>
      </c>
    </row>
    <row r="6534" spans="1:12" x14ac:dyDescent="0.2">
      <c r="A6534">
        <v>99846</v>
      </c>
      <c r="B6534">
        <v>5601935</v>
      </c>
      <c r="C6534" t="s">
        <v>9659</v>
      </c>
      <c r="D6534">
        <v>10</v>
      </c>
      <c r="E6534">
        <v>6</v>
      </c>
      <c r="F6534">
        <v>0</v>
      </c>
      <c r="G6534">
        <v>0</v>
      </c>
      <c r="H6534">
        <v>72</v>
      </c>
      <c r="I6534">
        <v>0</v>
      </c>
      <c r="J6534">
        <v>3.99</v>
      </c>
      <c r="K6534">
        <v>0</v>
      </c>
    </row>
    <row r="6535" spans="1:12" x14ac:dyDescent="0.2">
      <c r="A6535">
        <v>99584</v>
      </c>
      <c r="B6535">
        <v>5601937</v>
      </c>
      <c r="C6535" t="s">
        <v>9660</v>
      </c>
      <c r="D6535">
        <v>6</v>
      </c>
      <c r="E6535">
        <v>6</v>
      </c>
      <c r="F6535">
        <v>0</v>
      </c>
      <c r="G6535">
        <v>0</v>
      </c>
      <c r="H6535">
        <v>105</v>
      </c>
      <c r="I6535">
        <v>0</v>
      </c>
      <c r="J6535">
        <v>4.29</v>
      </c>
      <c r="K6535">
        <v>0</v>
      </c>
    </row>
    <row r="6536" spans="1:12" x14ac:dyDescent="0.2">
      <c r="A6536">
        <v>99057</v>
      </c>
      <c r="B6536">
        <v>5601939</v>
      </c>
      <c r="C6536" t="s">
        <v>9661</v>
      </c>
      <c r="D6536">
        <v>10</v>
      </c>
      <c r="E6536">
        <v>12</v>
      </c>
      <c r="F6536">
        <v>0</v>
      </c>
      <c r="G6536">
        <v>0</v>
      </c>
      <c r="H6536">
        <v>35</v>
      </c>
      <c r="I6536">
        <v>0</v>
      </c>
      <c r="J6536">
        <v>4.49</v>
      </c>
      <c r="K6536">
        <v>0</v>
      </c>
    </row>
    <row r="6537" spans="1:12" x14ac:dyDescent="0.2">
      <c r="A6537">
        <v>44640</v>
      </c>
      <c r="B6537">
        <v>5601941</v>
      </c>
      <c r="C6537" t="s">
        <v>9662</v>
      </c>
      <c r="D6537">
        <v>6</v>
      </c>
      <c r="E6537">
        <v>6</v>
      </c>
      <c r="F6537">
        <v>0</v>
      </c>
      <c r="G6537">
        <v>0</v>
      </c>
      <c r="H6537">
        <v>231</v>
      </c>
      <c r="I6537">
        <v>0</v>
      </c>
      <c r="J6537">
        <v>1.6</v>
      </c>
      <c r="K6537">
        <v>0</v>
      </c>
    </row>
    <row r="6538" spans="1:12" x14ac:dyDescent="0.2">
      <c r="A6538">
        <v>82126</v>
      </c>
      <c r="B6538">
        <v>5601950</v>
      </c>
      <c r="C6538" t="s">
        <v>9663</v>
      </c>
      <c r="D6538">
        <v>8</v>
      </c>
      <c r="E6538">
        <v>8</v>
      </c>
      <c r="F6538">
        <v>100</v>
      </c>
      <c r="G6538">
        <v>800</v>
      </c>
      <c r="H6538">
        <v>64</v>
      </c>
      <c r="I6538">
        <v>1.6</v>
      </c>
      <c r="J6538">
        <v>2.4900000000000002</v>
      </c>
      <c r="K6538">
        <v>1992</v>
      </c>
    </row>
    <row r="6539" spans="1:12" x14ac:dyDescent="0.2">
      <c r="A6539">
        <v>91017</v>
      </c>
      <c r="B6539">
        <v>5601992</v>
      </c>
      <c r="C6539" t="s">
        <v>9664</v>
      </c>
      <c r="D6539">
        <v>8</v>
      </c>
      <c r="E6539">
        <v>1</v>
      </c>
      <c r="F6539">
        <v>642</v>
      </c>
      <c r="G6539">
        <v>642</v>
      </c>
      <c r="H6539">
        <v>576</v>
      </c>
      <c r="I6539">
        <v>1.1000000000000001</v>
      </c>
      <c r="J6539">
        <v>2.99</v>
      </c>
      <c r="K6539">
        <v>1919.58</v>
      </c>
    </row>
    <row r="6540" spans="1:12" x14ac:dyDescent="0.2">
      <c r="A6540">
        <v>82045</v>
      </c>
      <c r="B6540">
        <v>5602007</v>
      </c>
      <c r="C6540" t="s">
        <v>9665</v>
      </c>
      <c r="D6540">
        <v>8</v>
      </c>
      <c r="E6540">
        <v>18</v>
      </c>
      <c r="F6540">
        <v>260</v>
      </c>
      <c r="G6540">
        <v>4680</v>
      </c>
      <c r="H6540">
        <v>128</v>
      </c>
      <c r="I6540">
        <v>2</v>
      </c>
      <c r="J6540">
        <v>1.99</v>
      </c>
      <c r="K6540">
        <v>9313.2000000000007</v>
      </c>
    </row>
    <row r="6541" spans="1:12" x14ac:dyDescent="0.2">
      <c r="A6541">
        <v>61215</v>
      </c>
      <c r="B6541">
        <v>5602036</v>
      </c>
      <c r="C6541" t="s">
        <v>9666</v>
      </c>
      <c r="D6541">
        <v>8</v>
      </c>
      <c r="E6541">
        <v>6</v>
      </c>
      <c r="F6541">
        <v>331</v>
      </c>
      <c r="G6541">
        <v>1986</v>
      </c>
      <c r="H6541">
        <v>80</v>
      </c>
      <c r="I6541">
        <v>4.0999999999999996</v>
      </c>
      <c r="J6541">
        <v>2.89</v>
      </c>
      <c r="K6541">
        <v>5739.54</v>
      </c>
    </row>
    <row r="6542" spans="1:12" x14ac:dyDescent="0.2">
      <c r="A6542">
        <v>61245</v>
      </c>
      <c r="B6542">
        <v>5602037</v>
      </c>
      <c r="C6542" t="s">
        <v>9667</v>
      </c>
      <c r="D6542">
        <v>8</v>
      </c>
      <c r="E6542">
        <v>6</v>
      </c>
      <c r="F6542">
        <v>413</v>
      </c>
      <c r="G6542">
        <v>2478</v>
      </c>
      <c r="H6542">
        <v>80</v>
      </c>
      <c r="I6542">
        <v>5.2</v>
      </c>
      <c r="J6542">
        <v>2.89</v>
      </c>
      <c r="K6542">
        <v>7161.42</v>
      </c>
    </row>
    <row r="6543" spans="1:12" x14ac:dyDescent="0.2">
      <c r="A6543">
        <v>76243</v>
      </c>
      <c r="B6543">
        <v>5602046</v>
      </c>
      <c r="C6543" t="s">
        <v>9668</v>
      </c>
      <c r="D6543">
        <v>8</v>
      </c>
      <c r="E6543">
        <v>6</v>
      </c>
      <c r="F6543">
        <v>278</v>
      </c>
      <c r="G6543">
        <v>1668</v>
      </c>
      <c r="H6543">
        <v>60</v>
      </c>
      <c r="I6543">
        <v>4.5999999999999996</v>
      </c>
      <c r="J6543">
        <v>1.86</v>
      </c>
      <c r="K6543">
        <v>3102.48</v>
      </c>
    </row>
    <row r="6544" spans="1:12" x14ac:dyDescent="0.2">
      <c r="A6544">
        <v>66014</v>
      </c>
      <c r="B6544">
        <v>5602047</v>
      </c>
      <c r="C6544" t="s">
        <v>9669</v>
      </c>
      <c r="D6544">
        <v>8</v>
      </c>
      <c r="E6544">
        <v>8</v>
      </c>
      <c r="F6544">
        <v>308</v>
      </c>
      <c r="G6544">
        <v>2464</v>
      </c>
      <c r="H6544">
        <v>120</v>
      </c>
      <c r="I6544">
        <v>2.6</v>
      </c>
      <c r="J6544">
        <v>0.99</v>
      </c>
      <c r="K6544">
        <v>2439.36</v>
      </c>
    </row>
    <row r="6545" spans="1:11" x14ac:dyDescent="0.2">
      <c r="A6545">
        <v>66019</v>
      </c>
      <c r="B6545">
        <v>5602048</v>
      </c>
      <c r="C6545" t="s">
        <v>9670</v>
      </c>
      <c r="D6545">
        <v>8</v>
      </c>
      <c r="E6545">
        <v>8</v>
      </c>
      <c r="F6545">
        <v>432</v>
      </c>
      <c r="G6545">
        <v>3456</v>
      </c>
      <c r="H6545">
        <v>120</v>
      </c>
      <c r="I6545">
        <v>3.6</v>
      </c>
      <c r="J6545">
        <v>0.99</v>
      </c>
      <c r="K6545">
        <v>3421.44</v>
      </c>
    </row>
    <row r="6546" spans="1:11" x14ac:dyDescent="0.2">
      <c r="A6546">
        <v>48633</v>
      </c>
      <c r="B6546">
        <v>5602054</v>
      </c>
      <c r="C6546" t="s">
        <v>9671</v>
      </c>
      <c r="D6546">
        <v>10</v>
      </c>
      <c r="E6546">
        <v>2</v>
      </c>
      <c r="F6546">
        <v>4</v>
      </c>
      <c r="G6546">
        <v>8</v>
      </c>
      <c r="H6546">
        <v>80</v>
      </c>
      <c r="I6546">
        <v>0.1</v>
      </c>
      <c r="J6546">
        <v>9.99</v>
      </c>
      <c r="K6546">
        <v>79.92</v>
      </c>
    </row>
    <row r="6547" spans="1:11" x14ac:dyDescent="0.2">
      <c r="A6547">
        <v>48634</v>
      </c>
      <c r="B6547">
        <v>5602060</v>
      </c>
      <c r="C6547" t="s">
        <v>9672</v>
      </c>
      <c r="D6547">
        <v>10</v>
      </c>
      <c r="E6547">
        <v>6</v>
      </c>
      <c r="F6547">
        <v>0</v>
      </c>
      <c r="G6547">
        <v>0</v>
      </c>
      <c r="H6547">
        <v>116</v>
      </c>
      <c r="I6547">
        <v>0</v>
      </c>
      <c r="J6547">
        <v>9.99</v>
      </c>
      <c r="K6547">
        <v>0</v>
      </c>
    </row>
    <row r="6548" spans="1:11" x14ac:dyDescent="0.2">
      <c r="B6548">
        <v>5602063</v>
      </c>
      <c r="C6548" t="s">
        <v>9673</v>
      </c>
      <c r="D6548">
        <v>11</v>
      </c>
      <c r="E6548">
        <v>6</v>
      </c>
      <c r="F6548">
        <v>0</v>
      </c>
      <c r="G6548">
        <v>0</v>
      </c>
      <c r="H6548">
        <v>64</v>
      </c>
      <c r="I6548">
        <v>0</v>
      </c>
      <c r="J6548">
        <v>2.39</v>
      </c>
      <c r="K6548">
        <v>0</v>
      </c>
    </row>
    <row r="6549" spans="1:11" x14ac:dyDescent="0.2">
      <c r="A6549">
        <v>84111</v>
      </c>
      <c r="B6549">
        <v>5602174</v>
      </c>
      <c r="C6549" t="s">
        <v>9674</v>
      </c>
      <c r="D6549">
        <v>8</v>
      </c>
      <c r="E6549">
        <v>6</v>
      </c>
      <c r="F6549">
        <v>683</v>
      </c>
      <c r="G6549">
        <v>4098</v>
      </c>
      <c r="H6549">
        <v>180</v>
      </c>
      <c r="I6549">
        <v>3.8</v>
      </c>
      <c r="J6549">
        <v>0.99</v>
      </c>
      <c r="K6549">
        <v>4057.02</v>
      </c>
    </row>
    <row r="6550" spans="1:11" x14ac:dyDescent="0.2">
      <c r="A6550">
        <v>84105</v>
      </c>
      <c r="B6550">
        <v>5602176</v>
      </c>
      <c r="C6550" t="s">
        <v>9675</v>
      </c>
      <c r="D6550">
        <v>8</v>
      </c>
      <c r="E6550">
        <v>6</v>
      </c>
      <c r="F6550">
        <v>715</v>
      </c>
      <c r="G6550">
        <v>4290</v>
      </c>
      <c r="H6550">
        <v>108</v>
      </c>
      <c r="I6550">
        <v>6.6</v>
      </c>
      <c r="J6550">
        <v>0.75</v>
      </c>
      <c r="K6550">
        <v>3217.5</v>
      </c>
    </row>
    <row r="6551" spans="1:11" x14ac:dyDescent="0.2">
      <c r="A6551">
        <v>61027</v>
      </c>
      <c r="B6551">
        <v>5602189</v>
      </c>
      <c r="C6551" t="s">
        <v>9676</v>
      </c>
      <c r="D6551">
        <v>8</v>
      </c>
      <c r="E6551">
        <v>6</v>
      </c>
      <c r="F6551">
        <v>464</v>
      </c>
      <c r="G6551">
        <v>2784</v>
      </c>
      <c r="H6551">
        <v>120</v>
      </c>
      <c r="I6551">
        <v>3.9</v>
      </c>
      <c r="J6551">
        <v>2.99</v>
      </c>
      <c r="K6551">
        <v>8324.16</v>
      </c>
    </row>
    <row r="6552" spans="1:11" x14ac:dyDescent="0.2">
      <c r="A6552">
        <v>84109</v>
      </c>
      <c r="B6552">
        <v>5602201</v>
      </c>
      <c r="C6552" t="s">
        <v>9677</v>
      </c>
      <c r="D6552">
        <v>8</v>
      </c>
      <c r="E6552">
        <v>40</v>
      </c>
      <c r="F6552">
        <v>199</v>
      </c>
      <c r="G6552">
        <v>7960</v>
      </c>
      <c r="H6552">
        <v>88</v>
      </c>
      <c r="I6552">
        <v>2.2999999999999998</v>
      </c>
      <c r="J6552">
        <v>1.99</v>
      </c>
      <c r="K6552">
        <v>15840.4</v>
      </c>
    </row>
    <row r="6553" spans="1:11" x14ac:dyDescent="0.2">
      <c r="A6553">
        <v>57294</v>
      </c>
      <c r="B6553">
        <v>5602237</v>
      </c>
      <c r="C6553" t="s">
        <v>9678</v>
      </c>
      <c r="D6553">
        <v>11</v>
      </c>
      <c r="E6553">
        <v>6</v>
      </c>
      <c r="F6553">
        <v>0</v>
      </c>
      <c r="G6553">
        <v>0</v>
      </c>
      <c r="H6553">
        <v>171</v>
      </c>
      <c r="I6553">
        <v>0</v>
      </c>
      <c r="J6553">
        <v>1.4</v>
      </c>
      <c r="K6553">
        <v>0</v>
      </c>
    </row>
    <row r="6554" spans="1:11" x14ac:dyDescent="0.2">
      <c r="B6554">
        <v>5602281</v>
      </c>
      <c r="C6554" t="s">
        <v>9679</v>
      </c>
      <c r="D6554">
        <v>11</v>
      </c>
      <c r="E6554">
        <v>1</v>
      </c>
      <c r="F6554">
        <v>13</v>
      </c>
      <c r="G6554">
        <v>13</v>
      </c>
      <c r="H6554">
        <v>720</v>
      </c>
      <c r="I6554">
        <v>0</v>
      </c>
      <c r="J6554">
        <v>4.99</v>
      </c>
      <c r="K6554">
        <v>64.87</v>
      </c>
    </row>
    <row r="6555" spans="1:11" x14ac:dyDescent="0.2">
      <c r="A6555">
        <v>45682</v>
      </c>
      <c r="B6555">
        <v>5602290</v>
      </c>
      <c r="C6555" t="s">
        <v>9680</v>
      </c>
      <c r="D6555">
        <v>10</v>
      </c>
      <c r="E6555">
        <v>96</v>
      </c>
      <c r="F6555">
        <v>0</v>
      </c>
      <c r="G6555">
        <v>0</v>
      </c>
      <c r="H6555">
        <v>4</v>
      </c>
      <c r="I6555">
        <v>0</v>
      </c>
      <c r="J6555">
        <v>2</v>
      </c>
      <c r="K6555">
        <v>0</v>
      </c>
    </row>
    <row r="6556" spans="1:11" x14ac:dyDescent="0.2">
      <c r="B6556">
        <v>5602343</v>
      </c>
      <c r="C6556" t="s">
        <v>9681</v>
      </c>
      <c r="D6556">
        <v>11</v>
      </c>
      <c r="E6556">
        <v>6</v>
      </c>
      <c r="F6556">
        <v>0</v>
      </c>
      <c r="G6556">
        <v>0</v>
      </c>
      <c r="H6556">
        <v>95</v>
      </c>
      <c r="I6556">
        <v>0</v>
      </c>
      <c r="J6556">
        <v>4.99</v>
      </c>
      <c r="K6556">
        <v>0</v>
      </c>
    </row>
    <row r="6557" spans="1:11" x14ac:dyDescent="0.2">
      <c r="B6557">
        <v>5602353</v>
      </c>
      <c r="C6557" t="s">
        <v>9682</v>
      </c>
      <c r="D6557">
        <v>11</v>
      </c>
      <c r="E6557">
        <v>11</v>
      </c>
      <c r="F6557">
        <v>0</v>
      </c>
      <c r="G6557">
        <v>0</v>
      </c>
      <c r="H6557">
        <v>80</v>
      </c>
      <c r="I6557">
        <v>0</v>
      </c>
      <c r="J6557">
        <v>3.05</v>
      </c>
      <c r="K6557">
        <v>0</v>
      </c>
    </row>
    <row r="6558" spans="1:11" x14ac:dyDescent="0.2">
      <c r="A6558">
        <v>74050</v>
      </c>
      <c r="B6558">
        <v>5602358</v>
      </c>
      <c r="C6558" t="s">
        <v>9683</v>
      </c>
      <c r="D6558">
        <v>8</v>
      </c>
      <c r="E6558">
        <v>22</v>
      </c>
      <c r="F6558">
        <v>57</v>
      </c>
      <c r="G6558">
        <v>1254</v>
      </c>
      <c r="H6558">
        <v>35</v>
      </c>
      <c r="I6558">
        <v>1.6</v>
      </c>
      <c r="J6558">
        <v>3.05</v>
      </c>
      <c r="K6558">
        <v>3824.7</v>
      </c>
    </row>
    <row r="6559" spans="1:11" x14ac:dyDescent="0.2">
      <c r="B6559">
        <v>5602378</v>
      </c>
      <c r="C6559" t="s">
        <v>9684</v>
      </c>
      <c r="D6559">
        <v>12</v>
      </c>
      <c r="E6559">
        <v>7</v>
      </c>
      <c r="F6559">
        <v>1</v>
      </c>
      <c r="G6559">
        <v>10</v>
      </c>
      <c r="H6559">
        <v>120</v>
      </c>
      <c r="I6559">
        <v>0</v>
      </c>
      <c r="J6559">
        <v>2.29</v>
      </c>
      <c r="K6559">
        <v>22.9</v>
      </c>
    </row>
    <row r="6560" spans="1:11" x14ac:dyDescent="0.2">
      <c r="A6560">
        <v>82025</v>
      </c>
      <c r="B6560">
        <v>5602378</v>
      </c>
      <c r="C6560" t="s">
        <v>9684</v>
      </c>
      <c r="D6560">
        <v>8</v>
      </c>
      <c r="E6560">
        <v>10</v>
      </c>
      <c r="F6560">
        <v>644</v>
      </c>
      <c r="G6560">
        <v>6440</v>
      </c>
      <c r="H6560">
        <v>120</v>
      </c>
      <c r="I6560">
        <v>5.4</v>
      </c>
      <c r="J6560">
        <v>2.29</v>
      </c>
      <c r="K6560">
        <v>14747.6</v>
      </c>
    </row>
    <row r="6561" spans="1:12" x14ac:dyDescent="0.2">
      <c r="A6561">
        <v>3538</v>
      </c>
      <c r="B6561">
        <v>5602380</v>
      </c>
      <c r="C6561" t="s">
        <v>9685</v>
      </c>
      <c r="D6561">
        <v>6</v>
      </c>
      <c r="E6561">
        <v>4</v>
      </c>
      <c r="F6561">
        <v>4</v>
      </c>
      <c r="G6561">
        <v>16</v>
      </c>
      <c r="H6561">
        <v>80</v>
      </c>
      <c r="I6561">
        <v>0.1</v>
      </c>
      <c r="J6561">
        <v>3.99</v>
      </c>
      <c r="K6561">
        <v>63.84</v>
      </c>
    </row>
    <row r="6562" spans="1:12" x14ac:dyDescent="0.2">
      <c r="A6562">
        <v>4610</v>
      </c>
      <c r="B6562">
        <v>5602403</v>
      </c>
      <c r="C6562" t="s">
        <v>9686</v>
      </c>
      <c r="D6562">
        <v>6</v>
      </c>
      <c r="E6562">
        <v>6</v>
      </c>
      <c r="F6562">
        <v>9</v>
      </c>
      <c r="G6562">
        <v>51</v>
      </c>
      <c r="H6562">
        <v>248</v>
      </c>
      <c r="I6562">
        <v>0</v>
      </c>
      <c r="J6562">
        <v>1.79</v>
      </c>
      <c r="K6562">
        <v>91.29</v>
      </c>
    </row>
    <row r="6563" spans="1:12" x14ac:dyDescent="0.2">
      <c r="A6563">
        <v>4611</v>
      </c>
      <c r="B6563">
        <v>5602404</v>
      </c>
      <c r="C6563" t="s">
        <v>9687</v>
      </c>
      <c r="D6563">
        <v>6</v>
      </c>
      <c r="E6563">
        <v>6</v>
      </c>
      <c r="F6563">
        <v>0</v>
      </c>
      <c r="G6563">
        <v>0</v>
      </c>
      <c r="H6563">
        <v>248</v>
      </c>
      <c r="I6563">
        <v>0</v>
      </c>
      <c r="J6563">
        <v>1.69</v>
      </c>
      <c r="K6563">
        <v>0</v>
      </c>
    </row>
    <row r="6564" spans="1:12" x14ac:dyDescent="0.2">
      <c r="A6564">
        <v>73265</v>
      </c>
      <c r="B6564">
        <v>5602414</v>
      </c>
      <c r="C6564" t="s">
        <v>9688</v>
      </c>
      <c r="D6564">
        <v>10</v>
      </c>
      <c r="E6564">
        <v>6</v>
      </c>
      <c r="F6564">
        <v>10</v>
      </c>
      <c r="G6564">
        <v>59</v>
      </c>
      <c r="H6564">
        <v>160</v>
      </c>
      <c r="I6564">
        <v>0.1</v>
      </c>
      <c r="J6564">
        <v>4.49</v>
      </c>
      <c r="K6564">
        <v>264.91000000000003</v>
      </c>
    </row>
    <row r="6565" spans="1:12" x14ac:dyDescent="0.2">
      <c r="B6565">
        <v>5602415</v>
      </c>
      <c r="C6565" t="s">
        <v>9689</v>
      </c>
      <c r="D6565">
        <v>11</v>
      </c>
      <c r="E6565">
        <v>6</v>
      </c>
      <c r="F6565">
        <v>0</v>
      </c>
      <c r="G6565">
        <v>0</v>
      </c>
      <c r="H6565">
        <v>100</v>
      </c>
      <c r="I6565">
        <v>0</v>
      </c>
      <c r="J6565">
        <v>6</v>
      </c>
      <c r="K6565">
        <v>0</v>
      </c>
    </row>
    <row r="6566" spans="1:12" x14ac:dyDescent="0.2">
      <c r="B6566">
        <v>5602416</v>
      </c>
      <c r="C6566" t="s">
        <v>9690</v>
      </c>
      <c r="D6566">
        <v>11</v>
      </c>
      <c r="E6566">
        <v>6</v>
      </c>
      <c r="F6566">
        <v>0</v>
      </c>
      <c r="G6566">
        <v>0</v>
      </c>
      <c r="H6566">
        <v>100</v>
      </c>
      <c r="I6566">
        <v>0</v>
      </c>
      <c r="J6566">
        <v>6</v>
      </c>
      <c r="K6566">
        <v>0</v>
      </c>
    </row>
    <row r="6567" spans="1:12" x14ac:dyDescent="0.2">
      <c r="B6567">
        <v>5602417</v>
      </c>
      <c r="C6567" t="s">
        <v>9691</v>
      </c>
      <c r="D6567">
        <v>12</v>
      </c>
      <c r="E6567">
        <v>6</v>
      </c>
      <c r="F6567">
        <v>0</v>
      </c>
      <c r="G6567">
        <v>0</v>
      </c>
      <c r="H6567">
        <v>100</v>
      </c>
      <c r="I6567">
        <v>0</v>
      </c>
      <c r="J6567">
        <v>6</v>
      </c>
      <c r="K6567">
        <v>0</v>
      </c>
      <c r="L6567" t="s">
        <v>3699</v>
      </c>
    </row>
    <row r="6568" spans="1:12" x14ac:dyDescent="0.2">
      <c r="B6568">
        <v>5602427</v>
      </c>
      <c r="C6568" t="s">
        <v>9692</v>
      </c>
      <c r="D6568">
        <v>10</v>
      </c>
      <c r="E6568">
        <v>6</v>
      </c>
      <c r="F6568">
        <v>0</v>
      </c>
      <c r="G6568">
        <v>0</v>
      </c>
      <c r="H6568">
        <v>100</v>
      </c>
      <c r="I6568">
        <v>0</v>
      </c>
      <c r="J6568">
        <v>4.49</v>
      </c>
      <c r="K6568">
        <v>0</v>
      </c>
    </row>
    <row r="6569" spans="1:12" x14ac:dyDescent="0.2">
      <c r="B6569">
        <v>5602429</v>
      </c>
      <c r="C6569" t="s">
        <v>9693</v>
      </c>
      <c r="D6569">
        <v>11</v>
      </c>
      <c r="E6569">
        <v>6</v>
      </c>
      <c r="F6569">
        <v>0</v>
      </c>
      <c r="G6569">
        <v>0</v>
      </c>
      <c r="H6569">
        <v>95</v>
      </c>
      <c r="I6569">
        <v>0</v>
      </c>
      <c r="J6569">
        <v>4.79</v>
      </c>
      <c r="K6569">
        <v>0</v>
      </c>
    </row>
    <row r="6570" spans="1:12" x14ac:dyDescent="0.2">
      <c r="A6570">
        <v>75043</v>
      </c>
      <c r="B6570">
        <v>5602445</v>
      </c>
      <c r="C6570" t="s">
        <v>9694</v>
      </c>
      <c r="D6570">
        <v>10</v>
      </c>
      <c r="E6570">
        <v>18</v>
      </c>
      <c r="F6570">
        <v>0</v>
      </c>
      <c r="G6570">
        <v>0</v>
      </c>
      <c r="H6570">
        <v>104</v>
      </c>
      <c r="I6570">
        <v>0</v>
      </c>
      <c r="J6570">
        <v>3.99</v>
      </c>
      <c r="K6570">
        <v>0</v>
      </c>
    </row>
    <row r="6571" spans="1:12" x14ac:dyDescent="0.2">
      <c r="A6571">
        <v>0</v>
      </c>
      <c r="B6571">
        <v>5602465</v>
      </c>
      <c r="C6571" t="s">
        <v>9695</v>
      </c>
      <c r="D6571">
        <v>12</v>
      </c>
      <c r="E6571">
        <v>5</v>
      </c>
      <c r="F6571">
        <v>12</v>
      </c>
      <c r="G6571">
        <v>60</v>
      </c>
      <c r="H6571">
        <v>125</v>
      </c>
      <c r="I6571">
        <v>0.1</v>
      </c>
      <c r="J6571">
        <v>2.29</v>
      </c>
      <c r="K6571">
        <v>137.4</v>
      </c>
    </row>
    <row r="6572" spans="1:12" x14ac:dyDescent="0.2">
      <c r="A6572">
        <v>82250</v>
      </c>
      <c r="B6572">
        <v>5602465</v>
      </c>
      <c r="C6572" t="s">
        <v>9695</v>
      </c>
      <c r="D6572">
        <v>8</v>
      </c>
      <c r="E6572">
        <v>8</v>
      </c>
      <c r="F6572">
        <v>192</v>
      </c>
      <c r="G6572">
        <v>1536</v>
      </c>
      <c r="H6572">
        <v>96</v>
      </c>
      <c r="I6572">
        <v>2</v>
      </c>
      <c r="J6572">
        <v>2.29</v>
      </c>
      <c r="K6572">
        <v>3517.44</v>
      </c>
    </row>
    <row r="6573" spans="1:12" x14ac:dyDescent="0.2">
      <c r="B6573">
        <v>5602465</v>
      </c>
      <c r="C6573" t="s">
        <v>9695</v>
      </c>
      <c r="D6573">
        <v>12</v>
      </c>
      <c r="E6573">
        <v>10</v>
      </c>
      <c r="F6573">
        <v>0</v>
      </c>
      <c r="G6573">
        <v>0</v>
      </c>
      <c r="H6573">
        <v>72</v>
      </c>
      <c r="I6573">
        <v>0</v>
      </c>
      <c r="J6573">
        <v>2.29</v>
      </c>
      <c r="K6573">
        <v>0</v>
      </c>
    </row>
    <row r="6574" spans="1:12" x14ac:dyDescent="0.2">
      <c r="B6574">
        <v>5602468</v>
      </c>
      <c r="C6574" t="s">
        <v>9696</v>
      </c>
      <c r="D6574">
        <v>11</v>
      </c>
      <c r="E6574">
        <v>8</v>
      </c>
      <c r="F6574">
        <v>0</v>
      </c>
      <c r="G6574">
        <v>0</v>
      </c>
      <c r="H6574">
        <v>48</v>
      </c>
      <c r="I6574">
        <v>0</v>
      </c>
      <c r="J6574">
        <v>1.19</v>
      </c>
      <c r="K6574">
        <v>0</v>
      </c>
    </row>
    <row r="6575" spans="1:12" x14ac:dyDescent="0.2">
      <c r="A6575">
        <v>91020</v>
      </c>
      <c r="B6575">
        <v>5602545</v>
      </c>
      <c r="C6575" t="s">
        <v>9697</v>
      </c>
      <c r="D6575">
        <v>8</v>
      </c>
      <c r="E6575">
        <v>1</v>
      </c>
      <c r="F6575">
        <v>452</v>
      </c>
      <c r="G6575">
        <v>452</v>
      </c>
      <c r="H6575">
        <v>480</v>
      </c>
      <c r="I6575">
        <v>0.9</v>
      </c>
      <c r="J6575">
        <v>7.15</v>
      </c>
      <c r="K6575">
        <v>3231.8</v>
      </c>
    </row>
    <row r="6576" spans="1:12" x14ac:dyDescent="0.2">
      <c r="B6576">
        <v>5602546</v>
      </c>
      <c r="C6576" t="s">
        <v>9698</v>
      </c>
      <c r="D6576">
        <v>11</v>
      </c>
      <c r="E6576">
        <v>1</v>
      </c>
      <c r="F6576">
        <v>10</v>
      </c>
      <c r="G6576">
        <v>10</v>
      </c>
      <c r="H6576">
        <v>576</v>
      </c>
      <c r="I6576">
        <v>0</v>
      </c>
      <c r="J6576">
        <v>5.49</v>
      </c>
      <c r="K6576">
        <v>54.9</v>
      </c>
    </row>
    <row r="6577" spans="1:11" x14ac:dyDescent="0.2">
      <c r="A6577">
        <v>91061</v>
      </c>
      <c r="B6577">
        <v>5602547</v>
      </c>
      <c r="C6577" t="s">
        <v>9699</v>
      </c>
      <c r="D6577">
        <v>8</v>
      </c>
      <c r="E6577">
        <v>1</v>
      </c>
      <c r="F6577">
        <v>420</v>
      </c>
      <c r="G6577">
        <v>420</v>
      </c>
      <c r="H6577">
        <v>576</v>
      </c>
      <c r="I6577">
        <v>0.7</v>
      </c>
      <c r="J6577">
        <v>4.1900000000000004</v>
      </c>
      <c r="K6577">
        <v>1759.8</v>
      </c>
    </row>
    <row r="6578" spans="1:11" x14ac:dyDescent="0.2">
      <c r="A6578">
        <v>99771</v>
      </c>
      <c r="B6578">
        <v>5602549</v>
      </c>
      <c r="C6578" t="s">
        <v>9700</v>
      </c>
      <c r="D6578">
        <v>10</v>
      </c>
      <c r="E6578">
        <v>4</v>
      </c>
      <c r="F6578">
        <v>0</v>
      </c>
      <c r="G6578">
        <v>0</v>
      </c>
      <c r="H6578">
        <v>140</v>
      </c>
      <c r="I6578">
        <v>0</v>
      </c>
      <c r="J6578">
        <v>2.19</v>
      </c>
      <c r="K6578">
        <v>0</v>
      </c>
    </row>
    <row r="6579" spans="1:11" x14ac:dyDescent="0.2">
      <c r="A6579">
        <v>87052</v>
      </c>
      <c r="B6579">
        <v>5602550</v>
      </c>
      <c r="C6579" t="s">
        <v>9701</v>
      </c>
      <c r="D6579">
        <v>8</v>
      </c>
      <c r="E6579">
        <v>4</v>
      </c>
      <c r="F6579">
        <v>0</v>
      </c>
      <c r="G6579">
        <v>0</v>
      </c>
      <c r="H6579">
        <v>140</v>
      </c>
      <c r="I6579">
        <v>0</v>
      </c>
      <c r="J6579">
        <v>2.29</v>
      </c>
      <c r="K6579">
        <v>0</v>
      </c>
    </row>
    <row r="6580" spans="1:11" x14ac:dyDescent="0.2">
      <c r="B6580">
        <v>5602570</v>
      </c>
      <c r="C6580" t="s">
        <v>9702</v>
      </c>
      <c r="D6580">
        <v>11</v>
      </c>
      <c r="E6580">
        <v>1</v>
      </c>
      <c r="F6580">
        <v>-1</v>
      </c>
      <c r="G6580">
        <v>-1</v>
      </c>
      <c r="H6580">
        <v>960</v>
      </c>
      <c r="I6580">
        <v>0</v>
      </c>
      <c r="J6580">
        <v>3.09</v>
      </c>
      <c r="K6580">
        <v>-3.09</v>
      </c>
    </row>
    <row r="6581" spans="1:11" x14ac:dyDescent="0.2">
      <c r="A6581">
        <v>72221</v>
      </c>
      <c r="B6581">
        <v>5602574</v>
      </c>
      <c r="C6581" t="s">
        <v>9703</v>
      </c>
      <c r="D6581">
        <v>9</v>
      </c>
      <c r="E6581">
        <v>12</v>
      </c>
      <c r="F6581">
        <v>5</v>
      </c>
      <c r="G6581">
        <v>63</v>
      </c>
      <c r="H6581">
        <v>72</v>
      </c>
      <c r="I6581">
        <v>0.1</v>
      </c>
      <c r="J6581">
        <v>9.99</v>
      </c>
      <c r="K6581">
        <v>629.37</v>
      </c>
    </row>
    <row r="6582" spans="1:11" x14ac:dyDescent="0.2">
      <c r="A6582">
        <v>0</v>
      </c>
      <c r="B6582">
        <v>5602588</v>
      </c>
      <c r="C6582" t="s">
        <v>9704</v>
      </c>
      <c r="D6582">
        <v>12</v>
      </c>
      <c r="E6582">
        <v>12</v>
      </c>
      <c r="F6582">
        <v>0</v>
      </c>
      <c r="G6582">
        <v>0</v>
      </c>
      <c r="H6582">
        <v>136</v>
      </c>
      <c r="I6582">
        <v>0</v>
      </c>
      <c r="J6582">
        <v>1.45</v>
      </c>
      <c r="K6582">
        <v>0</v>
      </c>
    </row>
    <row r="6583" spans="1:11" x14ac:dyDescent="0.2">
      <c r="A6583">
        <v>82078</v>
      </c>
      <c r="B6583">
        <v>5602588</v>
      </c>
      <c r="C6583" t="s">
        <v>9704</v>
      </c>
      <c r="D6583">
        <v>8</v>
      </c>
      <c r="E6583">
        <v>16</v>
      </c>
      <c r="F6583">
        <v>615</v>
      </c>
      <c r="G6583">
        <v>9840</v>
      </c>
      <c r="H6583">
        <v>128</v>
      </c>
      <c r="I6583">
        <v>4.8</v>
      </c>
      <c r="J6583">
        <v>1.45</v>
      </c>
      <c r="K6583">
        <v>14268</v>
      </c>
    </row>
    <row r="6584" spans="1:11" x14ac:dyDescent="0.2">
      <c r="A6584">
        <v>1517</v>
      </c>
      <c r="B6584">
        <v>5602602</v>
      </c>
      <c r="C6584" t="s">
        <v>9705</v>
      </c>
      <c r="D6584">
        <v>6</v>
      </c>
      <c r="E6584">
        <v>5</v>
      </c>
      <c r="F6584">
        <v>3</v>
      </c>
      <c r="G6584">
        <v>15</v>
      </c>
      <c r="H6584">
        <v>108</v>
      </c>
      <c r="I6584">
        <v>0</v>
      </c>
      <c r="J6584">
        <v>4.6900000000000004</v>
      </c>
      <c r="K6584">
        <v>70.349999999999994</v>
      </c>
    </row>
    <row r="6585" spans="1:11" x14ac:dyDescent="0.2">
      <c r="B6585">
        <v>5602603</v>
      </c>
      <c r="C6585" t="s">
        <v>9706</v>
      </c>
      <c r="D6585">
        <v>11</v>
      </c>
      <c r="E6585">
        <v>1</v>
      </c>
      <c r="F6585">
        <v>-32</v>
      </c>
      <c r="G6585">
        <v>-32</v>
      </c>
      <c r="H6585">
        <v>896</v>
      </c>
      <c r="I6585">
        <v>0</v>
      </c>
      <c r="J6585">
        <v>2.89</v>
      </c>
      <c r="K6585">
        <v>-92.48</v>
      </c>
    </row>
    <row r="6586" spans="1:11" x14ac:dyDescent="0.2">
      <c r="A6586">
        <v>72061</v>
      </c>
      <c r="B6586">
        <v>5602620</v>
      </c>
      <c r="C6586" t="s">
        <v>9707</v>
      </c>
      <c r="D6586">
        <v>8</v>
      </c>
      <c r="E6586">
        <v>18</v>
      </c>
      <c r="F6586">
        <v>262</v>
      </c>
      <c r="G6586">
        <v>4716</v>
      </c>
      <c r="H6586">
        <v>108</v>
      </c>
      <c r="I6586">
        <v>2.4</v>
      </c>
      <c r="J6586">
        <v>1.59</v>
      </c>
      <c r="K6586">
        <v>7498.44</v>
      </c>
    </row>
    <row r="6587" spans="1:11" x14ac:dyDescent="0.2">
      <c r="A6587">
        <v>91048</v>
      </c>
      <c r="B6587">
        <v>5602623</v>
      </c>
      <c r="C6587" t="s">
        <v>9708</v>
      </c>
      <c r="D6587">
        <v>8</v>
      </c>
      <c r="E6587">
        <v>1</v>
      </c>
      <c r="F6587">
        <v>432</v>
      </c>
      <c r="G6587">
        <v>432</v>
      </c>
      <c r="H6587">
        <v>480</v>
      </c>
      <c r="I6587">
        <v>0.9</v>
      </c>
      <c r="J6587">
        <v>2.99</v>
      </c>
      <c r="K6587">
        <v>1291.68</v>
      </c>
    </row>
    <row r="6588" spans="1:11" x14ac:dyDescent="0.2">
      <c r="A6588">
        <v>91109</v>
      </c>
      <c r="B6588">
        <v>5602625</v>
      </c>
      <c r="C6588" t="s">
        <v>9709</v>
      </c>
      <c r="D6588">
        <v>8</v>
      </c>
      <c r="E6588">
        <v>1</v>
      </c>
      <c r="F6588">
        <v>606</v>
      </c>
      <c r="G6588">
        <v>606</v>
      </c>
      <c r="H6588">
        <v>384</v>
      </c>
      <c r="I6588">
        <v>1.6</v>
      </c>
      <c r="J6588">
        <v>4.1500000000000004</v>
      </c>
      <c r="K6588">
        <v>2514.9</v>
      </c>
    </row>
    <row r="6589" spans="1:11" x14ac:dyDescent="0.2">
      <c r="A6589">
        <v>83239</v>
      </c>
      <c r="B6589">
        <v>5602633</v>
      </c>
      <c r="C6589" t="s">
        <v>9710</v>
      </c>
      <c r="D6589">
        <v>8</v>
      </c>
      <c r="E6589">
        <v>8</v>
      </c>
      <c r="F6589">
        <v>148</v>
      </c>
      <c r="G6589">
        <v>1184</v>
      </c>
      <c r="H6589">
        <v>75</v>
      </c>
      <c r="I6589">
        <v>2</v>
      </c>
      <c r="J6589">
        <v>3.99</v>
      </c>
      <c r="K6589">
        <v>4724.16</v>
      </c>
    </row>
    <row r="6590" spans="1:11" x14ac:dyDescent="0.2">
      <c r="B6590">
        <v>5602673</v>
      </c>
      <c r="C6590" t="s">
        <v>9711</v>
      </c>
      <c r="D6590">
        <v>11</v>
      </c>
      <c r="E6590">
        <v>6</v>
      </c>
      <c r="F6590">
        <v>0</v>
      </c>
      <c r="G6590">
        <v>0</v>
      </c>
      <c r="H6590">
        <v>60</v>
      </c>
      <c r="I6590">
        <v>0</v>
      </c>
      <c r="J6590">
        <v>1.29</v>
      </c>
      <c r="K6590">
        <v>0</v>
      </c>
    </row>
    <row r="6591" spans="1:11" x14ac:dyDescent="0.2">
      <c r="A6591">
        <v>47611</v>
      </c>
      <c r="B6591">
        <v>5602674</v>
      </c>
      <c r="C6591" t="s">
        <v>9712</v>
      </c>
      <c r="D6591">
        <v>10</v>
      </c>
      <c r="E6591">
        <v>6</v>
      </c>
      <c r="F6591">
        <v>3</v>
      </c>
      <c r="G6591">
        <v>18</v>
      </c>
      <c r="H6591">
        <v>95</v>
      </c>
      <c r="I6591">
        <v>0</v>
      </c>
      <c r="J6591">
        <v>5.69</v>
      </c>
      <c r="K6591">
        <v>102.42</v>
      </c>
    </row>
    <row r="6592" spans="1:11" x14ac:dyDescent="0.2">
      <c r="B6592">
        <v>5602675</v>
      </c>
      <c r="C6592" t="s">
        <v>9713</v>
      </c>
      <c r="D6592">
        <v>11</v>
      </c>
      <c r="E6592">
        <v>6</v>
      </c>
      <c r="F6592">
        <v>0</v>
      </c>
      <c r="G6592">
        <v>0</v>
      </c>
      <c r="H6592">
        <v>105</v>
      </c>
      <c r="I6592">
        <v>0</v>
      </c>
      <c r="J6592">
        <v>9.99</v>
      </c>
      <c r="K6592">
        <v>0</v>
      </c>
    </row>
    <row r="6593" spans="1:11" x14ac:dyDescent="0.2">
      <c r="A6593">
        <v>62080</v>
      </c>
      <c r="B6593">
        <v>5602676</v>
      </c>
      <c r="C6593" t="s">
        <v>9714</v>
      </c>
      <c r="D6593">
        <v>8</v>
      </c>
      <c r="E6593">
        <v>4</v>
      </c>
      <c r="F6593">
        <v>295</v>
      </c>
      <c r="G6593">
        <v>1181</v>
      </c>
      <c r="H6593">
        <v>60</v>
      </c>
      <c r="I6593">
        <v>4.9000000000000004</v>
      </c>
      <c r="J6593">
        <v>10.49</v>
      </c>
      <c r="K6593">
        <v>12388.69</v>
      </c>
    </row>
    <row r="6594" spans="1:11" x14ac:dyDescent="0.2">
      <c r="B6594">
        <v>5602680</v>
      </c>
      <c r="C6594" t="s">
        <v>9715</v>
      </c>
      <c r="D6594">
        <v>6</v>
      </c>
      <c r="E6594">
        <v>1</v>
      </c>
      <c r="F6594">
        <v>-138</v>
      </c>
      <c r="G6594">
        <v>-138</v>
      </c>
      <c r="H6594">
        <v>128</v>
      </c>
      <c r="I6594">
        <v>-1.1000000000000001</v>
      </c>
      <c r="J6594">
        <v>4.97</v>
      </c>
      <c r="K6594">
        <v>-685.86</v>
      </c>
    </row>
    <row r="6595" spans="1:11" x14ac:dyDescent="0.2">
      <c r="B6595">
        <v>5602681</v>
      </c>
      <c r="C6595" t="s">
        <v>9716</v>
      </c>
      <c r="D6595">
        <v>11</v>
      </c>
      <c r="E6595">
        <v>1</v>
      </c>
      <c r="F6595">
        <v>52</v>
      </c>
      <c r="G6595">
        <v>52</v>
      </c>
      <c r="H6595">
        <v>160</v>
      </c>
      <c r="I6595">
        <v>0.3</v>
      </c>
      <c r="J6595">
        <v>4.97</v>
      </c>
      <c r="K6595">
        <v>258.44</v>
      </c>
    </row>
    <row r="6596" spans="1:11" x14ac:dyDescent="0.2">
      <c r="A6596">
        <v>65109</v>
      </c>
      <c r="B6596">
        <v>5602684</v>
      </c>
      <c r="C6596" t="s">
        <v>9717</v>
      </c>
      <c r="D6596">
        <v>8</v>
      </c>
      <c r="E6596">
        <v>6</v>
      </c>
      <c r="F6596">
        <v>1116</v>
      </c>
      <c r="G6596">
        <v>6693</v>
      </c>
      <c r="H6596">
        <v>144</v>
      </c>
      <c r="I6596">
        <v>7.7</v>
      </c>
      <c r="J6596">
        <v>0.85</v>
      </c>
      <c r="K6596">
        <v>5689.05</v>
      </c>
    </row>
    <row r="6597" spans="1:11" x14ac:dyDescent="0.2">
      <c r="B6597">
        <v>5602685</v>
      </c>
      <c r="C6597" t="s">
        <v>9718</v>
      </c>
      <c r="D6597">
        <v>6</v>
      </c>
      <c r="E6597">
        <v>1</v>
      </c>
      <c r="F6597">
        <v>8</v>
      </c>
      <c r="G6597">
        <v>8</v>
      </c>
      <c r="H6597">
        <v>128</v>
      </c>
      <c r="I6597">
        <v>0.1</v>
      </c>
      <c r="J6597">
        <v>8.17</v>
      </c>
      <c r="K6597">
        <v>65.36</v>
      </c>
    </row>
    <row r="6598" spans="1:11" x14ac:dyDescent="0.2">
      <c r="B6598">
        <v>5602687</v>
      </c>
      <c r="C6598" t="s">
        <v>9719</v>
      </c>
      <c r="D6598">
        <v>11</v>
      </c>
      <c r="E6598">
        <v>6</v>
      </c>
      <c r="F6598">
        <v>2</v>
      </c>
      <c r="G6598">
        <v>12</v>
      </c>
      <c r="H6598">
        <v>105</v>
      </c>
      <c r="I6598">
        <v>0</v>
      </c>
      <c r="J6598">
        <v>3.59</v>
      </c>
      <c r="K6598">
        <v>43.08</v>
      </c>
    </row>
    <row r="6599" spans="1:11" x14ac:dyDescent="0.2">
      <c r="B6599">
        <v>5602691</v>
      </c>
      <c r="C6599" t="s">
        <v>9720</v>
      </c>
      <c r="D6599">
        <v>11</v>
      </c>
      <c r="E6599">
        <v>8</v>
      </c>
      <c r="F6599">
        <v>0</v>
      </c>
      <c r="G6599">
        <v>0</v>
      </c>
      <c r="H6599">
        <v>98</v>
      </c>
      <c r="I6599">
        <v>0</v>
      </c>
      <c r="J6599">
        <v>2.29</v>
      </c>
      <c r="K6599">
        <v>0</v>
      </c>
    </row>
    <row r="6600" spans="1:11" x14ac:dyDescent="0.2">
      <c r="A6600">
        <v>29507</v>
      </c>
      <c r="B6600">
        <v>5602692</v>
      </c>
      <c r="C6600" t="s">
        <v>9721</v>
      </c>
      <c r="D6600">
        <v>10</v>
      </c>
      <c r="E6600">
        <v>6</v>
      </c>
      <c r="F6600">
        <v>0</v>
      </c>
      <c r="G6600">
        <v>0</v>
      </c>
      <c r="H6600">
        <v>108</v>
      </c>
      <c r="I6600">
        <v>0</v>
      </c>
      <c r="J6600">
        <v>1.19</v>
      </c>
      <c r="K6600">
        <v>0</v>
      </c>
    </row>
    <row r="6601" spans="1:11" x14ac:dyDescent="0.2">
      <c r="A6601">
        <v>29506</v>
      </c>
      <c r="B6601">
        <v>5602693</v>
      </c>
      <c r="C6601" t="s">
        <v>9722</v>
      </c>
      <c r="D6601">
        <v>10</v>
      </c>
      <c r="E6601">
        <v>6</v>
      </c>
      <c r="F6601">
        <v>0</v>
      </c>
      <c r="G6601">
        <v>0</v>
      </c>
      <c r="H6601">
        <v>108</v>
      </c>
      <c r="I6601">
        <v>0</v>
      </c>
      <c r="J6601">
        <v>1.19</v>
      </c>
      <c r="K6601">
        <v>0</v>
      </c>
    </row>
    <row r="6602" spans="1:11" x14ac:dyDescent="0.2">
      <c r="A6602">
        <v>72226</v>
      </c>
      <c r="B6602">
        <v>5602696</v>
      </c>
      <c r="C6602" t="s">
        <v>9723</v>
      </c>
      <c r="D6602">
        <v>8</v>
      </c>
      <c r="E6602">
        <v>12</v>
      </c>
      <c r="F6602">
        <v>455</v>
      </c>
      <c r="G6602">
        <v>5464</v>
      </c>
      <c r="H6602">
        <v>144</v>
      </c>
      <c r="I6602">
        <v>3.2</v>
      </c>
      <c r="J6602">
        <v>1.29</v>
      </c>
      <c r="K6602">
        <v>7048.56</v>
      </c>
    </row>
    <row r="6603" spans="1:11" x14ac:dyDescent="0.2">
      <c r="A6603">
        <v>26515</v>
      </c>
      <c r="B6603">
        <v>5602734</v>
      </c>
      <c r="C6603" t="s">
        <v>9724</v>
      </c>
      <c r="D6603">
        <v>10</v>
      </c>
      <c r="E6603">
        <v>6</v>
      </c>
      <c r="F6603">
        <v>0</v>
      </c>
      <c r="G6603">
        <v>0</v>
      </c>
      <c r="H6603">
        <v>78</v>
      </c>
      <c r="I6603">
        <v>0</v>
      </c>
      <c r="J6603">
        <v>2.19</v>
      </c>
      <c r="K6603">
        <v>0</v>
      </c>
    </row>
    <row r="6604" spans="1:11" x14ac:dyDescent="0.2">
      <c r="B6604">
        <v>5602736</v>
      </c>
      <c r="C6604" t="s">
        <v>9725</v>
      </c>
      <c r="D6604">
        <v>11</v>
      </c>
      <c r="E6604">
        <v>4</v>
      </c>
      <c r="F6604">
        <v>0</v>
      </c>
      <c r="G6604">
        <v>0</v>
      </c>
      <c r="H6604">
        <v>125</v>
      </c>
      <c r="I6604">
        <v>0</v>
      </c>
      <c r="J6604">
        <v>2.4900000000000002</v>
      </c>
      <c r="K6604">
        <v>0</v>
      </c>
    </row>
    <row r="6605" spans="1:11" x14ac:dyDescent="0.2">
      <c r="A6605">
        <v>85043</v>
      </c>
      <c r="B6605">
        <v>5602757</v>
      </c>
      <c r="C6605" t="s">
        <v>9726</v>
      </c>
      <c r="D6605">
        <v>8</v>
      </c>
      <c r="E6605">
        <v>6</v>
      </c>
      <c r="F6605">
        <v>180</v>
      </c>
      <c r="G6605">
        <v>1080</v>
      </c>
      <c r="H6605">
        <v>40</v>
      </c>
      <c r="I6605">
        <v>4.5</v>
      </c>
      <c r="J6605">
        <v>1.99</v>
      </c>
      <c r="K6605">
        <v>2149.1999999999998</v>
      </c>
    </row>
    <row r="6606" spans="1:11" x14ac:dyDescent="0.2">
      <c r="A6606">
        <v>91120</v>
      </c>
      <c r="B6606">
        <v>5602762</v>
      </c>
      <c r="C6606" t="s">
        <v>9727</v>
      </c>
      <c r="D6606">
        <v>8</v>
      </c>
      <c r="E6606">
        <v>6</v>
      </c>
      <c r="F6606">
        <v>131</v>
      </c>
      <c r="G6606">
        <v>786</v>
      </c>
      <c r="H6606">
        <v>48</v>
      </c>
      <c r="I6606">
        <v>2.7</v>
      </c>
      <c r="J6606">
        <v>1.39</v>
      </c>
      <c r="K6606">
        <v>1092.54</v>
      </c>
    </row>
    <row r="6607" spans="1:11" x14ac:dyDescent="0.2">
      <c r="B6607">
        <v>5602767</v>
      </c>
      <c r="C6607" t="s">
        <v>9728</v>
      </c>
      <c r="D6607">
        <v>11</v>
      </c>
      <c r="E6607">
        <v>8</v>
      </c>
      <c r="F6607">
        <v>1</v>
      </c>
      <c r="G6607">
        <v>8</v>
      </c>
      <c r="H6607">
        <v>48</v>
      </c>
      <c r="I6607">
        <v>0</v>
      </c>
      <c r="J6607">
        <v>1.33</v>
      </c>
      <c r="K6607">
        <v>10.64</v>
      </c>
    </row>
    <row r="6608" spans="1:11" x14ac:dyDescent="0.2">
      <c r="A6608">
        <v>61217</v>
      </c>
      <c r="B6608">
        <v>5602780</v>
      </c>
      <c r="C6608" t="s">
        <v>4838</v>
      </c>
      <c r="D6608">
        <v>9</v>
      </c>
      <c r="E6608">
        <v>6</v>
      </c>
      <c r="F6608">
        <v>973</v>
      </c>
      <c r="G6608">
        <v>5838</v>
      </c>
      <c r="H6608">
        <v>105</v>
      </c>
      <c r="I6608">
        <v>9.3000000000000007</v>
      </c>
      <c r="J6608">
        <v>1.49</v>
      </c>
      <c r="K6608">
        <v>8698.6200000000008</v>
      </c>
    </row>
    <row r="6609" spans="1:11" x14ac:dyDescent="0.2">
      <c r="B6609">
        <v>5602781</v>
      </c>
      <c r="C6609" t="s">
        <v>9729</v>
      </c>
      <c r="D6609">
        <v>6</v>
      </c>
      <c r="E6609">
        <v>6</v>
      </c>
      <c r="F6609">
        <v>1</v>
      </c>
      <c r="G6609">
        <v>8</v>
      </c>
      <c r="H6609">
        <v>105</v>
      </c>
      <c r="I6609">
        <v>0</v>
      </c>
      <c r="J6609">
        <v>1.49</v>
      </c>
      <c r="K6609">
        <v>11.92</v>
      </c>
    </row>
    <row r="6610" spans="1:11" x14ac:dyDescent="0.2">
      <c r="A6610">
        <v>81083</v>
      </c>
      <c r="B6610">
        <v>5602788</v>
      </c>
      <c r="C6610" t="s">
        <v>9730</v>
      </c>
      <c r="D6610">
        <v>8</v>
      </c>
      <c r="E6610">
        <v>40</v>
      </c>
      <c r="F6610">
        <v>273</v>
      </c>
      <c r="G6610">
        <v>10920</v>
      </c>
      <c r="H6610">
        <v>88</v>
      </c>
      <c r="I6610">
        <v>3.1</v>
      </c>
      <c r="J6610">
        <v>1.73</v>
      </c>
      <c r="K6610">
        <v>18891.599999999999</v>
      </c>
    </row>
    <row r="6611" spans="1:11" x14ac:dyDescent="0.2">
      <c r="A6611">
        <v>62016</v>
      </c>
      <c r="B6611">
        <v>5602815</v>
      </c>
      <c r="C6611" t="s">
        <v>9731</v>
      </c>
      <c r="D6611">
        <v>8</v>
      </c>
      <c r="E6611">
        <v>6</v>
      </c>
      <c r="F6611">
        <v>239</v>
      </c>
      <c r="G6611">
        <v>1434</v>
      </c>
      <c r="H6611">
        <v>120</v>
      </c>
      <c r="I6611">
        <v>2</v>
      </c>
      <c r="J6611">
        <v>12.45</v>
      </c>
      <c r="K6611">
        <v>17853.3</v>
      </c>
    </row>
    <row r="6612" spans="1:11" x14ac:dyDescent="0.2">
      <c r="A6612">
        <v>3610</v>
      </c>
      <c r="B6612">
        <v>5602835</v>
      </c>
      <c r="C6612" t="s">
        <v>9732</v>
      </c>
      <c r="D6612">
        <v>6</v>
      </c>
      <c r="E6612">
        <v>15</v>
      </c>
      <c r="F6612">
        <v>5</v>
      </c>
      <c r="G6612">
        <v>80</v>
      </c>
      <c r="H6612">
        <v>70</v>
      </c>
      <c r="I6612">
        <v>0.1</v>
      </c>
      <c r="J6612">
        <v>2.69</v>
      </c>
      <c r="K6612">
        <v>215.2</v>
      </c>
    </row>
    <row r="6613" spans="1:11" x14ac:dyDescent="0.2">
      <c r="B6613">
        <v>5602898</v>
      </c>
      <c r="C6613" t="s">
        <v>9733</v>
      </c>
      <c r="D6613">
        <v>12</v>
      </c>
      <c r="E6613">
        <v>12</v>
      </c>
      <c r="F6613">
        <v>0</v>
      </c>
      <c r="G6613">
        <v>0</v>
      </c>
      <c r="H6613">
        <v>80</v>
      </c>
      <c r="I6613">
        <v>0</v>
      </c>
      <c r="J6613">
        <v>1</v>
      </c>
      <c r="K6613">
        <v>0</v>
      </c>
    </row>
    <row r="6614" spans="1:11" x14ac:dyDescent="0.2">
      <c r="B6614">
        <v>5602902</v>
      </c>
      <c r="C6614" t="s">
        <v>9734</v>
      </c>
      <c r="D6614">
        <v>11</v>
      </c>
      <c r="E6614">
        <v>1</v>
      </c>
      <c r="F6614">
        <v>0</v>
      </c>
      <c r="G6614">
        <v>0</v>
      </c>
      <c r="H6614">
        <v>152</v>
      </c>
      <c r="I6614">
        <v>0</v>
      </c>
      <c r="J6614">
        <v>2.69</v>
      </c>
      <c r="K6614">
        <v>0</v>
      </c>
    </row>
    <row r="6615" spans="1:11" x14ac:dyDescent="0.2">
      <c r="B6615">
        <v>5602904</v>
      </c>
      <c r="C6615" t="s">
        <v>9735</v>
      </c>
      <c r="D6615">
        <v>11</v>
      </c>
      <c r="E6615">
        <v>1</v>
      </c>
      <c r="F6615">
        <v>0</v>
      </c>
      <c r="G6615">
        <v>0</v>
      </c>
      <c r="H6615">
        <v>38</v>
      </c>
      <c r="I6615">
        <v>0</v>
      </c>
      <c r="J6615">
        <v>2.4900000000000002</v>
      </c>
      <c r="K6615">
        <v>0</v>
      </c>
    </row>
    <row r="6616" spans="1:11" x14ac:dyDescent="0.2">
      <c r="A6616">
        <v>91092</v>
      </c>
      <c r="B6616">
        <v>5602906</v>
      </c>
      <c r="C6616" t="s">
        <v>9736</v>
      </c>
      <c r="D6616">
        <v>8</v>
      </c>
      <c r="E6616">
        <v>1</v>
      </c>
      <c r="F6616">
        <v>1768</v>
      </c>
      <c r="G6616">
        <v>1768</v>
      </c>
      <c r="H6616">
        <v>64</v>
      </c>
      <c r="I6616">
        <v>27.6</v>
      </c>
      <c r="J6616">
        <v>1.79</v>
      </c>
      <c r="K6616">
        <v>3164.72</v>
      </c>
    </row>
    <row r="6617" spans="1:11" x14ac:dyDescent="0.2">
      <c r="A6617">
        <v>91091</v>
      </c>
      <c r="B6617">
        <v>5602907</v>
      </c>
      <c r="C6617" t="s">
        <v>9737</v>
      </c>
      <c r="D6617">
        <v>8</v>
      </c>
      <c r="E6617">
        <v>1</v>
      </c>
      <c r="F6617">
        <v>1616</v>
      </c>
      <c r="G6617">
        <v>1616</v>
      </c>
      <c r="H6617">
        <v>64</v>
      </c>
      <c r="I6617">
        <v>25.3</v>
      </c>
      <c r="J6617">
        <v>1.79</v>
      </c>
      <c r="K6617">
        <v>2892.64</v>
      </c>
    </row>
    <row r="6618" spans="1:11" x14ac:dyDescent="0.2">
      <c r="A6618">
        <v>74067</v>
      </c>
      <c r="B6618">
        <v>5602957</v>
      </c>
      <c r="C6618" t="s">
        <v>9738</v>
      </c>
      <c r="D6618">
        <v>6</v>
      </c>
      <c r="E6618">
        <v>15</v>
      </c>
      <c r="F6618">
        <v>273</v>
      </c>
      <c r="G6618">
        <v>4095</v>
      </c>
      <c r="H6618">
        <v>91</v>
      </c>
      <c r="I6618">
        <v>3</v>
      </c>
      <c r="J6618">
        <v>1.59</v>
      </c>
      <c r="K6618">
        <v>6511.05</v>
      </c>
    </row>
    <row r="6619" spans="1:11" x14ac:dyDescent="0.2">
      <c r="A6619">
        <v>74190</v>
      </c>
      <c r="B6619">
        <v>5602958</v>
      </c>
      <c r="C6619" t="s">
        <v>9739</v>
      </c>
      <c r="D6619">
        <v>8</v>
      </c>
      <c r="E6619">
        <v>15</v>
      </c>
      <c r="F6619">
        <v>598</v>
      </c>
      <c r="G6619">
        <v>8970</v>
      </c>
      <c r="H6619">
        <v>91</v>
      </c>
      <c r="I6619">
        <v>6.6</v>
      </c>
      <c r="J6619">
        <v>1.69</v>
      </c>
      <c r="K6619">
        <v>15159.3</v>
      </c>
    </row>
    <row r="6620" spans="1:11" x14ac:dyDescent="0.2">
      <c r="A6620">
        <v>0</v>
      </c>
      <c r="B6620">
        <v>5602958</v>
      </c>
      <c r="C6620" t="s">
        <v>9739</v>
      </c>
      <c r="D6620">
        <v>12</v>
      </c>
      <c r="E6620">
        <v>24</v>
      </c>
      <c r="F6620">
        <v>-1</v>
      </c>
      <c r="G6620">
        <v>-24</v>
      </c>
      <c r="H6620">
        <v>64</v>
      </c>
      <c r="I6620">
        <v>0</v>
      </c>
      <c r="J6620">
        <v>1.69</v>
      </c>
      <c r="K6620">
        <v>-40.56</v>
      </c>
    </row>
    <row r="6621" spans="1:11" x14ac:dyDescent="0.2">
      <c r="A6621">
        <v>91119</v>
      </c>
      <c r="B6621">
        <v>5602967</v>
      </c>
      <c r="C6621" t="s">
        <v>9740</v>
      </c>
      <c r="D6621">
        <v>8</v>
      </c>
      <c r="E6621">
        <v>6</v>
      </c>
      <c r="F6621">
        <v>62</v>
      </c>
      <c r="G6621">
        <v>372</v>
      </c>
      <c r="H6621">
        <v>36</v>
      </c>
      <c r="I6621">
        <v>1.7</v>
      </c>
      <c r="J6621">
        <v>1.19</v>
      </c>
      <c r="K6621">
        <v>442.68</v>
      </c>
    </row>
    <row r="6622" spans="1:11" x14ac:dyDescent="0.2">
      <c r="B6622">
        <v>5602980</v>
      </c>
      <c r="C6622" t="s">
        <v>9741</v>
      </c>
      <c r="D6622">
        <v>11</v>
      </c>
      <c r="E6622">
        <v>10</v>
      </c>
      <c r="F6622">
        <v>0</v>
      </c>
      <c r="G6622">
        <v>0</v>
      </c>
      <c r="H6622">
        <v>36</v>
      </c>
      <c r="I6622">
        <v>0</v>
      </c>
      <c r="J6622">
        <v>1.19</v>
      </c>
      <c r="K6622">
        <v>0</v>
      </c>
    </row>
    <row r="6623" spans="1:11" x14ac:dyDescent="0.2">
      <c r="A6623">
        <v>91107</v>
      </c>
      <c r="B6623">
        <v>5602982</v>
      </c>
      <c r="C6623" t="s">
        <v>9742</v>
      </c>
      <c r="D6623">
        <v>8</v>
      </c>
      <c r="E6623">
        <v>1</v>
      </c>
      <c r="F6623">
        <v>602</v>
      </c>
      <c r="G6623">
        <v>602</v>
      </c>
      <c r="H6623">
        <v>864</v>
      </c>
      <c r="I6623">
        <v>0.7</v>
      </c>
      <c r="J6623">
        <v>3.49</v>
      </c>
      <c r="K6623">
        <v>2100.98</v>
      </c>
    </row>
    <row r="6624" spans="1:11" x14ac:dyDescent="0.2">
      <c r="A6624">
        <v>91004</v>
      </c>
      <c r="B6624">
        <v>5602999</v>
      </c>
      <c r="C6624" t="s">
        <v>9743</v>
      </c>
      <c r="D6624">
        <v>8</v>
      </c>
      <c r="E6624">
        <v>1</v>
      </c>
      <c r="F6624">
        <v>1214</v>
      </c>
      <c r="G6624">
        <v>1214</v>
      </c>
      <c r="H6624">
        <v>224</v>
      </c>
      <c r="I6624">
        <v>5.4</v>
      </c>
      <c r="J6624">
        <v>3.85</v>
      </c>
      <c r="K6624">
        <v>4673.8999999999996</v>
      </c>
    </row>
    <row r="6625" spans="1:11" x14ac:dyDescent="0.2">
      <c r="B6625">
        <v>5603005</v>
      </c>
      <c r="C6625" t="s">
        <v>9744</v>
      </c>
      <c r="D6625">
        <v>11</v>
      </c>
      <c r="E6625">
        <v>1</v>
      </c>
      <c r="F6625">
        <v>0</v>
      </c>
      <c r="G6625">
        <v>0</v>
      </c>
      <c r="H6625">
        <v>504</v>
      </c>
      <c r="I6625">
        <v>0</v>
      </c>
      <c r="J6625">
        <v>6.45</v>
      </c>
      <c r="K6625">
        <v>0</v>
      </c>
    </row>
    <row r="6626" spans="1:11" x14ac:dyDescent="0.2">
      <c r="B6626">
        <v>5603006</v>
      </c>
      <c r="C6626" t="s">
        <v>9745</v>
      </c>
      <c r="D6626">
        <v>11</v>
      </c>
      <c r="E6626">
        <v>1</v>
      </c>
      <c r="F6626">
        <v>0</v>
      </c>
      <c r="G6626">
        <v>0</v>
      </c>
      <c r="H6626">
        <v>266</v>
      </c>
      <c r="I6626">
        <v>0</v>
      </c>
      <c r="J6626">
        <v>9.69</v>
      </c>
      <c r="K6626">
        <v>0</v>
      </c>
    </row>
    <row r="6627" spans="1:11" x14ac:dyDescent="0.2">
      <c r="B6627">
        <v>5603007</v>
      </c>
      <c r="C6627" t="s">
        <v>9746</v>
      </c>
      <c r="D6627">
        <v>11</v>
      </c>
      <c r="E6627">
        <v>1</v>
      </c>
      <c r="F6627">
        <v>0</v>
      </c>
      <c r="G6627">
        <v>0</v>
      </c>
      <c r="H6627">
        <v>266</v>
      </c>
      <c r="I6627">
        <v>0</v>
      </c>
      <c r="J6627">
        <v>11.65</v>
      </c>
      <c r="K6627">
        <v>0</v>
      </c>
    </row>
    <row r="6628" spans="1:11" x14ac:dyDescent="0.2">
      <c r="A6628">
        <v>85094</v>
      </c>
      <c r="B6628">
        <v>5603009</v>
      </c>
      <c r="C6628" t="s">
        <v>6106</v>
      </c>
      <c r="D6628">
        <v>8</v>
      </c>
      <c r="E6628">
        <v>8</v>
      </c>
      <c r="F6628">
        <v>241</v>
      </c>
      <c r="G6628">
        <v>1928</v>
      </c>
      <c r="H6628">
        <v>48</v>
      </c>
      <c r="I6628">
        <v>5</v>
      </c>
      <c r="J6628">
        <v>0.99</v>
      </c>
      <c r="K6628">
        <v>1908.72</v>
      </c>
    </row>
    <row r="6629" spans="1:11" x14ac:dyDescent="0.2">
      <c r="A6629">
        <v>82148</v>
      </c>
      <c r="B6629">
        <v>5603010</v>
      </c>
      <c r="C6629" t="s">
        <v>9747</v>
      </c>
      <c r="D6629">
        <v>8</v>
      </c>
      <c r="E6629">
        <v>13</v>
      </c>
      <c r="F6629">
        <v>276</v>
      </c>
      <c r="G6629">
        <v>3588</v>
      </c>
      <c r="H6629">
        <v>105</v>
      </c>
      <c r="I6629">
        <v>2.6</v>
      </c>
      <c r="J6629">
        <v>1.99</v>
      </c>
      <c r="K6629">
        <v>7140.12</v>
      </c>
    </row>
    <row r="6630" spans="1:11" x14ac:dyDescent="0.2">
      <c r="B6630">
        <v>5603013</v>
      </c>
      <c r="C6630" t="s">
        <v>9748</v>
      </c>
      <c r="D6630">
        <v>11</v>
      </c>
      <c r="E6630">
        <v>1</v>
      </c>
      <c r="F6630">
        <v>0</v>
      </c>
      <c r="G6630">
        <v>0</v>
      </c>
      <c r="H6630">
        <v>480</v>
      </c>
      <c r="I6630">
        <v>0</v>
      </c>
      <c r="J6630">
        <v>4.09</v>
      </c>
      <c r="K6630">
        <v>0</v>
      </c>
    </row>
    <row r="6631" spans="1:11" x14ac:dyDescent="0.2">
      <c r="B6631">
        <v>5603045</v>
      </c>
      <c r="C6631" t="s">
        <v>9749</v>
      </c>
      <c r="D6631">
        <v>11</v>
      </c>
      <c r="E6631">
        <v>1</v>
      </c>
      <c r="F6631">
        <v>0</v>
      </c>
      <c r="G6631">
        <v>0</v>
      </c>
      <c r="H6631">
        <v>624</v>
      </c>
      <c r="I6631">
        <v>0</v>
      </c>
      <c r="J6631">
        <v>3.09</v>
      </c>
      <c r="K6631">
        <v>0</v>
      </c>
    </row>
    <row r="6632" spans="1:11" x14ac:dyDescent="0.2">
      <c r="B6632">
        <v>5603047</v>
      </c>
      <c r="C6632" t="s">
        <v>9750</v>
      </c>
      <c r="D6632">
        <v>11</v>
      </c>
      <c r="E6632">
        <v>12</v>
      </c>
      <c r="F6632">
        <v>0</v>
      </c>
      <c r="G6632">
        <v>0</v>
      </c>
      <c r="H6632">
        <v>40</v>
      </c>
      <c r="I6632">
        <v>0</v>
      </c>
      <c r="J6632">
        <v>2.59</v>
      </c>
      <c r="K6632">
        <v>0</v>
      </c>
    </row>
    <row r="6633" spans="1:11" x14ac:dyDescent="0.2">
      <c r="A6633">
        <v>76052</v>
      </c>
      <c r="B6633">
        <v>5603052</v>
      </c>
      <c r="C6633" t="s">
        <v>9751</v>
      </c>
      <c r="D6633">
        <v>8</v>
      </c>
      <c r="E6633">
        <v>12</v>
      </c>
      <c r="F6633">
        <v>69</v>
      </c>
      <c r="G6633">
        <v>828</v>
      </c>
      <c r="H6633">
        <v>40</v>
      </c>
      <c r="I6633">
        <v>1.7</v>
      </c>
      <c r="J6633">
        <v>4.99</v>
      </c>
      <c r="K6633">
        <v>4131.72</v>
      </c>
    </row>
    <row r="6634" spans="1:11" x14ac:dyDescent="0.2">
      <c r="B6634">
        <v>5603053</v>
      </c>
      <c r="C6634" t="s">
        <v>9752</v>
      </c>
      <c r="D6634">
        <v>11</v>
      </c>
      <c r="E6634">
        <v>6</v>
      </c>
      <c r="F6634">
        <v>2</v>
      </c>
      <c r="G6634">
        <v>12</v>
      </c>
      <c r="H6634">
        <v>100</v>
      </c>
      <c r="I6634">
        <v>0</v>
      </c>
      <c r="J6634">
        <v>4.49</v>
      </c>
      <c r="K6634">
        <v>53.88</v>
      </c>
    </row>
    <row r="6635" spans="1:11" x14ac:dyDescent="0.2">
      <c r="B6635">
        <v>5603056</v>
      </c>
      <c r="C6635" t="s">
        <v>9753</v>
      </c>
      <c r="D6635">
        <v>11</v>
      </c>
      <c r="E6635">
        <v>1</v>
      </c>
      <c r="F6635">
        <v>0</v>
      </c>
      <c r="G6635">
        <v>0</v>
      </c>
      <c r="H6635">
        <v>320</v>
      </c>
      <c r="I6635">
        <v>0</v>
      </c>
      <c r="J6635">
        <v>3.59</v>
      </c>
      <c r="K6635">
        <v>0</v>
      </c>
    </row>
    <row r="6636" spans="1:11" x14ac:dyDescent="0.2">
      <c r="B6636">
        <v>5603060</v>
      </c>
      <c r="C6636" t="s">
        <v>9754</v>
      </c>
      <c r="D6636">
        <v>11</v>
      </c>
      <c r="E6636">
        <v>1</v>
      </c>
      <c r="F6636">
        <v>0</v>
      </c>
      <c r="G6636">
        <v>0</v>
      </c>
      <c r="H6636">
        <v>440</v>
      </c>
      <c r="I6636">
        <v>0</v>
      </c>
      <c r="J6636">
        <v>7.99</v>
      </c>
      <c r="K6636">
        <v>0</v>
      </c>
    </row>
    <row r="6637" spans="1:11" x14ac:dyDescent="0.2">
      <c r="B6637">
        <v>5603062</v>
      </c>
      <c r="C6637" t="s">
        <v>9755</v>
      </c>
      <c r="D6637">
        <v>11</v>
      </c>
      <c r="E6637">
        <v>6</v>
      </c>
      <c r="F6637">
        <v>2</v>
      </c>
      <c r="G6637">
        <v>12</v>
      </c>
      <c r="H6637">
        <v>120</v>
      </c>
      <c r="I6637">
        <v>0</v>
      </c>
      <c r="J6637">
        <v>3.89</v>
      </c>
      <c r="K6637">
        <v>46.68</v>
      </c>
    </row>
    <row r="6638" spans="1:11" x14ac:dyDescent="0.2">
      <c r="B6638">
        <v>5603063</v>
      </c>
      <c r="C6638" t="s">
        <v>9756</v>
      </c>
      <c r="D6638">
        <v>11</v>
      </c>
      <c r="E6638">
        <v>6</v>
      </c>
      <c r="F6638">
        <v>0</v>
      </c>
      <c r="G6638">
        <v>0</v>
      </c>
      <c r="H6638">
        <v>120</v>
      </c>
      <c r="I6638">
        <v>0</v>
      </c>
      <c r="J6638">
        <v>2.09</v>
      </c>
      <c r="K6638">
        <v>0</v>
      </c>
    </row>
    <row r="6639" spans="1:11" x14ac:dyDescent="0.2">
      <c r="B6639">
        <v>5603064</v>
      </c>
      <c r="C6639" t="s">
        <v>9757</v>
      </c>
      <c r="D6639">
        <v>11</v>
      </c>
      <c r="E6639">
        <v>4</v>
      </c>
      <c r="F6639">
        <v>-4</v>
      </c>
      <c r="G6639">
        <v>-16</v>
      </c>
      <c r="H6639">
        <v>60</v>
      </c>
      <c r="I6639">
        <v>-0.1</v>
      </c>
      <c r="J6639">
        <v>6.99</v>
      </c>
      <c r="K6639">
        <v>-111.84</v>
      </c>
    </row>
    <row r="6640" spans="1:11" x14ac:dyDescent="0.2">
      <c r="A6640">
        <v>84072</v>
      </c>
      <c r="B6640">
        <v>5603072</v>
      </c>
      <c r="C6640" t="s">
        <v>9758</v>
      </c>
      <c r="D6640">
        <v>8</v>
      </c>
      <c r="E6640">
        <v>8</v>
      </c>
      <c r="F6640">
        <v>357</v>
      </c>
      <c r="G6640">
        <v>2856</v>
      </c>
      <c r="H6640">
        <v>128</v>
      </c>
      <c r="I6640">
        <v>2.8</v>
      </c>
      <c r="J6640">
        <v>1.99</v>
      </c>
      <c r="K6640">
        <v>5683.44</v>
      </c>
    </row>
    <row r="6641" spans="1:12" x14ac:dyDescent="0.2">
      <c r="A6641">
        <v>84082</v>
      </c>
      <c r="B6641">
        <v>5603078</v>
      </c>
      <c r="C6641" t="s">
        <v>9759</v>
      </c>
      <c r="D6641">
        <v>8</v>
      </c>
      <c r="E6641">
        <v>8</v>
      </c>
      <c r="F6641">
        <v>191</v>
      </c>
      <c r="G6641">
        <v>1528</v>
      </c>
      <c r="H6641">
        <v>72</v>
      </c>
      <c r="I6641">
        <v>2.7</v>
      </c>
      <c r="J6641">
        <v>1.99</v>
      </c>
      <c r="K6641">
        <v>3040.72</v>
      </c>
    </row>
    <row r="6642" spans="1:12" x14ac:dyDescent="0.2">
      <c r="A6642">
        <v>57296</v>
      </c>
      <c r="B6642">
        <v>5603089</v>
      </c>
      <c r="C6642" t="s">
        <v>9760</v>
      </c>
      <c r="D6642">
        <v>11</v>
      </c>
      <c r="E6642">
        <v>6</v>
      </c>
      <c r="F6642">
        <v>0</v>
      </c>
      <c r="G6642">
        <v>0</v>
      </c>
      <c r="H6642">
        <v>80</v>
      </c>
      <c r="I6642">
        <v>0</v>
      </c>
      <c r="J6642">
        <v>1.7</v>
      </c>
      <c r="K6642">
        <v>0</v>
      </c>
    </row>
    <row r="6643" spans="1:12" x14ac:dyDescent="0.2">
      <c r="B6643">
        <v>5603092</v>
      </c>
      <c r="C6643" t="s">
        <v>9761</v>
      </c>
      <c r="D6643">
        <v>11</v>
      </c>
      <c r="E6643">
        <v>99</v>
      </c>
      <c r="F6643">
        <v>0</v>
      </c>
      <c r="G6643">
        <v>0</v>
      </c>
      <c r="H6643">
        <v>4</v>
      </c>
      <c r="I6643">
        <v>0</v>
      </c>
      <c r="J6643">
        <v>2</v>
      </c>
      <c r="K6643">
        <v>0</v>
      </c>
    </row>
    <row r="6644" spans="1:12" x14ac:dyDescent="0.2">
      <c r="A6644">
        <v>1500</v>
      </c>
      <c r="B6644">
        <v>5603109</v>
      </c>
      <c r="C6644" t="s">
        <v>9762</v>
      </c>
      <c r="D6644">
        <v>6</v>
      </c>
      <c r="E6644">
        <v>6</v>
      </c>
      <c r="F6644">
        <v>3</v>
      </c>
      <c r="G6644">
        <v>18</v>
      </c>
      <c r="H6644">
        <v>72</v>
      </c>
      <c r="I6644">
        <v>0</v>
      </c>
      <c r="J6644">
        <v>2.99</v>
      </c>
      <c r="K6644">
        <v>53.82</v>
      </c>
    </row>
    <row r="6645" spans="1:12" x14ac:dyDescent="0.2">
      <c r="A6645">
        <v>41602</v>
      </c>
      <c r="B6645">
        <v>5603114</v>
      </c>
      <c r="C6645" t="s">
        <v>9763</v>
      </c>
      <c r="D6645">
        <v>10</v>
      </c>
      <c r="E6645">
        <v>28</v>
      </c>
      <c r="F6645">
        <v>1</v>
      </c>
      <c r="G6645">
        <v>22</v>
      </c>
      <c r="H6645">
        <v>48</v>
      </c>
      <c r="I6645">
        <v>0</v>
      </c>
      <c r="J6645">
        <v>1.69</v>
      </c>
      <c r="K6645">
        <v>37.18</v>
      </c>
    </row>
    <row r="6646" spans="1:12" x14ac:dyDescent="0.2">
      <c r="B6646">
        <v>5603121</v>
      </c>
      <c r="C6646" t="s">
        <v>9764</v>
      </c>
      <c r="D6646">
        <v>12</v>
      </c>
      <c r="E6646">
        <v>6</v>
      </c>
      <c r="F6646">
        <v>0</v>
      </c>
      <c r="G6646">
        <v>0</v>
      </c>
      <c r="H6646">
        <v>80</v>
      </c>
      <c r="I6646">
        <v>0</v>
      </c>
      <c r="J6646">
        <v>14.99</v>
      </c>
      <c r="K6646">
        <v>0</v>
      </c>
      <c r="L6646" t="s">
        <v>3699</v>
      </c>
    </row>
    <row r="6647" spans="1:12" x14ac:dyDescent="0.2">
      <c r="A6647">
        <v>41510</v>
      </c>
      <c r="B6647">
        <v>5603126</v>
      </c>
      <c r="C6647" t="s">
        <v>9765</v>
      </c>
      <c r="D6647">
        <v>10</v>
      </c>
      <c r="E6647">
        <v>6</v>
      </c>
      <c r="F6647">
        <v>0</v>
      </c>
      <c r="G6647">
        <v>0</v>
      </c>
      <c r="H6647">
        <v>192</v>
      </c>
      <c r="I6647">
        <v>0</v>
      </c>
      <c r="J6647">
        <v>1.99</v>
      </c>
      <c r="K6647">
        <v>0</v>
      </c>
    </row>
    <row r="6648" spans="1:12" x14ac:dyDescent="0.2">
      <c r="A6648">
        <v>31512</v>
      </c>
      <c r="B6648">
        <v>5603133</v>
      </c>
      <c r="C6648" t="s">
        <v>9766</v>
      </c>
      <c r="D6648">
        <v>10</v>
      </c>
      <c r="E6648">
        <v>12</v>
      </c>
      <c r="F6648">
        <v>0</v>
      </c>
      <c r="G6648">
        <v>0</v>
      </c>
      <c r="H6648">
        <v>114</v>
      </c>
      <c r="I6648">
        <v>0</v>
      </c>
      <c r="J6648">
        <v>1.29</v>
      </c>
      <c r="K6648">
        <v>0</v>
      </c>
    </row>
    <row r="6649" spans="1:12" x14ac:dyDescent="0.2">
      <c r="B6649">
        <v>5603147</v>
      </c>
      <c r="C6649" t="s">
        <v>9767</v>
      </c>
      <c r="D6649">
        <v>11</v>
      </c>
      <c r="E6649">
        <v>1</v>
      </c>
      <c r="F6649">
        <v>-22</v>
      </c>
      <c r="G6649">
        <v>-22</v>
      </c>
      <c r="H6649">
        <v>384</v>
      </c>
      <c r="I6649">
        <v>-0.1</v>
      </c>
      <c r="J6649">
        <v>10.99</v>
      </c>
      <c r="K6649">
        <v>-237.25</v>
      </c>
    </row>
    <row r="6650" spans="1:12" x14ac:dyDescent="0.2">
      <c r="A6650">
        <v>91086</v>
      </c>
      <c r="B6650">
        <v>5603148</v>
      </c>
      <c r="C6650" t="s">
        <v>9768</v>
      </c>
      <c r="D6650">
        <v>8</v>
      </c>
      <c r="E6650">
        <v>1</v>
      </c>
      <c r="F6650">
        <v>174</v>
      </c>
      <c r="G6650">
        <v>174</v>
      </c>
      <c r="H6650">
        <v>576</v>
      </c>
      <c r="I6650">
        <v>0.3</v>
      </c>
      <c r="J6650">
        <v>5.49</v>
      </c>
      <c r="K6650">
        <v>955.26</v>
      </c>
    </row>
    <row r="6651" spans="1:12" x14ac:dyDescent="0.2">
      <c r="A6651">
        <v>91085</v>
      </c>
      <c r="B6651">
        <v>5603149</v>
      </c>
      <c r="C6651" t="s">
        <v>9769</v>
      </c>
      <c r="D6651">
        <v>8</v>
      </c>
      <c r="E6651">
        <v>1</v>
      </c>
      <c r="F6651">
        <v>306</v>
      </c>
      <c r="G6651">
        <v>306</v>
      </c>
      <c r="H6651">
        <v>576</v>
      </c>
      <c r="I6651">
        <v>0.5</v>
      </c>
      <c r="J6651">
        <v>6.19</v>
      </c>
      <c r="K6651">
        <v>1894.14</v>
      </c>
    </row>
    <row r="6652" spans="1:12" x14ac:dyDescent="0.2">
      <c r="A6652">
        <v>28655</v>
      </c>
      <c r="B6652">
        <v>5603150</v>
      </c>
      <c r="C6652" t="s">
        <v>9770</v>
      </c>
      <c r="D6652">
        <v>10</v>
      </c>
      <c r="E6652">
        <v>4</v>
      </c>
      <c r="F6652">
        <v>0</v>
      </c>
      <c r="G6652">
        <v>0</v>
      </c>
      <c r="H6652">
        <v>70</v>
      </c>
      <c r="I6652">
        <v>0</v>
      </c>
      <c r="J6652">
        <v>2</v>
      </c>
      <c r="K6652">
        <v>0</v>
      </c>
    </row>
    <row r="6653" spans="1:12" x14ac:dyDescent="0.2">
      <c r="B6653">
        <v>5603155</v>
      </c>
      <c r="C6653" t="s">
        <v>9771</v>
      </c>
      <c r="D6653">
        <v>11</v>
      </c>
      <c r="E6653">
        <v>6</v>
      </c>
      <c r="F6653">
        <v>0</v>
      </c>
      <c r="G6653">
        <v>0</v>
      </c>
      <c r="H6653">
        <v>100</v>
      </c>
      <c r="I6653">
        <v>0</v>
      </c>
      <c r="J6653">
        <v>8.99</v>
      </c>
      <c r="K6653">
        <v>0</v>
      </c>
    </row>
    <row r="6654" spans="1:12" x14ac:dyDescent="0.2">
      <c r="B6654">
        <v>5603156</v>
      </c>
      <c r="C6654" t="s">
        <v>9772</v>
      </c>
      <c r="D6654">
        <v>11</v>
      </c>
      <c r="E6654">
        <v>6</v>
      </c>
      <c r="F6654">
        <v>0</v>
      </c>
      <c r="G6654">
        <v>0</v>
      </c>
      <c r="H6654">
        <v>80</v>
      </c>
      <c r="I6654">
        <v>0</v>
      </c>
      <c r="J6654">
        <v>17.989999999999998</v>
      </c>
      <c r="K6654">
        <v>0</v>
      </c>
    </row>
    <row r="6655" spans="1:12" x14ac:dyDescent="0.2">
      <c r="B6655">
        <v>5603157</v>
      </c>
      <c r="C6655" t="s">
        <v>9773</v>
      </c>
      <c r="D6655">
        <v>11</v>
      </c>
      <c r="E6655">
        <v>1</v>
      </c>
      <c r="F6655">
        <v>0</v>
      </c>
      <c r="G6655">
        <v>0</v>
      </c>
      <c r="H6655">
        <v>320</v>
      </c>
      <c r="I6655">
        <v>0</v>
      </c>
      <c r="J6655">
        <v>4.49</v>
      </c>
      <c r="K6655">
        <v>0</v>
      </c>
    </row>
    <row r="6656" spans="1:12" x14ac:dyDescent="0.2">
      <c r="B6656">
        <v>5603165</v>
      </c>
      <c r="C6656" t="s">
        <v>9774</v>
      </c>
      <c r="D6656">
        <v>11</v>
      </c>
      <c r="E6656">
        <v>24</v>
      </c>
      <c r="F6656">
        <v>0</v>
      </c>
      <c r="G6656">
        <v>0</v>
      </c>
      <c r="H6656">
        <v>74</v>
      </c>
      <c r="I6656">
        <v>0</v>
      </c>
      <c r="J6656">
        <v>1.6</v>
      </c>
      <c r="K6656">
        <v>0</v>
      </c>
    </row>
    <row r="6657" spans="1:12" x14ac:dyDescent="0.2">
      <c r="A6657">
        <v>57260</v>
      </c>
      <c r="B6657">
        <v>5603166</v>
      </c>
      <c r="C6657" t="s">
        <v>9775</v>
      </c>
      <c r="D6657">
        <v>11</v>
      </c>
      <c r="E6657">
        <v>12</v>
      </c>
      <c r="F6657">
        <v>0</v>
      </c>
      <c r="G6657">
        <v>0</v>
      </c>
      <c r="H6657">
        <v>72</v>
      </c>
      <c r="I6657">
        <v>0</v>
      </c>
      <c r="J6657">
        <v>3.1</v>
      </c>
      <c r="K6657">
        <v>0</v>
      </c>
    </row>
    <row r="6658" spans="1:12" x14ac:dyDescent="0.2">
      <c r="A6658">
        <v>41511</v>
      </c>
      <c r="B6658">
        <v>5603176</v>
      </c>
      <c r="C6658" t="s">
        <v>9776</v>
      </c>
      <c r="D6658">
        <v>10</v>
      </c>
      <c r="E6658">
        <v>5</v>
      </c>
      <c r="F6658">
        <v>-5</v>
      </c>
      <c r="G6658">
        <v>-25</v>
      </c>
      <c r="H6658">
        <v>108</v>
      </c>
      <c r="I6658">
        <v>0</v>
      </c>
      <c r="J6658">
        <v>4.99</v>
      </c>
      <c r="K6658">
        <v>-124.75</v>
      </c>
    </row>
    <row r="6659" spans="1:12" x14ac:dyDescent="0.2">
      <c r="B6659">
        <v>5603179</v>
      </c>
      <c r="C6659" t="s">
        <v>9777</v>
      </c>
      <c r="D6659">
        <v>11</v>
      </c>
      <c r="E6659">
        <v>12</v>
      </c>
      <c r="F6659">
        <v>1</v>
      </c>
      <c r="G6659">
        <v>12</v>
      </c>
      <c r="H6659">
        <v>81</v>
      </c>
      <c r="I6659">
        <v>0</v>
      </c>
      <c r="J6659">
        <v>3.49</v>
      </c>
      <c r="K6659">
        <v>41.88</v>
      </c>
    </row>
    <row r="6660" spans="1:12" x14ac:dyDescent="0.2">
      <c r="B6660">
        <v>5603180</v>
      </c>
      <c r="C6660" t="s">
        <v>9778</v>
      </c>
      <c r="D6660">
        <v>11</v>
      </c>
      <c r="E6660">
        <v>12</v>
      </c>
      <c r="F6660">
        <v>0</v>
      </c>
      <c r="G6660">
        <v>0</v>
      </c>
      <c r="H6660">
        <v>81</v>
      </c>
      <c r="I6660">
        <v>0</v>
      </c>
      <c r="J6660">
        <v>3.49</v>
      </c>
      <c r="K6660">
        <v>0</v>
      </c>
    </row>
    <row r="6661" spans="1:12" x14ac:dyDescent="0.2">
      <c r="B6661">
        <v>5603185</v>
      </c>
      <c r="C6661" t="s">
        <v>9779</v>
      </c>
      <c r="D6661">
        <v>11</v>
      </c>
      <c r="E6661">
        <v>12</v>
      </c>
      <c r="F6661">
        <v>-1</v>
      </c>
      <c r="G6661">
        <v>-12</v>
      </c>
      <c r="H6661">
        <v>154</v>
      </c>
      <c r="I6661">
        <v>0</v>
      </c>
      <c r="J6661">
        <v>2.69</v>
      </c>
      <c r="K6661">
        <v>-32.28</v>
      </c>
    </row>
    <row r="6662" spans="1:12" x14ac:dyDescent="0.2">
      <c r="B6662">
        <v>5603189</v>
      </c>
      <c r="C6662" t="s">
        <v>9780</v>
      </c>
      <c r="D6662">
        <v>11</v>
      </c>
      <c r="E6662">
        <v>12</v>
      </c>
      <c r="F6662">
        <v>0</v>
      </c>
      <c r="G6662">
        <v>0</v>
      </c>
      <c r="H6662">
        <v>81</v>
      </c>
      <c r="I6662">
        <v>0</v>
      </c>
      <c r="J6662">
        <v>3.49</v>
      </c>
      <c r="K6662">
        <v>0</v>
      </c>
    </row>
    <row r="6663" spans="1:12" x14ac:dyDescent="0.2">
      <c r="A6663">
        <v>91062</v>
      </c>
      <c r="B6663">
        <v>5603192</v>
      </c>
      <c r="C6663" t="s">
        <v>9781</v>
      </c>
      <c r="D6663">
        <v>8</v>
      </c>
      <c r="E6663">
        <v>1</v>
      </c>
      <c r="F6663">
        <v>157</v>
      </c>
      <c r="G6663">
        <v>157</v>
      </c>
      <c r="H6663">
        <v>432</v>
      </c>
      <c r="I6663">
        <v>0.4</v>
      </c>
      <c r="J6663">
        <v>9.49</v>
      </c>
      <c r="K6663">
        <v>1489.93</v>
      </c>
    </row>
    <row r="6664" spans="1:12" x14ac:dyDescent="0.2">
      <c r="B6664">
        <v>5603193</v>
      </c>
      <c r="C6664" t="s">
        <v>9782</v>
      </c>
      <c r="D6664">
        <v>6</v>
      </c>
      <c r="E6664">
        <v>1</v>
      </c>
      <c r="F6664">
        <v>-1</v>
      </c>
      <c r="G6664">
        <v>-1</v>
      </c>
      <c r="H6664">
        <v>576</v>
      </c>
      <c r="I6664">
        <v>0</v>
      </c>
      <c r="J6664">
        <v>4.29</v>
      </c>
      <c r="K6664">
        <v>-4.29</v>
      </c>
    </row>
    <row r="6665" spans="1:12" x14ac:dyDescent="0.2">
      <c r="A6665">
        <v>41618</v>
      </c>
      <c r="B6665">
        <v>5603194</v>
      </c>
      <c r="C6665" t="s">
        <v>9783</v>
      </c>
      <c r="D6665">
        <v>10</v>
      </c>
      <c r="E6665">
        <v>90</v>
      </c>
      <c r="F6665">
        <v>0</v>
      </c>
      <c r="G6665">
        <v>0</v>
      </c>
      <c r="H6665">
        <v>72</v>
      </c>
      <c r="I6665">
        <v>0</v>
      </c>
      <c r="J6665">
        <v>0.79</v>
      </c>
      <c r="K6665">
        <v>0</v>
      </c>
    </row>
    <row r="6666" spans="1:12" x14ac:dyDescent="0.2">
      <c r="B6666">
        <v>5603197</v>
      </c>
      <c r="C6666" t="s">
        <v>9784</v>
      </c>
      <c r="D6666">
        <v>11</v>
      </c>
      <c r="E6666">
        <v>12</v>
      </c>
      <c r="F6666">
        <v>0</v>
      </c>
      <c r="G6666">
        <v>0</v>
      </c>
      <c r="H6666">
        <v>48</v>
      </c>
      <c r="I6666">
        <v>0</v>
      </c>
      <c r="J6666">
        <v>2.99</v>
      </c>
      <c r="K6666">
        <v>0</v>
      </c>
    </row>
    <row r="6667" spans="1:12" x14ac:dyDescent="0.2">
      <c r="A6667">
        <v>32507</v>
      </c>
      <c r="B6667">
        <v>5603205</v>
      </c>
      <c r="C6667" t="s">
        <v>9785</v>
      </c>
      <c r="D6667">
        <v>10</v>
      </c>
      <c r="E6667">
        <v>8</v>
      </c>
      <c r="F6667">
        <v>0</v>
      </c>
      <c r="G6667">
        <v>0</v>
      </c>
      <c r="H6667">
        <v>64</v>
      </c>
      <c r="I6667">
        <v>0</v>
      </c>
      <c r="J6667">
        <v>4.99</v>
      </c>
      <c r="K6667">
        <v>0</v>
      </c>
    </row>
    <row r="6668" spans="1:12" x14ac:dyDescent="0.2">
      <c r="A6668">
        <v>66100</v>
      </c>
      <c r="B6668">
        <v>5603206</v>
      </c>
      <c r="C6668" t="s">
        <v>9786</v>
      </c>
      <c r="D6668">
        <v>7</v>
      </c>
      <c r="E6668">
        <v>16</v>
      </c>
      <c r="F6668">
        <v>119</v>
      </c>
      <c r="G6668">
        <v>1899</v>
      </c>
      <c r="H6668">
        <v>60</v>
      </c>
      <c r="I6668">
        <v>2</v>
      </c>
      <c r="J6668">
        <v>1.59</v>
      </c>
      <c r="K6668">
        <v>3019.41</v>
      </c>
    </row>
    <row r="6669" spans="1:12" x14ac:dyDescent="0.2">
      <c r="B6669">
        <v>5603212</v>
      </c>
      <c r="C6669" t="s">
        <v>9787</v>
      </c>
      <c r="D6669">
        <v>11</v>
      </c>
      <c r="E6669">
        <v>6</v>
      </c>
      <c r="F6669">
        <v>0</v>
      </c>
      <c r="G6669">
        <v>0</v>
      </c>
      <c r="H6669">
        <v>105</v>
      </c>
      <c r="I6669">
        <v>0</v>
      </c>
      <c r="J6669">
        <v>4.99</v>
      </c>
      <c r="K6669">
        <v>0</v>
      </c>
    </row>
    <row r="6670" spans="1:12" x14ac:dyDescent="0.2">
      <c r="B6670">
        <v>5603214</v>
      </c>
      <c r="C6670" t="s">
        <v>9788</v>
      </c>
      <c r="D6670">
        <v>12</v>
      </c>
      <c r="E6670">
        <v>6</v>
      </c>
      <c r="F6670">
        <v>0</v>
      </c>
      <c r="G6670">
        <v>0</v>
      </c>
      <c r="H6670">
        <v>100</v>
      </c>
      <c r="I6670">
        <v>0</v>
      </c>
      <c r="J6670">
        <v>3</v>
      </c>
      <c r="K6670">
        <v>0</v>
      </c>
      <c r="L6670" t="s">
        <v>3699</v>
      </c>
    </row>
    <row r="6671" spans="1:12" x14ac:dyDescent="0.2">
      <c r="B6671">
        <v>5603222</v>
      </c>
      <c r="C6671" t="s">
        <v>9789</v>
      </c>
      <c r="D6671">
        <v>11</v>
      </c>
      <c r="E6671">
        <v>6</v>
      </c>
      <c r="F6671">
        <v>0</v>
      </c>
      <c r="G6671">
        <v>0</v>
      </c>
      <c r="H6671">
        <v>100</v>
      </c>
      <c r="I6671">
        <v>0</v>
      </c>
      <c r="J6671">
        <v>2.39</v>
      </c>
      <c r="K6671">
        <v>0</v>
      </c>
    </row>
    <row r="6672" spans="1:12" x14ac:dyDescent="0.2">
      <c r="B6672">
        <v>5603231</v>
      </c>
      <c r="C6672" t="s">
        <v>9790</v>
      </c>
      <c r="D6672">
        <v>11</v>
      </c>
      <c r="E6672">
        <v>1</v>
      </c>
      <c r="F6672">
        <v>1</v>
      </c>
      <c r="G6672">
        <v>1</v>
      </c>
      <c r="H6672">
        <v>544</v>
      </c>
      <c r="I6672">
        <v>0</v>
      </c>
      <c r="J6672">
        <v>3.99</v>
      </c>
      <c r="K6672">
        <v>3.99</v>
      </c>
    </row>
    <row r="6673" spans="1:11" x14ac:dyDescent="0.2">
      <c r="B6673">
        <v>5603235</v>
      </c>
      <c r="C6673" t="s">
        <v>9791</v>
      </c>
      <c r="D6673">
        <v>11</v>
      </c>
      <c r="E6673">
        <v>1</v>
      </c>
      <c r="F6673">
        <v>0</v>
      </c>
      <c r="G6673">
        <v>0</v>
      </c>
      <c r="H6673">
        <v>480</v>
      </c>
      <c r="I6673">
        <v>0</v>
      </c>
      <c r="J6673">
        <v>4.99</v>
      </c>
      <c r="K6673">
        <v>0</v>
      </c>
    </row>
    <row r="6674" spans="1:11" x14ac:dyDescent="0.2">
      <c r="A6674">
        <v>91046</v>
      </c>
      <c r="B6674">
        <v>5603236</v>
      </c>
      <c r="C6674" t="s">
        <v>9792</v>
      </c>
      <c r="D6674">
        <v>8</v>
      </c>
      <c r="E6674">
        <v>1</v>
      </c>
      <c r="F6674">
        <v>457</v>
      </c>
      <c r="G6674">
        <v>457</v>
      </c>
      <c r="H6674">
        <v>40</v>
      </c>
      <c r="I6674">
        <v>11.4</v>
      </c>
      <c r="J6674">
        <v>4.49</v>
      </c>
      <c r="K6674">
        <v>2051.9299999999998</v>
      </c>
    </row>
    <row r="6675" spans="1:11" x14ac:dyDescent="0.2">
      <c r="B6675">
        <v>5603246</v>
      </c>
      <c r="C6675" t="s">
        <v>9793</v>
      </c>
      <c r="D6675">
        <v>11</v>
      </c>
      <c r="E6675">
        <v>24</v>
      </c>
      <c r="F6675">
        <v>0</v>
      </c>
      <c r="G6675">
        <v>0</v>
      </c>
      <c r="H6675">
        <v>140</v>
      </c>
      <c r="I6675">
        <v>0</v>
      </c>
      <c r="J6675">
        <v>1.99</v>
      </c>
      <c r="K6675">
        <v>0</v>
      </c>
    </row>
    <row r="6676" spans="1:11" x14ac:dyDescent="0.2">
      <c r="B6676">
        <v>5603252</v>
      </c>
      <c r="C6676" t="s">
        <v>9794</v>
      </c>
      <c r="D6676">
        <v>11</v>
      </c>
      <c r="E6676">
        <v>12</v>
      </c>
      <c r="F6676">
        <v>0</v>
      </c>
      <c r="G6676">
        <v>0</v>
      </c>
      <c r="H6676">
        <v>64</v>
      </c>
      <c r="I6676">
        <v>0</v>
      </c>
      <c r="J6676">
        <v>1.59</v>
      </c>
      <c r="K6676">
        <v>0</v>
      </c>
    </row>
    <row r="6677" spans="1:11" x14ac:dyDescent="0.2">
      <c r="B6677">
        <v>5603274</v>
      </c>
      <c r="C6677" t="s">
        <v>9795</v>
      </c>
      <c r="D6677">
        <v>11</v>
      </c>
      <c r="E6677">
        <v>1</v>
      </c>
      <c r="F6677">
        <v>0</v>
      </c>
      <c r="G6677">
        <v>0</v>
      </c>
      <c r="H6677">
        <v>864</v>
      </c>
      <c r="I6677">
        <v>0</v>
      </c>
      <c r="J6677">
        <v>4.1500000000000004</v>
      </c>
      <c r="K6677">
        <v>0</v>
      </c>
    </row>
    <row r="6678" spans="1:11" x14ac:dyDescent="0.2">
      <c r="B6678">
        <v>5603279</v>
      </c>
      <c r="C6678" t="s">
        <v>9796</v>
      </c>
      <c r="D6678">
        <v>11</v>
      </c>
      <c r="E6678">
        <v>6</v>
      </c>
      <c r="F6678">
        <v>0</v>
      </c>
      <c r="G6678">
        <v>0</v>
      </c>
      <c r="H6678">
        <v>100</v>
      </c>
      <c r="I6678">
        <v>0</v>
      </c>
      <c r="J6678">
        <v>11</v>
      </c>
      <c r="K6678">
        <v>0</v>
      </c>
    </row>
    <row r="6679" spans="1:11" x14ac:dyDescent="0.2">
      <c r="B6679">
        <v>5603283</v>
      </c>
      <c r="C6679" t="s">
        <v>9797</v>
      </c>
      <c r="D6679">
        <v>11</v>
      </c>
      <c r="E6679">
        <v>1</v>
      </c>
      <c r="F6679">
        <v>0</v>
      </c>
      <c r="G6679">
        <v>0</v>
      </c>
      <c r="H6679">
        <v>480</v>
      </c>
      <c r="I6679">
        <v>0</v>
      </c>
      <c r="J6679">
        <v>6.99</v>
      </c>
      <c r="K6679">
        <v>0</v>
      </c>
    </row>
    <row r="6680" spans="1:11" x14ac:dyDescent="0.2">
      <c r="B6680">
        <v>5603284</v>
      </c>
      <c r="C6680" t="s">
        <v>9798</v>
      </c>
      <c r="D6680">
        <v>11</v>
      </c>
      <c r="E6680">
        <v>1</v>
      </c>
      <c r="F6680">
        <v>0</v>
      </c>
      <c r="G6680">
        <v>0</v>
      </c>
      <c r="H6680">
        <v>240</v>
      </c>
      <c r="I6680">
        <v>0</v>
      </c>
      <c r="J6680">
        <v>6.99</v>
      </c>
      <c r="K6680">
        <v>0</v>
      </c>
    </row>
    <row r="6681" spans="1:11" x14ac:dyDescent="0.2">
      <c r="B6681">
        <v>5603297</v>
      </c>
      <c r="C6681" t="s">
        <v>9799</v>
      </c>
      <c r="D6681">
        <v>11</v>
      </c>
      <c r="E6681">
        <v>20</v>
      </c>
      <c r="F6681">
        <v>0</v>
      </c>
      <c r="G6681">
        <v>0</v>
      </c>
      <c r="H6681">
        <v>48</v>
      </c>
      <c r="I6681">
        <v>0</v>
      </c>
      <c r="J6681">
        <v>1.2</v>
      </c>
      <c r="K6681">
        <v>0</v>
      </c>
    </row>
    <row r="6682" spans="1:11" x14ac:dyDescent="0.2">
      <c r="A6682">
        <v>45634</v>
      </c>
      <c r="B6682">
        <v>5603301</v>
      </c>
      <c r="C6682" t="s">
        <v>9800</v>
      </c>
      <c r="D6682">
        <v>10</v>
      </c>
      <c r="E6682">
        <v>6</v>
      </c>
      <c r="F6682">
        <v>3</v>
      </c>
      <c r="G6682">
        <v>18</v>
      </c>
      <c r="H6682">
        <v>105</v>
      </c>
      <c r="I6682">
        <v>0</v>
      </c>
      <c r="J6682">
        <v>2.4900000000000002</v>
      </c>
      <c r="K6682">
        <v>44.82</v>
      </c>
    </row>
    <row r="6683" spans="1:11" x14ac:dyDescent="0.2">
      <c r="B6683">
        <v>5603301</v>
      </c>
      <c r="C6683" t="s">
        <v>9800</v>
      </c>
      <c r="D6683">
        <v>12</v>
      </c>
      <c r="E6683">
        <v>90</v>
      </c>
      <c r="F6683">
        <v>0</v>
      </c>
      <c r="G6683">
        <v>0</v>
      </c>
      <c r="H6683">
        <v>4</v>
      </c>
      <c r="I6683">
        <v>0</v>
      </c>
      <c r="J6683">
        <v>2.4900000000000002</v>
      </c>
      <c r="K6683">
        <v>0</v>
      </c>
    </row>
    <row r="6684" spans="1:11" x14ac:dyDescent="0.2">
      <c r="A6684">
        <v>45506</v>
      </c>
      <c r="B6684">
        <v>5603309</v>
      </c>
      <c r="C6684" t="s">
        <v>9801</v>
      </c>
      <c r="D6684">
        <v>10</v>
      </c>
      <c r="E6684">
        <v>8</v>
      </c>
      <c r="F6684">
        <v>1</v>
      </c>
      <c r="G6684">
        <v>8</v>
      </c>
      <c r="H6684">
        <v>120</v>
      </c>
      <c r="I6684">
        <v>0</v>
      </c>
      <c r="J6684">
        <v>3.99</v>
      </c>
      <c r="K6684">
        <v>31.92</v>
      </c>
    </row>
    <row r="6685" spans="1:11" x14ac:dyDescent="0.2">
      <c r="A6685">
        <v>3502</v>
      </c>
      <c r="B6685">
        <v>5603311</v>
      </c>
      <c r="C6685" t="s">
        <v>9802</v>
      </c>
      <c r="D6685">
        <v>6</v>
      </c>
      <c r="E6685">
        <v>6</v>
      </c>
      <c r="F6685">
        <v>3</v>
      </c>
      <c r="G6685">
        <v>18</v>
      </c>
      <c r="H6685">
        <v>77</v>
      </c>
      <c r="I6685">
        <v>0</v>
      </c>
      <c r="J6685">
        <v>2.4900000000000002</v>
      </c>
      <c r="K6685">
        <v>44.82</v>
      </c>
    </row>
    <row r="6686" spans="1:11" x14ac:dyDescent="0.2">
      <c r="A6686">
        <v>38513</v>
      </c>
      <c r="B6686">
        <v>5603314</v>
      </c>
      <c r="C6686" t="s">
        <v>9803</v>
      </c>
      <c r="D6686">
        <v>10</v>
      </c>
      <c r="E6686">
        <v>6</v>
      </c>
      <c r="F6686">
        <v>-5</v>
      </c>
      <c r="G6686">
        <v>-30</v>
      </c>
      <c r="H6686">
        <v>90</v>
      </c>
      <c r="I6686">
        <v>-0.1</v>
      </c>
      <c r="J6686">
        <v>1.99</v>
      </c>
      <c r="K6686">
        <v>-59.7</v>
      </c>
    </row>
    <row r="6687" spans="1:11" x14ac:dyDescent="0.2">
      <c r="A6687">
        <v>3514</v>
      </c>
      <c r="B6687">
        <v>5603315</v>
      </c>
      <c r="C6687" t="s">
        <v>9804</v>
      </c>
      <c r="D6687">
        <v>6</v>
      </c>
      <c r="E6687">
        <v>6</v>
      </c>
      <c r="F6687">
        <v>0</v>
      </c>
      <c r="G6687">
        <v>0</v>
      </c>
      <c r="H6687">
        <v>90</v>
      </c>
      <c r="I6687">
        <v>0</v>
      </c>
      <c r="J6687">
        <v>1.99</v>
      </c>
      <c r="K6687">
        <v>0</v>
      </c>
    </row>
    <row r="6688" spans="1:11" x14ac:dyDescent="0.2">
      <c r="A6688">
        <v>91090</v>
      </c>
      <c r="B6688">
        <v>5603345</v>
      </c>
      <c r="C6688" t="s">
        <v>9805</v>
      </c>
      <c r="D6688">
        <v>8</v>
      </c>
      <c r="E6688">
        <v>1</v>
      </c>
      <c r="F6688">
        <v>376</v>
      </c>
      <c r="G6688">
        <v>376</v>
      </c>
      <c r="H6688">
        <v>640</v>
      </c>
      <c r="I6688">
        <v>0.6</v>
      </c>
      <c r="J6688">
        <v>5.29</v>
      </c>
      <c r="K6688">
        <v>1989.04</v>
      </c>
    </row>
    <row r="6689" spans="1:12" x14ac:dyDescent="0.2">
      <c r="A6689">
        <v>91078</v>
      </c>
      <c r="B6689">
        <v>5603346</v>
      </c>
      <c r="C6689" t="s">
        <v>9806</v>
      </c>
      <c r="D6689">
        <v>8</v>
      </c>
      <c r="E6689">
        <v>1</v>
      </c>
      <c r="F6689">
        <v>536</v>
      </c>
      <c r="G6689">
        <v>536</v>
      </c>
      <c r="H6689">
        <v>1280</v>
      </c>
      <c r="I6689">
        <v>0.4</v>
      </c>
      <c r="J6689">
        <v>4.99</v>
      </c>
      <c r="K6689">
        <v>2674.64</v>
      </c>
    </row>
    <row r="6690" spans="1:12" x14ac:dyDescent="0.2">
      <c r="B6690">
        <v>5603350</v>
      </c>
      <c r="C6690" t="s">
        <v>9807</v>
      </c>
      <c r="D6690">
        <v>11</v>
      </c>
      <c r="E6690">
        <v>1</v>
      </c>
      <c r="F6690">
        <v>0</v>
      </c>
      <c r="G6690">
        <v>0</v>
      </c>
      <c r="H6690">
        <v>768</v>
      </c>
      <c r="I6690">
        <v>0</v>
      </c>
      <c r="J6690">
        <v>2.99</v>
      </c>
      <c r="K6690">
        <v>0</v>
      </c>
    </row>
    <row r="6691" spans="1:12" x14ac:dyDescent="0.2">
      <c r="B6691">
        <v>5603355</v>
      </c>
      <c r="C6691" t="s">
        <v>9808</v>
      </c>
      <c r="D6691">
        <v>6</v>
      </c>
      <c r="E6691">
        <v>1</v>
      </c>
      <c r="F6691">
        <v>134</v>
      </c>
      <c r="G6691">
        <v>134</v>
      </c>
      <c r="H6691">
        <v>432</v>
      </c>
      <c r="I6691">
        <v>0.3</v>
      </c>
      <c r="J6691">
        <v>4.79</v>
      </c>
      <c r="K6691">
        <v>641.86</v>
      </c>
    </row>
    <row r="6692" spans="1:12" x14ac:dyDescent="0.2">
      <c r="A6692">
        <v>83164</v>
      </c>
      <c r="B6692">
        <v>5603359</v>
      </c>
      <c r="C6692" t="s">
        <v>9809</v>
      </c>
      <c r="D6692">
        <v>9</v>
      </c>
      <c r="E6692">
        <v>6</v>
      </c>
      <c r="F6692">
        <v>6</v>
      </c>
      <c r="G6692">
        <v>36</v>
      </c>
      <c r="H6692">
        <v>64</v>
      </c>
      <c r="I6692">
        <v>0.1</v>
      </c>
      <c r="J6692">
        <v>1.95</v>
      </c>
      <c r="K6692">
        <v>70.2</v>
      </c>
    </row>
    <row r="6693" spans="1:12" x14ac:dyDescent="0.2">
      <c r="A6693">
        <v>83177</v>
      </c>
      <c r="B6693">
        <v>5603360</v>
      </c>
      <c r="C6693" t="s">
        <v>9810</v>
      </c>
      <c r="D6693">
        <v>8</v>
      </c>
      <c r="E6693">
        <v>6</v>
      </c>
      <c r="F6693">
        <v>331</v>
      </c>
      <c r="G6693">
        <v>1986</v>
      </c>
      <c r="H6693">
        <v>80</v>
      </c>
      <c r="I6693">
        <v>4.0999999999999996</v>
      </c>
      <c r="J6693">
        <v>1.83</v>
      </c>
      <c r="K6693">
        <v>3634.38</v>
      </c>
    </row>
    <row r="6694" spans="1:12" x14ac:dyDescent="0.2">
      <c r="A6694">
        <v>83197</v>
      </c>
      <c r="B6694">
        <v>5603363</v>
      </c>
      <c r="C6694" t="s">
        <v>9811</v>
      </c>
      <c r="D6694">
        <v>8</v>
      </c>
      <c r="E6694">
        <v>6</v>
      </c>
      <c r="F6694">
        <v>471</v>
      </c>
      <c r="G6694">
        <v>2826</v>
      </c>
      <c r="H6694">
        <v>80</v>
      </c>
      <c r="I6694">
        <v>5.9</v>
      </c>
      <c r="J6694">
        <v>1.69</v>
      </c>
      <c r="K6694">
        <v>4775.9399999999996</v>
      </c>
    </row>
    <row r="6695" spans="1:12" x14ac:dyDescent="0.2">
      <c r="A6695">
        <v>83182</v>
      </c>
      <c r="B6695">
        <v>5603364</v>
      </c>
      <c r="C6695" t="s">
        <v>9812</v>
      </c>
      <c r="D6695">
        <v>8</v>
      </c>
      <c r="E6695">
        <v>6</v>
      </c>
      <c r="F6695">
        <v>412</v>
      </c>
      <c r="G6695">
        <v>2472</v>
      </c>
      <c r="H6695">
        <v>80</v>
      </c>
      <c r="I6695">
        <v>5.2</v>
      </c>
      <c r="J6695">
        <v>1.95</v>
      </c>
      <c r="K6695">
        <v>4820.3999999999996</v>
      </c>
    </row>
    <row r="6696" spans="1:12" x14ac:dyDescent="0.2">
      <c r="B6696">
        <v>5603370</v>
      </c>
      <c r="C6696" t="s">
        <v>9813</v>
      </c>
      <c r="D6696">
        <v>11</v>
      </c>
      <c r="E6696">
        <v>10</v>
      </c>
      <c r="F6696">
        <v>-3</v>
      </c>
      <c r="G6696">
        <v>-30</v>
      </c>
      <c r="H6696">
        <v>60</v>
      </c>
      <c r="I6696">
        <v>-0.1</v>
      </c>
      <c r="J6696">
        <v>1.05</v>
      </c>
      <c r="K6696">
        <v>-31.5</v>
      </c>
    </row>
    <row r="6697" spans="1:12" x14ac:dyDescent="0.2">
      <c r="A6697">
        <v>91047</v>
      </c>
      <c r="B6697">
        <v>5603373</v>
      </c>
      <c r="C6697" t="s">
        <v>9814</v>
      </c>
      <c r="D6697">
        <v>8</v>
      </c>
      <c r="E6697">
        <v>1</v>
      </c>
      <c r="F6697">
        <v>546</v>
      </c>
      <c r="G6697">
        <v>546</v>
      </c>
      <c r="H6697">
        <v>480</v>
      </c>
      <c r="I6697">
        <v>1.1000000000000001</v>
      </c>
      <c r="J6697">
        <v>4.79</v>
      </c>
      <c r="K6697">
        <v>2615.34</v>
      </c>
    </row>
    <row r="6698" spans="1:12" x14ac:dyDescent="0.2">
      <c r="B6698">
        <v>5603374</v>
      </c>
      <c r="C6698" t="s">
        <v>9815</v>
      </c>
      <c r="D6698">
        <v>12</v>
      </c>
      <c r="E6698">
        <v>1</v>
      </c>
      <c r="F6698">
        <v>0</v>
      </c>
      <c r="G6698">
        <v>0</v>
      </c>
      <c r="H6698">
        <v>480</v>
      </c>
      <c r="I6698">
        <v>0</v>
      </c>
      <c r="J6698">
        <v>4.79</v>
      </c>
      <c r="K6698">
        <v>0</v>
      </c>
    </row>
    <row r="6699" spans="1:12" x14ac:dyDescent="0.2">
      <c r="B6699">
        <v>5603379</v>
      </c>
      <c r="C6699" t="s">
        <v>9816</v>
      </c>
      <c r="D6699">
        <v>12</v>
      </c>
      <c r="E6699">
        <v>6</v>
      </c>
      <c r="F6699">
        <v>0</v>
      </c>
      <c r="G6699">
        <v>0</v>
      </c>
      <c r="H6699">
        <v>77</v>
      </c>
      <c r="I6699">
        <v>0</v>
      </c>
      <c r="J6699">
        <v>15.99</v>
      </c>
      <c r="K6699">
        <v>0</v>
      </c>
      <c r="L6699" t="s">
        <v>3699</v>
      </c>
    </row>
    <row r="6700" spans="1:12" x14ac:dyDescent="0.2">
      <c r="B6700">
        <v>5603380</v>
      </c>
      <c r="C6700" t="s">
        <v>9817</v>
      </c>
      <c r="D6700">
        <v>12</v>
      </c>
      <c r="E6700">
        <v>6</v>
      </c>
      <c r="F6700">
        <v>0</v>
      </c>
      <c r="G6700">
        <v>0</v>
      </c>
      <c r="H6700">
        <v>105</v>
      </c>
      <c r="I6700">
        <v>0</v>
      </c>
      <c r="J6700">
        <v>7</v>
      </c>
      <c r="K6700">
        <v>0</v>
      </c>
      <c r="L6700" t="s">
        <v>3699</v>
      </c>
    </row>
    <row r="6701" spans="1:12" x14ac:dyDescent="0.2">
      <c r="B6701">
        <v>5603382</v>
      </c>
      <c r="C6701" t="s">
        <v>9818</v>
      </c>
      <c r="D6701">
        <v>11</v>
      </c>
      <c r="E6701">
        <v>6</v>
      </c>
      <c r="F6701">
        <v>0</v>
      </c>
      <c r="G6701">
        <v>0</v>
      </c>
      <c r="H6701">
        <v>80</v>
      </c>
      <c r="I6701">
        <v>0</v>
      </c>
      <c r="J6701">
        <v>34.99</v>
      </c>
      <c r="K6701">
        <v>0</v>
      </c>
    </row>
    <row r="6702" spans="1:12" x14ac:dyDescent="0.2">
      <c r="A6702">
        <v>87031</v>
      </c>
      <c r="B6702">
        <v>5603409</v>
      </c>
      <c r="C6702" t="s">
        <v>9819</v>
      </c>
      <c r="D6702">
        <v>8</v>
      </c>
      <c r="E6702">
        <v>12</v>
      </c>
      <c r="F6702">
        <v>252</v>
      </c>
      <c r="G6702">
        <v>3024</v>
      </c>
      <c r="H6702">
        <v>84</v>
      </c>
      <c r="I6702">
        <v>3</v>
      </c>
      <c r="J6702">
        <v>2.79</v>
      </c>
      <c r="K6702">
        <v>8436.9599999999991</v>
      </c>
    </row>
    <row r="6703" spans="1:12" x14ac:dyDescent="0.2">
      <c r="A6703">
        <v>87035</v>
      </c>
      <c r="B6703">
        <v>5603410</v>
      </c>
      <c r="C6703" t="s">
        <v>9820</v>
      </c>
      <c r="D6703">
        <v>8</v>
      </c>
      <c r="E6703">
        <v>12</v>
      </c>
      <c r="F6703">
        <v>252</v>
      </c>
      <c r="G6703">
        <v>3024</v>
      </c>
      <c r="H6703">
        <v>84</v>
      </c>
      <c r="I6703">
        <v>3</v>
      </c>
      <c r="J6703">
        <v>2.79</v>
      </c>
      <c r="K6703">
        <v>8436.9599999999991</v>
      </c>
    </row>
    <row r="6704" spans="1:12" x14ac:dyDescent="0.2">
      <c r="A6704">
        <v>1513</v>
      </c>
      <c r="B6704">
        <v>5603420</v>
      </c>
      <c r="C6704" t="s">
        <v>9821</v>
      </c>
      <c r="D6704">
        <v>6</v>
      </c>
      <c r="E6704">
        <v>6</v>
      </c>
      <c r="F6704">
        <v>2</v>
      </c>
      <c r="G6704">
        <v>12</v>
      </c>
      <c r="H6704">
        <v>80</v>
      </c>
      <c r="I6704">
        <v>0</v>
      </c>
      <c r="J6704">
        <v>2.19</v>
      </c>
      <c r="K6704">
        <v>26.28</v>
      </c>
    </row>
    <row r="6705" spans="1:11" x14ac:dyDescent="0.2">
      <c r="A6705">
        <v>3505</v>
      </c>
      <c r="B6705">
        <v>5603428</v>
      </c>
      <c r="C6705" t="s">
        <v>9822</v>
      </c>
      <c r="D6705">
        <v>6</v>
      </c>
      <c r="E6705">
        <v>10</v>
      </c>
      <c r="F6705">
        <v>3</v>
      </c>
      <c r="G6705">
        <v>30</v>
      </c>
      <c r="H6705">
        <v>112</v>
      </c>
      <c r="I6705">
        <v>0</v>
      </c>
      <c r="J6705">
        <v>1.19</v>
      </c>
      <c r="K6705">
        <v>35.700000000000003</v>
      </c>
    </row>
    <row r="6706" spans="1:11" x14ac:dyDescent="0.2">
      <c r="B6706">
        <v>5603432</v>
      </c>
      <c r="C6706" t="s">
        <v>9823</v>
      </c>
      <c r="D6706">
        <v>11</v>
      </c>
      <c r="E6706">
        <v>12</v>
      </c>
      <c r="F6706">
        <v>0</v>
      </c>
      <c r="G6706">
        <v>0</v>
      </c>
      <c r="H6706">
        <v>64</v>
      </c>
      <c r="I6706">
        <v>0</v>
      </c>
      <c r="J6706">
        <v>2.69</v>
      </c>
      <c r="K6706">
        <v>0</v>
      </c>
    </row>
    <row r="6707" spans="1:11" x14ac:dyDescent="0.2">
      <c r="A6707">
        <v>91005</v>
      </c>
      <c r="B6707">
        <v>5603433</v>
      </c>
      <c r="C6707" t="s">
        <v>9824</v>
      </c>
      <c r="D6707">
        <v>8</v>
      </c>
      <c r="E6707">
        <v>1</v>
      </c>
      <c r="F6707">
        <v>1208</v>
      </c>
      <c r="G6707">
        <v>1208</v>
      </c>
      <c r="H6707">
        <v>480</v>
      </c>
      <c r="I6707">
        <v>2.5</v>
      </c>
      <c r="J6707">
        <v>3.29</v>
      </c>
      <c r="K6707">
        <v>3974.32</v>
      </c>
    </row>
    <row r="6708" spans="1:11" x14ac:dyDescent="0.2">
      <c r="A6708">
        <v>91009</v>
      </c>
      <c r="B6708">
        <v>5603434</v>
      </c>
      <c r="C6708" t="s">
        <v>9825</v>
      </c>
      <c r="D6708">
        <v>8</v>
      </c>
      <c r="E6708">
        <v>1</v>
      </c>
      <c r="F6708">
        <v>1488</v>
      </c>
      <c r="G6708">
        <v>1488</v>
      </c>
      <c r="H6708">
        <v>480</v>
      </c>
      <c r="I6708">
        <v>3.1</v>
      </c>
      <c r="J6708">
        <v>3.19</v>
      </c>
      <c r="K6708">
        <v>4746.72</v>
      </c>
    </row>
    <row r="6709" spans="1:11" x14ac:dyDescent="0.2">
      <c r="B6709">
        <v>5603438</v>
      </c>
      <c r="C6709" t="s">
        <v>9826</v>
      </c>
      <c r="D6709">
        <v>12</v>
      </c>
      <c r="E6709">
        <v>6</v>
      </c>
      <c r="F6709">
        <v>0</v>
      </c>
      <c r="G6709">
        <v>0</v>
      </c>
      <c r="H6709">
        <v>96</v>
      </c>
      <c r="I6709">
        <v>0</v>
      </c>
      <c r="J6709">
        <v>4.2</v>
      </c>
      <c r="K6709">
        <v>0</v>
      </c>
    </row>
    <row r="6710" spans="1:11" x14ac:dyDescent="0.2">
      <c r="A6710">
        <v>57614</v>
      </c>
      <c r="B6710">
        <v>5603443</v>
      </c>
      <c r="C6710" t="s">
        <v>9827</v>
      </c>
      <c r="D6710">
        <v>10</v>
      </c>
      <c r="E6710">
        <v>6</v>
      </c>
      <c r="F6710">
        <v>13</v>
      </c>
      <c r="G6710">
        <v>75</v>
      </c>
      <c r="H6710">
        <v>96</v>
      </c>
      <c r="I6710">
        <v>0.1</v>
      </c>
      <c r="J6710">
        <v>1.99</v>
      </c>
      <c r="K6710">
        <v>149.25</v>
      </c>
    </row>
    <row r="6711" spans="1:11" x14ac:dyDescent="0.2">
      <c r="A6711">
        <v>91118</v>
      </c>
      <c r="B6711">
        <v>5603448</v>
      </c>
      <c r="C6711" t="s">
        <v>9828</v>
      </c>
      <c r="D6711">
        <v>8</v>
      </c>
      <c r="E6711">
        <v>4</v>
      </c>
      <c r="F6711">
        <v>144</v>
      </c>
      <c r="G6711">
        <v>576</v>
      </c>
      <c r="H6711">
        <v>50</v>
      </c>
      <c r="I6711">
        <v>2.9</v>
      </c>
      <c r="J6711">
        <v>2.99</v>
      </c>
      <c r="K6711">
        <v>1722.24</v>
      </c>
    </row>
    <row r="6712" spans="1:11" x14ac:dyDescent="0.2">
      <c r="A6712">
        <v>28518</v>
      </c>
      <c r="B6712">
        <v>5603459</v>
      </c>
      <c r="C6712" t="s">
        <v>9829</v>
      </c>
      <c r="D6712">
        <v>10</v>
      </c>
      <c r="E6712">
        <v>6</v>
      </c>
      <c r="F6712">
        <v>0</v>
      </c>
      <c r="G6712">
        <v>0</v>
      </c>
      <c r="H6712">
        <v>63</v>
      </c>
      <c r="I6712">
        <v>0</v>
      </c>
      <c r="J6712">
        <v>1.79</v>
      </c>
      <c r="K6712">
        <v>0</v>
      </c>
    </row>
    <row r="6713" spans="1:11" x14ac:dyDescent="0.2">
      <c r="A6713">
        <v>41512</v>
      </c>
      <c r="B6713">
        <v>5603460</v>
      </c>
      <c r="C6713" t="s">
        <v>9830</v>
      </c>
      <c r="D6713">
        <v>10</v>
      </c>
      <c r="E6713">
        <v>6</v>
      </c>
      <c r="F6713">
        <v>-1</v>
      </c>
      <c r="G6713">
        <v>-6</v>
      </c>
      <c r="H6713">
        <v>84</v>
      </c>
      <c r="I6713">
        <v>0</v>
      </c>
      <c r="J6713">
        <v>2.29</v>
      </c>
      <c r="K6713">
        <v>-13.74</v>
      </c>
    </row>
    <row r="6714" spans="1:11" x14ac:dyDescent="0.2">
      <c r="B6714">
        <v>5603461</v>
      </c>
      <c r="C6714" t="s">
        <v>9831</v>
      </c>
      <c r="D6714">
        <v>11</v>
      </c>
      <c r="E6714">
        <v>6</v>
      </c>
      <c r="F6714">
        <v>0</v>
      </c>
      <c r="G6714">
        <v>0</v>
      </c>
      <c r="H6714">
        <v>63</v>
      </c>
      <c r="I6714">
        <v>0</v>
      </c>
      <c r="J6714">
        <v>2.69</v>
      </c>
      <c r="K6714">
        <v>0</v>
      </c>
    </row>
    <row r="6715" spans="1:11" x14ac:dyDescent="0.2">
      <c r="A6715">
        <v>89050</v>
      </c>
      <c r="B6715">
        <v>5603466</v>
      </c>
      <c r="C6715" t="s">
        <v>4417</v>
      </c>
      <c r="D6715">
        <v>8</v>
      </c>
      <c r="E6715">
        <v>8</v>
      </c>
      <c r="F6715">
        <v>70</v>
      </c>
      <c r="G6715">
        <v>560</v>
      </c>
      <c r="H6715">
        <v>70</v>
      </c>
      <c r="I6715">
        <v>1</v>
      </c>
      <c r="J6715">
        <v>3.89</v>
      </c>
      <c r="K6715">
        <v>2178.4</v>
      </c>
    </row>
    <row r="6716" spans="1:11" x14ac:dyDescent="0.2">
      <c r="B6716">
        <v>5603555</v>
      </c>
      <c r="C6716" t="s">
        <v>9832</v>
      </c>
      <c r="D6716">
        <v>11</v>
      </c>
      <c r="E6716">
        <v>6</v>
      </c>
      <c r="F6716">
        <v>0</v>
      </c>
      <c r="G6716">
        <v>0</v>
      </c>
      <c r="H6716">
        <v>105</v>
      </c>
      <c r="I6716">
        <v>0</v>
      </c>
      <c r="J6716">
        <v>3.99</v>
      </c>
      <c r="K6716">
        <v>0</v>
      </c>
    </row>
    <row r="6717" spans="1:11" x14ac:dyDescent="0.2">
      <c r="B6717">
        <v>5603561</v>
      </c>
      <c r="C6717" t="s">
        <v>9833</v>
      </c>
      <c r="D6717">
        <v>11</v>
      </c>
      <c r="E6717">
        <v>6</v>
      </c>
      <c r="F6717">
        <v>-1</v>
      </c>
      <c r="G6717">
        <v>-6</v>
      </c>
      <c r="H6717">
        <v>100</v>
      </c>
      <c r="I6717">
        <v>0</v>
      </c>
      <c r="J6717">
        <v>8.99</v>
      </c>
      <c r="K6717">
        <v>-53.94</v>
      </c>
    </row>
    <row r="6718" spans="1:11" x14ac:dyDescent="0.2">
      <c r="B6718">
        <v>5603584</v>
      </c>
      <c r="C6718" t="s">
        <v>9834</v>
      </c>
      <c r="D6718">
        <v>11</v>
      </c>
      <c r="E6718">
        <v>6</v>
      </c>
      <c r="F6718">
        <v>0</v>
      </c>
      <c r="G6718">
        <v>0</v>
      </c>
      <c r="H6718">
        <v>80</v>
      </c>
      <c r="I6718">
        <v>0</v>
      </c>
      <c r="J6718">
        <v>11</v>
      </c>
      <c r="K6718">
        <v>0</v>
      </c>
    </row>
    <row r="6719" spans="1:11" x14ac:dyDescent="0.2">
      <c r="B6719">
        <v>5603585</v>
      </c>
      <c r="C6719" t="s">
        <v>9835</v>
      </c>
      <c r="D6719">
        <v>11</v>
      </c>
      <c r="E6719">
        <v>12</v>
      </c>
      <c r="F6719">
        <v>0</v>
      </c>
      <c r="G6719">
        <v>0</v>
      </c>
      <c r="H6719">
        <v>70</v>
      </c>
      <c r="I6719">
        <v>0</v>
      </c>
      <c r="J6719">
        <v>6.99</v>
      </c>
      <c r="K6719">
        <v>0</v>
      </c>
    </row>
    <row r="6720" spans="1:11" x14ac:dyDescent="0.2">
      <c r="B6720">
        <v>5603590</v>
      </c>
      <c r="C6720" t="s">
        <v>9836</v>
      </c>
      <c r="D6720">
        <v>11</v>
      </c>
      <c r="E6720">
        <v>6</v>
      </c>
      <c r="F6720">
        <v>1</v>
      </c>
      <c r="G6720">
        <v>6</v>
      </c>
      <c r="H6720">
        <v>100</v>
      </c>
      <c r="I6720">
        <v>0</v>
      </c>
      <c r="J6720">
        <v>12.99</v>
      </c>
      <c r="K6720">
        <v>77.94</v>
      </c>
    </row>
    <row r="6721" spans="1:11" x14ac:dyDescent="0.2">
      <c r="A6721">
        <v>51607</v>
      </c>
      <c r="B6721">
        <v>5603592</v>
      </c>
      <c r="C6721" t="s">
        <v>9837</v>
      </c>
      <c r="D6721">
        <v>10</v>
      </c>
      <c r="E6721">
        <v>6</v>
      </c>
      <c r="F6721">
        <v>0</v>
      </c>
      <c r="G6721">
        <v>0</v>
      </c>
      <c r="H6721">
        <v>105</v>
      </c>
      <c r="I6721">
        <v>0</v>
      </c>
      <c r="J6721">
        <v>11.99</v>
      </c>
      <c r="K6721">
        <v>0</v>
      </c>
    </row>
    <row r="6722" spans="1:11" x14ac:dyDescent="0.2">
      <c r="B6722">
        <v>5603641</v>
      </c>
      <c r="C6722" t="s">
        <v>9838</v>
      </c>
      <c r="D6722">
        <v>10</v>
      </c>
      <c r="E6722">
        <v>6</v>
      </c>
      <c r="F6722">
        <v>-8</v>
      </c>
      <c r="G6722">
        <v>-48</v>
      </c>
      <c r="H6722">
        <v>100</v>
      </c>
      <c r="I6722">
        <v>-0.1</v>
      </c>
      <c r="J6722">
        <v>3.99</v>
      </c>
      <c r="K6722">
        <v>-191.52</v>
      </c>
    </row>
    <row r="6723" spans="1:11" x14ac:dyDescent="0.2">
      <c r="B6723">
        <v>5603688</v>
      </c>
      <c r="C6723" t="s">
        <v>9839</v>
      </c>
      <c r="D6723">
        <v>10</v>
      </c>
      <c r="E6723">
        <v>6</v>
      </c>
      <c r="F6723">
        <v>0</v>
      </c>
      <c r="G6723">
        <v>0</v>
      </c>
      <c r="H6723">
        <v>80</v>
      </c>
      <c r="I6723">
        <v>0</v>
      </c>
      <c r="J6723">
        <v>25.95</v>
      </c>
      <c r="K6723">
        <v>0</v>
      </c>
    </row>
    <row r="6724" spans="1:11" x14ac:dyDescent="0.2">
      <c r="B6724">
        <v>5603704</v>
      </c>
      <c r="C6724" t="s">
        <v>9840</v>
      </c>
      <c r="D6724">
        <v>10</v>
      </c>
      <c r="E6724">
        <v>6</v>
      </c>
      <c r="F6724">
        <v>0</v>
      </c>
      <c r="G6724">
        <v>0</v>
      </c>
      <c r="H6724">
        <v>80</v>
      </c>
      <c r="I6724">
        <v>0</v>
      </c>
      <c r="J6724">
        <v>12.89</v>
      </c>
      <c r="K6724">
        <v>0</v>
      </c>
    </row>
    <row r="6725" spans="1:11" x14ac:dyDescent="0.2">
      <c r="B6725">
        <v>5603708</v>
      </c>
      <c r="C6725" t="s">
        <v>9841</v>
      </c>
      <c r="D6725">
        <v>11</v>
      </c>
      <c r="E6725">
        <v>6</v>
      </c>
      <c r="F6725">
        <v>0</v>
      </c>
      <c r="G6725">
        <v>0</v>
      </c>
      <c r="H6725">
        <v>100</v>
      </c>
      <c r="I6725">
        <v>0</v>
      </c>
      <c r="J6725">
        <v>3.99</v>
      </c>
      <c r="K6725">
        <v>0</v>
      </c>
    </row>
    <row r="6726" spans="1:11" x14ac:dyDescent="0.2">
      <c r="A6726">
        <v>61171</v>
      </c>
      <c r="B6726">
        <v>5603744</v>
      </c>
      <c r="C6726" t="s">
        <v>9842</v>
      </c>
      <c r="D6726">
        <v>8</v>
      </c>
      <c r="E6726">
        <v>6</v>
      </c>
      <c r="F6726">
        <v>515</v>
      </c>
      <c r="G6726">
        <v>3090</v>
      </c>
      <c r="H6726">
        <v>105</v>
      </c>
      <c r="I6726">
        <v>4.9000000000000004</v>
      </c>
      <c r="J6726">
        <v>3.65</v>
      </c>
      <c r="K6726">
        <v>11278.5</v>
      </c>
    </row>
    <row r="6727" spans="1:11" x14ac:dyDescent="0.2">
      <c r="A6727">
        <v>31646</v>
      </c>
      <c r="B6727">
        <v>5603755</v>
      </c>
      <c r="C6727" t="s">
        <v>9843</v>
      </c>
      <c r="D6727">
        <v>10</v>
      </c>
      <c r="E6727">
        <v>6</v>
      </c>
      <c r="F6727">
        <v>0</v>
      </c>
      <c r="G6727">
        <v>0</v>
      </c>
      <c r="H6727">
        <v>105</v>
      </c>
      <c r="I6727">
        <v>0</v>
      </c>
      <c r="J6727">
        <v>5.29</v>
      </c>
      <c r="K6727">
        <v>0</v>
      </c>
    </row>
    <row r="6728" spans="1:11" x14ac:dyDescent="0.2">
      <c r="B6728">
        <v>5603756</v>
      </c>
      <c r="C6728" t="s">
        <v>9844</v>
      </c>
      <c r="D6728">
        <v>11</v>
      </c>
      <c r="E6728">
        <v>6</v>
      </c>
      <c r="F6728">
        <v>0</v>
      </c>
      <c r="G6728">
        <v>0</v>
      </c>
      <c r="H6728">
        <v>95</v>
      </c>
      <c r="I6728">
        <v>0</v>
      </c>
      <c r="J6728">
        <v>6.99</v>
      </c>
      <c r="K6728">
        <v>0</v>
      </c>
    </row>
    <row r="6729" spans="1:11" x14ac:dyDescent="0.2">
      <c r="B6729">
        <v>5603778</v>
      </c>
      <c r="C6729" t="s">
        <v>9845</v>
      </c>
      <c r="D6729">
        <v>12</v>
      </c>
      <c r="E6729">
        <v>6</v>
      </c>
      <c r="F6729">
        <v>0</v>
      </c>
      <c r="G6729">
        <v>0</v>
      </c>
      <c r="H6729">
        <v>80</v>
      </c>
      <c r="I6729">
        <v>0</v>
      </c>
      <c r="J6729">
        <v>58</v>
      </c>
      <c r="K6729">
        <v>0</v>
      </c>
    </row>
    <row r="6730" spans="1:11" x14ac:dyDescent="0.2">
      <c r="B6730">
        <v>5603795</v>
      </c>
      <c r="C6730" t="s">
        <v>9846</v>
      </c>
      <c r="D6730">
        <v>11</v>
      </c>
      <c r="E6730">
        <v>6</v>
      </c>
      <c r="F6730">
        <v>1</v>
      </c>
      <c r="G6730">
        <v>6</v>
      </c>
      <c r="H6730">
        <v>100</v>
      </c>
      <c r="I6730">
        <v>0</v>
      </c>
      <c r="J6730">
        <v>8.9499999999999993</v>
      </c>
      <c r="K6730">
        <v>53.7</v>
      </c>
    </row>
    <row r="6731" spans="1:11" x14ac:dyDescent="0.2">
      <c r="B6731">
        <v>5603801</v>
      </c>
      <c r="C6731" t="s">
        <v>9847</v>
      </c>
      <c r="D6731">
        <v>10</v>
      </c>
      <c r="E6731">
        <v>6</v>
      </c>
      <c r="F6731">
        <v>0</v>
      </c>
      <c r="G6731">
        <v>0</v>
      </c>
      <c r="H6731">
        <v>105</v>
      </c>
      <c r="I6731">
        <v>0</v>
      </c>
      <c r="J6731">
        <v>7.99</v>
      </c>
      <c r="K6731">
        <v>0</v>
      </c>
    </row>
    <row r="6732" spans="1:11" x14ac:dyDescent="0.2">
      <c r="B6732">
        <v>5603805</v>
      </c>
      <c r="C6732" t="s">
        <v>9848</v>
      </c>
      <c r="D6732">
        <v>10</v>
      </c>
      <c r="E6732">
        <v>6</v>
      </c>
      <c r="F6732">
        <v>0</v>
      </c>
      <c r="G6732">
        <v>0</v>
      </c>
      <c r="H6732">
        <v>96</v>
      </c>
      <c r="I6732">
        <v>0</v>
      </c>
      <c r="J6732">
        <v>6</v>
      </c>
      <c r="K6732">
        <v>0</v>
      </c>
    </row>
    <row r="6733" spans="1:11" x14ac:dyDescent="0.2">
      <c r="B6733">
        <v>5603811</v>
      </c>
      <c r="C6733" t="s">
        <v>9849</v>
      </c>
      <c r="D6733">
        <v>11</v>
      </c>
      <c r="E6733">
        <v>6</v>
      </c>
      <c r="F6733">
        <v>0</v>
      </c>
      <c r="G6733">
        <v>0</v>
      </c>
      <c r="H6733">
        <v>100</v>
      </c>
      <c r="I6733">
        <v>0</v>
      </c>
      <c r="J6733">
        <v>5</v>
      </c>
      <c r="K6733">
        <v>0</v>
      </c>
    </row>
    <row r="6734" spans="1:11" x14ac:dyDescent="0.2">
      <c r="B6734">
        <v>5603812</v>
      </c>
      <c r="C6734" t="s">
        <v>9850</v>
      </c>
      <c r="D6734">
        <v>10</v>
      </c>
      <c r="E6734">
        <v>6</v>
      </c>
      <c r="F6734">
        <v>0</v>
      </c>
      <c r="G6734">
        <v>0</v>
      </c>
      <c r="H6734">
        <v>105</v>
      </c>
      <c r="I6734">
        <v>0</v>
      </c>
      <c r="J6734">
        <v>7.99</v>
      </c>
      <c r="K6734">
        <v>0</v>
      </c>
    </row>
    <row r="6735" spans="1:11" x14ac:dyDescent="0.2">
      <c r="B6735">
        <v>5603832</v>
      </c>
      <c r="C6735" t="s">
        <v>9851</v>
      </c>
      <c r="D6735">
        <v>11</v>
      </c>
      <c r="E6735">
        <v>6</v>
      </c>
      <c r="F6735">
        <v>0</v>
      </c>
      <c r="G6735">
        <v>0</v>
      </c>
      <c r="H6735">
        <v>100</v>
      </c>
      <c r="I6735">
        <v>0</v>
      </c>
      <c r="J6735">
        <v>12.49</v>
      </c>
      <c r="K6735">
        <v>0</v>
      </c>
    </row>
    <row r="6736" spans="1:11" x14ac:dyDescent="0.2">
      <c r="B6736">
        <v>5603844</v>
      </c>
      <c r="C6736" t="s">
        <v>9852</v>
      </c>
      <c r="D6736">
        <v>10</v>
      </c>
      <c r="E6736">
        <v>6</v>
      </c>
      <c r="F6736">
        <v>0</v>
      </c>
      <c r="G6736">
        <v>0</v>
      </c>
      <c r="H6736">
        <v>80</v>
      </c>
      <c r="I6736">
        <v>0</v>
      </c>
      <c r="J6736">
        <v>21.5</v>
      </c>
      <c r="K6736">
        <v>0</v>
      </c>
    </row>
    <row r="6737" spans="1:11" x14ac:dyDescent="0.2">
      <c r="B6737">
        <v>5603865</v>
      </c>
      <c r="C6737" t="s">
        <v>9853</v>
      </c>
      <c r="D6737">
        <v>11</v>
      </c>
      <c r="E6737">
        <v>6</v>
      </c>
      <c r="F6737">
        <v>0</v>
      </c>
      <c r="G6737">
        <v>0</v>
      </c>
      <c r="H6737">
        <v>100</v>
      </c>
      <c r="I6737">
        <v>0</v>
      </c>
      <c r="J6737">
        <v>4</v>
      </c>
      <c r="K6737">
        <v>0</v>
      </c>
    </row>
    <row r="6738" spans="1:11" x14ac:dyDescent="0.2">
      <c r="B6738">
        <v>5603868</v>
      </c>
      <c r="C6738" t="s">
        <v>9854</v>
      </c>
      <c r="D6738">
        <v>11</v>
      </c>
      <c r="E6738">
        <v>6</v>
      </c>
      <c r="F6738">
        <v>1</v>
      </c>
      <c r="G6738">
        <v>6</v>
      </c>
      <c r="H6738">
        <v>100</v>
      </c>
      <c r="I6738">
        <v>0</v>
      </c>
      <c r="J6738">
        <v>3.99</v>
      </c>
      <c r="K6738">
        <v>23.94</v>
      </c>
    </row>
    <row r="6739" spans="1:11" x14ac:dyDescent="0.2">
      <c r="B6739">
        <v>5603880</v>
      </c>
      <c r="C6739" t="s">
        <v>9855</v>
      </c>
      <c r="D6739">
        <v>11</v>
      </c>
      <c r="E6739">
        <v>6</v>
      </c>
      <c r="F6739">
        <v>0</v>
      </c>
      <c r="G6739">
        <v>0</v>
      </c>
      <c r="H6739">
        <v>80</v>
      </c>
      <c r="I6739">
        <v>0</v>
      </c>
      <c r="J6739">
        <v>49.99</v>
      </c>
      <c r="K6739">
        <v>0</v>
      </c>
    </row>
    <row r="6740" spans="1:11" x14ac:dyDescent="0.2">
      <c r="B6740">
        <v>5603881</v>
      </c>
      <c r="C6740" t="s">
        <v>9856</v>
      </c>
      <c r="D6740">
        <v>11</v>
      </c>
      <c r="E6740">
        <v>8</v>
      </c>
      <c r="F6740">
        <v>0</v>
      </c>
      <c r="G6740">
        <v>0</v>
      </c>
      <c r="H6740">
        <v>72</v>
      </c>
      <c r="I6740">
        <v>0</v>
      </c>
      <c r="J6740">
        <v>2.23</v>
      </c>
      <c r="K6740">
        <v>0</v>
      </c>
    </row>
    <row r="6741" spans="1:11" x14ac:dyDescent="0.2">
      <c r="B6741">
        <v>5603882</v>
      </c>
      <c r="C6741" t="s">
        <v>9857</v>
      </c>
      <c r="D6741">
        <v>11</v>
      </c>
      <c r="E6741">
        <v>18</v>
      </c>
      <c r="F6741">
        <v>0</v>
      </c>
      <c r="G6741">
        <v>0</v>
      </c>
      <c r="H6741">
        <v>70</v>
      </c>
      <c r="I6741">
        <v>0</v>
      </c>
      <c r="J6741">
        <v>2.99</v>
      </c>
      <c r="K6741">
        <v>0</v>
      </c>
    </row>
    <row r="6742" spans="1:11" x14ac:dyDescent="0.2">
      <c r="A6742">
        <v>30506</v>
      </c>
      <c r="B6742">
        <v>5603890</v>
      </c>
      <c r="C6742" t="s">
        <v>9858</v>
      </c>
      <c r="D6742">
        <v>10</v>
      </c>
      <c r="E6742">
        <v>5</v>
      </c>
      <c r="F6742">
        <v>0</v>
      </c>
      <c r="G6742">
        <v>0</v>
      </c>
      <c r="H6742">
        <v>112</v>
      </c>
      <c r="I6742">
        <v>0</v>
      </c>
      <c r="J6742">
        <v>1.99</v>
      </c>
      <c r="K6742">
        <v>0</v>
      </c>
    </row>
    <row r="6743" spans="1:11" x14ac:dyDescent="0.2">
      <c r="B6743">
        <v>5603891</v>
      </c>
      <c r="C6743" t="s">
        <v>9859</v>
      </c>
      <c r="D6743">
        <v>11</v>
      </c>
      <c r="E6743">
        <v>5</v>
      </c>
      <c r="F6743">
        <v>0</v>
      </c>
      <c r="G6743">
        <v>0</v>
      </c>
      <c r="H6743">
        <v>112</v>
      </c>
      <c r="I6743">
        <v>0</v>
      </c>
      <c r="J6743">
        <v>1.99</v>
      </c>
      <c r="K6743">
        <v>0</v>
      </c>
    </row>
    <row r="6744" spans="1:11" x14ac:dyDescent="0.2">
      <c r="A6744">
        <v>91063</v>
      </c>
      <c r="B6744">
        <v>5603907</v>
      </c>
      <c r="C6744" t="s">
        <v>9860</v>
      </c>
      <c r="D6744">
        <v>8</v>
      </c>
      <c r="E6744">
        <v>1</v>
      </c>
      <c r="F6744">
        <v>306</v>
      </c>
      <c r="G6744">
        <v>306</v>
      </c>
      <c r="H6744">
        <v>576</v>
      </c>
      <c r="I6744">
        <v>0.5</v>
      </c>
      <c r="J6744">
        <v>6.99</v>
      </c>
      <c r="K6744">
        <v>2138.94</v>
      </c>
    </row>
    <row r="6745" spans="1:11" x14ac:dyDescent="0.2">
      <c r="A6745">
        <v>91060</v>
      </c>
      <c r="B6745">
        <v>5603908</v>
      </c>
      <c r="C6745" t="s">
        <v>9861</v>
      </c>
      <c r="D6745">
        <v>8</v>
      </c>
      <c r="E6745">
        <v>1</v>
      </c>
      <c r="F6745">
        <v>267</v>
      </c>
      <c r="G6745">
        <v>267</v>
      </c>
      <c r="H6745">
        <v>960</v>
      </c>
      <c r="I6745">
        <v>0.3</v>
      </c>
      <c r="J6745">
        <v>4.29</v>
      </c>
      <c r="K6745">
        <v>1145.43</v>
      </c>
    </row>
    <row r="6746" spans="1:11" x14ac:dyDescent="0.2">
      <c r="A6746">
        <v>38515</v>
      </c>
      <c r="B6746">
        <v>5603916</v>
      </c>
      <c r="C6746" t="s">
        <v>9862</v>
      </c>
      <c r="D6746">
        <v>10</v>
      </c>
      <c r="E6746">
        <v>12</v>
      </c>
      <c r="F6746">
        <v>0</v>
      </c>
      <c r="G6746">
        <v>0</v>
      </c>
      <c r="H6746">
        <v>100</v>
      </c>
      <c r="I6746">
        <v>0</v>
      </c>
      <c r="J6746">
        <v>2.19</v>
      </c>
      <c r="K6746">
        <v>0</v>
      </c>
    </row>
    <row r="6747" spans="1:11" x14ac:dyDescent="0.2">
      <c r="A6747">
        <v>38516</v>
      </c>
      <c r="B6747">
        <v>5603917</v>
      </c>
      <c r="C6747" t="s">
        <v>9863</v>
      </c>
      <c r="D6747">
        <v>10</v>
      </c>
      <c r="E6747">
        <v>12</v>
      </c>
      <c r="F6747">
        <v>0</v>
      </c>
      <c r="G6747">
        <v>0</v>
      </c>
      <c r="H6747">
        <v>100</v>
      </c>
      <c r="I6747">
        <v>0</v>
      </c>
      <c r="J6747">
        <v>2.19</v>
      </c>
      <c r="K6747">
        <v>0</v>
      </c>
    </row>
    <row r="6748" spans="1:11" x14ac:dyDescent="0.2">
      <c r="A6748">
        <v>3516</v>
      </c>
      <c r="B6748">
        <v>5603920</v>
      </c>
      <c r="C6748" t="s">
        <v>9864</v>
      </c>
      <c r="D6748">
        <v>6</v>
      </c>
      <c r="E6748">
        <v>6</v>
      </c>
      <c r="F6748">
        <v>0</v>
      </c>
      <c r="G6748">
        <v>0</v>
      </c>
      <c r="H6748">
        <v>90</v>
      </c>
      <c r="I6748">
        <v>0</v>
      </c>
      <c r="J6748">
        <v>2.99</v>
      </c>
      <c r="K6748">
        <v>0</v>
      </c>
    </row>
    <row r="6749" spans="1:11" x14ac:dyDescent="0.2">
      <c r="A6749">
        <v>83049</v>
      </c>
      <c r="B6749">
        <v>5603921</v>
      </c>
      <c r="C6749" t="s">
        <v>9865</v>
      </c>
      <c r="D6749">
        <v>8</v>
      </c>
      <c r="E6749">
        <v>16</v>
      </c>
      <c r="F6749">
        <v>140</v>
      </c>
      <c r="G6749">
        <v>2240</v>
      </c>
      <c r="H6749">
        <v>85</v>
      </c>
      <c r="I6749">
        <v>1.6</v>
      </c>
      <c r="J6749">
        <v>1.89</v>
      </c>
      <c r="K6749">
        <v>4233.6000000000004</v>
      </c>
    </row>
    <row r="6750" spans="1:11" x14ac:dyDescent="0.2">
      <c r="A6750">
        <v>38517</v>
      </c>
      <c r="B6750">
        <v>5603923</v>
      </c>
      <c r="C6750" t="s">
        <v>9866</v>
      </c>
      <c r="D6750">
        <v>10</v>
      </c>
      <c r="E6750">
        <v>6</v>
      </c>
      <c r="F6750">
        <v>0</v>
      </c>
      <c r="G6750">
        <v>0</v>
      </c>
      <c r="H6750">
        <v>132</v>
      </c>
      <c r="I6750">
        <v>0</v>
      </c>
      <c r="J6750">
        <v>1.99</v>
      </c>
      <c r="K6750">
        <v>0</v>
      </c>
    </row>
    <row r="6751" spans="1:11" x14ac:dyDescent="0.2">
      <c r="B6751">
        <v>5603927</v>
      </c>
      <c r="C6751" t="s">
        <v>9867</v>
      </c>
      <c r="D6751">
        <v>11</v>
      </c>
      <c r="E6751">
        <v>4</v>
      </c>
      <c r="F6751">
        <v>0</v>
      </c>
      <c r="G6751">
        <v>0</v>
      </c>
      <c r="H6751">
        <v>50</v>
      </c>
      <c r="I6751">
        <v>0</v>
      </c>
      <c r="J6751">
        <v>2.1</v>
      </c>
      <c r="K6751">
        <v>0</v>
      </c>
    </row>
    <row r="6752" spans="1:11" x14ac:dyDescent="0.2">
      <c r="A6752">
        <v>4511</v>
      </c>
      <c r="B6752">
        <v>5603940</v>
      </c>
      <c r="C6752" t="s">
        <v>9868</v>
      </c>
      <c r="D6752">
        <v>6</v>
      </c>
      <c r="E6752">
        <v>10</v>
      </c>
      <c r="F6752">
        <v>2</v>
      </c>
      <c r="G6752">
        <v>20</v>
      </c>
      <c r="H6752">
        <v>128</v>
      </c>
      <c r="I6752">
        <v>0</v>
      </c>
      <c r="J6752">
        <v>2.19</v>
      </c>
      <c r="K6752">
        <v>43.8</v>
      </c>
    </row>
    <row r="6753" spans="1:11" x14ac:dyDescent="0.2">
      <c r="A6753">
        <v>57615</v>
      </c>
      <c r="B6753">
        <v>5603941</v>
      </c>
      <c r="C6753" t="s">
        <v>4020</v>
      </c>
      <c r="D6753">
        <v>10</v>
      </c>
      <c r="E6753">
        <v>6</v>
      </c>
      <c r="F6753">
        <v>9</v>
      </c>
      <c r="G6753">
        <v>54</v>
      </c>
      <c r="H6753">
        <v>128</v>
      </c>
      <c r="I6753">
        <v>0.1</v>
      </c>
      <c r="J6753">
        <v>3.29</v>
      </c>
      <c r="K6753">
        <v>177.66</v>
      </c>
    </row>
    <row r="6754" spans="1:11" x14ac:dyDescent="0.2">
      <c r="A6754">
        <v>31513</v>
      </c>
      <c r="B6754">
        <v>5603942</v>
      </c>
      <c r="C6754" t="s">
        <v>9869</v>
      </c>
      <c r="D6754">
        <v>10</v>
      </c>
      <c r="E6754">
        <v>15</v>
      </c>
      <c r="F6754">
        <v>0</v>
      </c>
      <c r="G6754">
        <v>0</v>
      </c>
      <c r="H6754">
        <v>93</v>
      </c>
      <c r="I6754">
        <v>0</v>
      </c>
      <c r="J6754">
        <v>1.99</v>
      </c>
      <c r="K6754">
        <v>0</v>
      </c>
    </row>
    <row r="6755" spans="1:11" x14ac:dyDescent="0.2">
      <c r="A6755">
        <v>65124</v>
      </c>
      <c r="B6755">
        <v>5603967</v>
      </c>
      <c r="C6755" t="s">
        <v>9870</v>
      </c>
      <c r="D6755">
        <v>8</v>
      </c>
      <c r="E6755">
        <v>14</v>
      </c>
      <c r="F6755">
        <v>255</v>
      </c>
      <c r="G6755">
        <v>3570</v>
      </c>
      <c r="H6755">
        <v>56</v>
      </c>
      <c r="I6755">
        <v>4.5999999999999996</v>
      </c>
      <c r="J6755">
        <v>1.45</v>
      </c>
      <c r="K6755">
        <v>5176.5</v>
      </c>
    </row>
    <row r="6756" spans="1:11" x14ac:dyDescent="0.2">
      <c r="A6756">
        <v>0</v>
      </c>
      <c r="B6756">
        <v>5603967</v>
      </c>
      <c r="C6756" t="s">
        <v>9870</v>
      </c>
      <c r="D6756">
        <v>12</v>
      </c>
      <c r="E6756">
        <v>16</v>
      </c>
      <c r="F6756">
        <v>0</v>
      </c>
      <c r="G6756">
        <v>0</v>
      </c>
      <c r="H6756">
        <v>42</v>
      </c>
      <c r="I6756">
        <v>0</v>
      </c>
      <c r="J6756">
        <v>1.45</v>
      </c>
      <c r="K6756">
        <v>0</v>
      </c>
    </row>
    <row r="6757" spans="1:11" x14ac:dyDescent="0.2">
      <c r="A6757">
        <v>65120</v>
      </c>
      <c r="B6757">
        <v>5603975</v>
      </c>
      <c r="C6757" t="s">
        <v>9871</v>
      </c>
      <c r="D6757">
        <v>8</v>
      </c>
      <c r="E6757">
        <v>16</v>
      </c>
      <c r="F6757">
        <v>167</v>
      </c>
      <c r="G6757">
        <v>2672</v>
      </c>
      <c r="H6757">
        <v>42</v>
      </c>
      <c r="I6757">
        <v>4</v>
      </c>
      <c r="J6757">
        <v>1.79</v>
      </c>
      <c r="K6757">
        <v>4782.88</v>
      </c>
    </row>
    <row r="6758" spans="1:11" x14ac:dyDescent="0.2">
      <c r="A6758">
        <v>57388</v>
      </c>
      <c r="B6758">
        <v>5603977</v>
      </c>
      <c r="C6758" t="s">
        <v>9872</v>
      </c>
      <c r="D6758">
        <v>10</v>
      </c>
      <c r="E6758">
        <v>6</v>
      </c>
      <c r="F6758">
        <v>0</v>
      </c>
      <c r="G6758">
        <v>0</v>
      </c>
      <c r="H6758">
        <v>72</v>
      </c>
      <c r="I6758">
        <v>0</v>
      </c>
      <c r="J6758">
        <v>0.9</v>
      </c>
      <c r="K6758">
        <v>0</v>
      </c>
    </row>
    <row r="6759" spans="1:11" x14ac:dyDescent="0.2">
      <c r="B6759">
        <v>5603983</v>
      </c>
      <c r="C6759" t="s">
        <v>9873</v>
      </c>
      <c r="D6759">
        <v>11</v>
      </c>
      <c r="E6759">
        <v>12</v>
      </c>
      <c r="F6759">
        <v>13</v>
      </c>
      <c r="G6759">
        <v>156</v>
      </c>
      <c r="H6759">
        <v>84</v>
      </c>
      <c r="I6759">
        <v>0.2</v>
      </c>
      <c r="J6759">
        <v>1.59</v>
      </c>
      <c r="K6759">
        <v>248.04</v>
      </c>
    </row>
    <row r="6760" spans="1:11" x14ac:dyDescent="0.2">
      <c r="A6760">
        <v>44501</v>
      </c>
      <c r="B6760">
        <v>5603995</v>
      </c>
      <c r="C6760" t="s">
        <v>9874</v>
      </c>
      <c r="D6760">
        <v>10</v>
      </c>
      <c r="E6760">
        <v>6</v>
      </c>
      <c r="F6760">
        <v>1</v>
      </c>
      <c r="G6760">
        <v>6</v>
      </c>
      <c r="H6760">
        <v>108</v>
      </c>
      <c r="I6760">
        <v>0</v>
      </c>
      <c r="J6760">
        <v>2.69</v>
      </c>
      <c r="K6760">
        <v>16.14</v>
      </c>
    </row>
    <row r="6761" spans="1:11" x14ac:dyDescent="0.2">
      <c r="A6761">
        <v>3615</v>
      </c>
      <c r="B6761">
        <v>5603997</v>
      </c>
      <c r="C6761" t="s">
        <v>9875</v>
      </c>
      <c r="D6761">
        <v>6</v>
      </c>
      <c r="E6761">
        <v>6</v>
      </c>
      <c r="F6761">
        <v>0</v>
      </c>
      <c r="G6761">
        <v>0</v>
      </c>
      <c r="H6761">
        <v>248</v>
      </c>
      <c r="I6761">
        <v>0</v>
      </c>
      <c r="J6761">
        <v>1.99</v>
      </c>
      <c r="K6761">
        <v>0</v>
      </c>
    </row>
    <row r="6762" spans="1:11" x14ac:dyDescent="0.2">
      <c r="A6762">
        <v>4612</v>
      </c>
      <c r="B6762">
        <v>5603998</v>
      </c>
      <c r="C6762" t="s">
        <v>9876</v>
      </c>
      <c r="D6762">
        <v>6</v>
      </c>
      <c r="E6762">
        <v>6</v>
      </c>
      <c r="F6762">
        <v>0</v>
      </c>
      <c r="G6762">
        <v>0</v>
      </c>
      <c r="H6762">
        <v>248</v>
      </c>
      <c r="I6762">
        <v>0</v>
      </c>
      <c r="J6762">
        <v>1.79</v>
      </c>
      <c r="K6762">
        <v>0</v>
      </c>
    </row>
    <row r="6763" spans="1:11" x14ac:dyDescent="0.2">
      <c r="A6763">
        <v>4614</v>
      </c>
      <c r="B6763">
        <v>5604000</v>
      </c>
      <c r="C6763" t="s">
        <v>9877</v>
      </c>
      <c r="D6763">
        <v>6</v>
      </c>
      <c r="E6763">
        <v>6</v>
      </c>
      <c r="F6763">
        <v>0</v>
      </c>
      <c r="G6763">
        <v>0</v>
      </c>
      <c r="H6763">
        <v>248</v>
      </c>
      <c r="I6763">
        <v>0</v>
      </c>
      <c r="J6763">
        <v>1.99</v>
      </c>
      <c r="K6763">
        <v>0</v>
      </c>
    </row>
    <row r="6764" spans="1:11" x14ac:dyDescent="0.2">
      <c r="A6764">
        <v>57616</v>
      </c>
      <c r="B6764">
        <v>5604001</v>
      </c>
      <c r="C6764" t="s">
        <v>9878</v>
      </c>
      <c r="D6764">
        <v>10</v>
      </c>
      <c r="E6764">
        <v>6</v>
      </c>
      <c r="F6764">
        <v>14</v>
      </c>
      <c r="G6764">
        <v>84</v>
      </c>
      <c r="H6764">
        <v>96</v>
      </c>
      <c r="I6764">
        <v>0.1</v>
      </c>
      <c r="J6764">
        <v>3.69</v>
      </c>
      <c r="K6764">
        <v>309.95999999999998</v>
      </c>
    </row>
    <row r="6765" spans="1:11" x14ac:dyDescent="0.2">
      <c r="A6765">
        <v>57617</v>
      </c>
      <c r="B6765">
        <v>5604002</v>
      </c>
      <c r="C6765" t="s">
        <v>9879</v>
      </c>
      <c r="D6765">
        <v>10</v>
      </c>
      <c r="E6765">
        <v>6</v>
      </c>
      <c r="F6765">
        <v>25</v>
      </c>
      <c r="G6765">
        <v>152</v>
      </c>
      <c r="H6765">
        <v>96</v>
      </c>
      <c r="I6765">
        <v>0.3</v>
      </c>
      <c r="J6765">
        <v>3.29</v>
      </c>
      <c r="K6765">
        <v>500.08</v>
      </c>
    </row>
    <row r="6766" spans="1:11" x14ac:dyDescent="0.2">
      <c r="A6766">
        <v>3602</v>
      </c>
      <c r="B6766">
        <v>5604003</v>
      </c>
      <c r="C6766" t="s">
        <v>9880</v>
      </c>
      <c r="D6766">
        <v>6</v>
      </c>
      <c r="E6766">
        <v>6</v>
      </c>
      <c r="F6766">
        <v>0</v>
      </c>
      <c r="G6766">
        <v>0</v>
      </c>
      <c r="H6766">
        <v>96</v>
      </c>
      <c r="I6766">
        <v>0</v>
      </c>
      <c r="J6766">
        <v>4.49</v>
      </c>
      <c r="K6766">
        <v>0</v>
      </c>
    </row>
    <row r="6767" spans="1:11" x14ac:dyDescent="0.2">
      <c r="A6767">
        <v>49504</v>
      </c>
      <c r="B6767">
        <v>5604012</v>
      </c>
      <c r="C6767" t="s">
        <v>9881</v>
      </c>
      <c r="D6767">
        <v>10</v>
      </c>
      <c r="E6767">
        <v>8</v>
      </c>
      <c r="F6767">
        <v>3</v>
      </c>
      <c r="G6767">
        <v>24</v>
      </c>
      <c r="H6767">
        <v>40</v>
      </c>
      <c r="I6767">
        <v>0.1</v>
      </c>
      <c r="J6767">
        <v>3.19</v>
      </c>
      <c r="K6767">
        <v>76.56</v>
      </c>
    </row>
    <row r="6768" spans="1:11" x14ac:dyDescent="0.2">
      <c r="A6768">
        <v>81140</v>
      </c>
      <c r="B6768">
        <v>5604019</v>
      </c>
      <c r="C6768" t="s">
        <v>9882</v>
      </c>
      <c r="D6768">
        <v>8</v>
      </c>
      <c r="E6768">
        <v>36</v>
      </c>
      <c r="F6768">
        <v>166</v>
      </c>
      <c r="G6768">
        <v>5976</v>
      </c>
      <c r="H6768">
        <v>96</v>
      </c>
      <c r="I6768">
        <v>1.7</v>
      </c>
      <c r="J6768">
        <v>1.82</v>
      </c>
      <c r="K6768">
        <v>10876.32</v>
      </c>
    </row>
    <row r="6769" spans="1:11" x14ac:dyDescent="0.2">
      <c r="A6769">
        <v>61259</v>
      </c>
      <c r="B6769">
        <v>5604025</v>
      </c>
      <c r="C6769" t="s">
        <v>9883</v>
      </c>
      <c r="D6769">
        <v>8</v>
      </c>
      <c r="E6769">
        <v>6</v>
      </c>
      <c r="F6769">
        <v>127</v>
      </c>
      <c r="G6769">
        <v>762</v>
      </c>
      <c r="H6769">
        <v>68</v>
      </c>
      <c r="I6769">
        <v>1.9</v>
      </c>
      <c r="J6769">
        <v>5.99</v>
      </c>
      <c r="K6769">
        <v>4564.38</v>
      </c>
    </row>
    <row r="6770" spans="1:11" x14ac:dyDescent="0.2">
      <c r="B6770">
        <v>5604026</v>
      </c>
      <c r="C6770" t="s">
        <v>9884</v>
      </c>
      <c r="D6770">
        <v>6</v>
      </c>
      <c r="E6770">
        <v>1</v>
      </c>
      <c r="F6770">
        <v>0</v>
      </c>
      <c r="G6770">
        <v>0</v>
      </c>
      <c r="H6770">
        <v>240</v>
      </c>
      <c r="I6770">
        <v>0</v>
      </c>
      <c r="J6770">
        <v>4.59</v>
      </c>
      <c r="K6770">
        <v>0</v>
      </c>
    </row>
    <row r="6771" spans="1:11" x14ac:dyDescent="0.2">
      <c r="B6771">
        <v>5604027</v>
      </c>
      <c r="C6771" t="s">
        <v>9885</v>
      </c>
      <c r="D6771">
        <v>11</v>
      </c>
      <c r="E6771">
        <v>8</v>
      </c>
      <c r="F6771">
        <v>0</v>
      </c>
      <c r="G6771">
        <v>0</v>
      </c>
      <c r="H6771">
        <v>84</v>
      </c>
      <c r="I6771">
        <v>0</v>
      </c>
      <c r="J6771">
        <v>2.69</v>
      </c>
      <c r="K6771">
        <v>0</v>
      </c>
    </row>
    <row r="6772" spans="1:11" x14ac:dyDescent="0.2">
      <c r="B6772">
        <v>5604028</v>
      </c>
      <c r="C6772" t="s">
        <v>9886</v>
      </c>
      <c r="D6772">
        <v>11</v>
      </c>
      <c r="E6772">
        <v>8</v>
      </c>
      <c r="F6772">
        <v>0</v>
      </c>
      <c r="G6772">
        <v>0</v>
      </c>
      <c r="H6772">
        <v>84</v>
      </c>
      <c r="I6772">
        <v>0</v>
      </c>
      <c r="J6772">
        <v>2.69</v>
      </c>
      <c r="K6772">
        <v>0</v>
      </c>
    </row>
    <row r="6773" spans="1:11" x14ac:dyDescent="0.2">
      <c r="A6773">
        <v>49601</v>
      </c>
      <c r="B6773">
        <v>5604034</v>
      </c>
      <c r="C6773" t="s">
        <v>9887</v>
      </c>
      <c r="D6773">
        <v>10</v>
      </c>
      <c r="E6773">
        <v>18</v>
      </c>
      <c r="F6773">
        <v>0</v>
      </c>
      <c r="G6773">
        <v>0</v>
      </c>
      <c r="H6773">
        <v>64</v>
      </c>
      <c r="I6773">
        <v>0</v>
      </c>
      <c r="J6773">
        <v>3.19</v>
      </c>
      <c r="K6773">
        <v>0</v>
      </c>
    </row>
    <row r="6774" spans="1:11" x14ac:dyDescent="0.2">
      <c r="B6774">
        <v>5604039</v>
      </c>
      <c r="C6774" t="s">
        <v>9888</v>
      </c>
      <c r="D6774">
        <v>11</v>
      </c>
      <c r="E6774">
        <v>1</v>
      </c>
      <c r="F6774">
        <v>-55</v>
      </c>
      <c r="G6774">
        <v>-55</v>
      </c>
      <c r="H6774">
        <v>160</v>
      </c>
      <c r="I6774">
        <v>-0.3</v>
      </c>
      <c r="J6774">
        <v>5.49</v>
      </c>
      <c r="K6774">
        <v>-301.95</v>
      </c>
    </row>
    <row r="6775" spans="1:11" x14ac:dyDescent="0.2">
      <c r="A6775">
        <v>91132</v>
      </c>
      <c r="B6775">
        <v>5604042</v>
      </c>
      <c r="C6775" t="s">
        <v>9889</v>
      </c>
      <c r="D6775">
        <v>8</v>
      </c>
      <c r="E6775">
        <v>1</v>
      </c>
      <c r="F6775">
        <v>472</v>
      </c>
      <c r="G6775">
        <v>472</v>
      </c>
      <c r="H6775">
        <v>160</v>
      </c>
      <c r="I6775">
        <v>3</v>
      </c>
      <c r="J6775">
        <v>4.59</v>
      </c>
      <c r="K6775">
        <v>2167.21</v>
      </c>
    </row>
    <row r="6776" spans="1:11" x14ac:dyDescent="0.2">
      <c r="A6776">
        <v>91133</v>
      </c>
      <c r="B6776">
        <v>5604044</v>
      </c>
      <c r="C6776" t="s">
        <v>9890</v>
      </c>
      <c r="D6776">
        <v>8</v>
      </c>
      <c r="E6776">
        <v>1</v>
      </c>
      <c r="F6776">
        <v>426</v>
      </c>
      <c r="G6776">
        <v>426</v>
      </c>
      <c r="H6776">
        <v>816</v>
      </c>
      <c r="I6776">
        <v>0.5</v>
      </c>
      <c r="J6776">
        <v>2.69</v>
      </c>
      <c r="K6776">
        <v>1145.94</v>
      </c>
    </row>
    <row r="6777" spans="1:11" x14ac:dyDescent="0.2">
      <c r="B6777">
        <v>5604046</v>
      </c>
      <c r="C6777" t="s">
        <v>9891</v>
      </c>
      <c r="D6777">
        <v>11</v>
      </c>
      <c r="E6777">
        <v>1</v>
      </c>
      <c r="F6777">
        <v>0</v>
      </c>
      <c r="G6777">
        <v>0</v>
      </c>
      <c r="H6777">
        <v>384</v>
      </c>
      <c r="I6777">
        <v>0</v>
      </c>
      <c r="J6777">
        <v>3.59</v>
      </c>
      <c r="K6777">
        <v>0</v>
      </c>
    </row>
    <row r="6778" spans="1:11" x14ac:dyDescent="0.2">
      <c r="B6778">
        <v>5604047</v>
      </c>
      <c r="C6778" t="s">
        <v>9892</v>
      </c>
      <c r="D6778">
        <v>11</v>
      </c>
      <c r="E6778">
        <v>1</v>
      </c>
      <c r="F6778">
        <v>2</v>
      </c>
      <c r="G6778">
        <v>2</v>
      </c>
      <c r="H6778">
        <v>576</v>
      </c>
      <c r="I6778">
        <v>0</v>
      </c>
      <c r="J6778">
        <v>15.99</v>
      </c>
      <c r="K6778">
        <v>31.98</v>
      </c>
    </row>
    <row r="6779" spans="1:11" x14ac:dyDescent="0.2">
      <c r="A6779">
        <v>99088</v>
      </c>
      <c r="B6779">
        <v>5604050</v>
      </c>
      <c r="C6779" t="s">
        <v>9893</v>
      </c>
      <c r="D6779">
        <v>10</v>
      </c>
      <c r="E6779">
        <v>9</v>
      </c>
      <c r="F6779">
        <v>0</v>
      </c>
      <c r="G6779">
        <v>0</v>
      </c>
      <c r="H6779">
        <v>81</v>
      </c>
      <c r="I6779">
        <v>0</v>
      </c>
      <c r="J6779">
        <v>7.19</v>
      </c>
      <c r="K6779">
        <v>0</v>
      </c>
    </row>
    <row r="6780" spans="1:11" x14ac:dyDescent="0.2">
      <c r="A6780">
        <v>76056</v>
      </c>
      <c r="B6780">
        <v>5604054</v>
      </c>
      <c r="C6780" t="s">
        <v>9894</v>
      </c>
      <c r="D6780">
        <v>8</v>
      </c>
      <c r="E6780">
        <v>12</v>
      </c>
      <c r="F6780">
        <v>176</v>
      </c>
      <c r="G6780">
        <v>2112</v>
      </c>
      <c r="H6780">
        <v>80</v>
      </c>
      <c r="I6780">
        <v>2.2000000000000002</v>
      </c>
      <c r="J6780">
        <v>2.89</v>
      </c>
      <c r="K6780">
        <v>6103.68</v>
      </c>
    </row>
    <row r="6781" spans="1:11" x14ac:dyDescent="0.2">
      <c r="A6781">
        <v>49506</v>
      </c>
      <c r="B6781">
        <v>5604056</v>
      </c>
      <c r="C6781" t="s">
        <v>9895</v>
      </c>
      <c r="D6781">
        <v>10</v>
      </c>
      <c r="E6781">
        <v>12</v>
      </c>
      <c r="F6781">
        <v>3</v>
      </c>
      <c r="G6781">
        <v>36</v>
      </c>
      <c r="H6781">
        <v>140</v>
      </c>
      <c r="I6781">
        <v>0</v>
      </c>
      <c r="J6781">
        <v>2.89</v>
      </c>
      <c r="K6781">
        <v>104.04</v>
      </c>
    </row>
    <row r="6782" spans="1:11" x14ac:dyDescent="0.2">
      <c r="A6782">
        <v>87042</v>
      </c>
      <c r="B6782">
        <v>5604058</v>
      </c>
      <c r="C6782" t="s">
        <v>9896</v>
      </c>
      <c r="D6782">
        <v>8</v>
      </c>
      <c r="E6782">
        <v>8</v>
      </c>
      <c r="F6782">
        <v>216</v>
      </c>
      <c r="G6782">
        <v>1728</v>
      </c>
      <c r="H6782">
        <v>72</v>
      </c>
      <c r="I6782">
        <v>3</v>
      </c>
      <c r="J6782">
        <v>3.79</v>
      </c>
      <c r="K6782">
        <v>6549.12</v>
      </c>
    </row>
    <row r="6783" spans="1:11" x14ac:dyDescent="0.2">
      <c r="A6783">
        <v>99820</v>
      </c>
      <c r="B6783">
        <v>5604059</v>
      </c>
      <c r="C6783" t="s">
        <v>9897</v>
      </c>
      <c r="D6783">
        <v>10</v>
      </c>
      <c r="E6783">
        <v>9</v>
      </c>
      <c r="F6783">
        <v>0</v>
      </c>
      <c r="G6783">
        <v>0</v>
      </c>
      <c r="H6783">
        <v>156</v>
      </c>
      <c r="I6783">
        <v>0</v>
      </c>
      <c r="J6783">
        <v>3.19</v>
      </c>
      <c r="K6783">
        <v>0</v>
      </c>
    </row>
    <row r="6784" spans="1:11" x14ac:dyDescent="0.2">
      <c r="A6784">
        <v>85118</v>
      </c>
      <c r="B6784">
        <v>5604063</v>
      </c>
      <c r="C6784" t="s">
        <v>9898</v>
      </c>
      <c r="D6784">
        <v>10</v>
      </c>
      <c r="E6784">
        <v>4</v>
      </c>
      <c r="F6784">
        <v>0</v>
      </c>
      <c r="G6784">
        <v>0</v>
      </c>
      <c r="H6784">
        <v>72</v>
      </c>
      <c r="I6784">
        <v>0</v>
      </c>
      <c r="J6784">
        <v>3.29</v>
      </c>
      <c r="K6784">
        <v>0</v>
      </c>
    </row>
    <row r="6785" spans="1:11" x14ac:dyDescent="0.2">
      <c r="A6785">
        <v>1526</v>
      </c>
      <c r="B6785">
        <v>5604064</v>
      </c>
      <c r="C6785" t="s">
        <v>9899</v>
      </c>
      <c r="D6785">
        <v>6</v>
      </c>
      <c r="E6785">
        <v>4</v>
      </c>
      <c r="F6785">
        <v>-4</v>
      </c>
      <c r="G6785">
        <v>-16</v>
      </c>
      <c r="H6785">
        <v>128</v>
      </c>
      <c r="I6785">
        <v>0</v>
      </c>
      <c r="J6785">
        <v>2.4900000000000002</v>
      </c>
      <c r="K6785">
        <v>-39.840000000000003</v>
      </c>
    </row>
    <row r="6786" spans="1:11" x14ac:dyDescent="0.2">
      <c r="B6786">
        <v>5604065</v>
      </c>
      <c r="C6786" t="s">
        <v>9900</v>
      </c>
      <c r="D6786">
        <v>11</v>
      </c>
      <c r="E6786">
        <v>6</v>
      </c>
      <c r="F6786">
        <v>0</v>
      </c>
      <c r="G6786">
        <v>0</v>
      </c>
      <c r="H6786">
        <v>80</v>
      </c>
      <c r="I6786">
        <v>0</v>
      </c>
      <c r="J6786">
        <v>2.4900000000000002</v>
      </c>
      <c r="K6786">
        <v>0</v>
      </c>
    </row>
    <row r="6787" spans="1:11" x14ac:dyDescent="0.2">
      <c r="B6787">
        <v>5604066</v>
      </c>
      <c r="C6787" t="s">
        <v>9901</v>
      </c>
      <c r="D6787">
        <v>6</v>
      </c>
      <c r="E6787">
        <v>8</v>
      </c>
      <c r="F6787">
        <v>98</v>
      </c>
      <c r="G6787">
        <v>785</v>
      </c>
      <c r="H6787">
        <v>64</v>
      </c>
      <c r="I6787">
        <v>1.5</v>
      </c>
      <c r="J6787">
        <v>4.59</v>
      </c>
      <c r="K6787">
        <v>3603.15</v>
      </c>
    </row>
    <row r="6788" spans="1:11" x14ac:dyDescent="0.2">
      <c r="A6788">
        <v>85102</v>
      </c>
      <c r="B6788">
        <v>5604080</v>
      </c>
      <c r="C6788" t="s">
        <v>9902</v>
      </c>
      <c r="D6788">
        <v>10</v>
      </c>
      <c r="E6788">
        <v>6</v>
      </c>
      <c r="F6788">
        <v>27</v>
      </c>
      <c r="G6788">
        <v>162</v>
      </c>
      <c r="H6788">
        <v>192</v>
      </c>
      <c r="I6788">
        <v>0.1</v>
      </c>
      <c r="J6788">
        <v>1.79</v>
      </c>
      <c r="K6788">
        <v>289.98</v>
      </c>
    </row>
    <row r="6789" spans="1:11" x14ac:dyDescent="0.2">
      <c r="A6789">
        <v>85107</v>
      </c>
      <c r="B6789">
        <v>5604081</v>
      </c>
      <c r="C6789" t="s">
        <v>9903</v>
      </c>
      <c r="D6789">
        <v>10</v>
      </c>
      <c r="E6789">
        <v>6</v>
      </c>
      <c r="F6789">
        <v>15</v>
      </c>
      <c r="G6789">
        <v>90</v>
      </c>
      <c r="H6789">
        <v>192</v>
      </c>
      <c r="I6789">
        <v>0.1</v>
      </c>
      <c r="J6789">
        <v>1.79</v>
      </c>
      <c r="K6789">
        <v>161.1</v>
      </c>
    </row>
    <row r="6790" spans="1:11" x14ac:dyDescent="0.2">
      <c r="B6790">
        <v>5604088</v>
      </c>
      <c r="C6790" t="s">
        <v>9904</v>
      </c>
      <c r="D6790">
        <v>11</v>
      </c>
      <c r="E6790">
        <v>1</v>
      </c>
      <c r="F6790">
        <v>-11</v>
      </c>
      <c r="G6790">
        <v>-11</v>
      </c>
      <c r="H6790">
        <v>360</v>
      </c>
      <c r="I6790">
        <v>0</v>
      </c>
      <c r="J6790">
        <v>12.99</v>
      </c>
      <c r="K6790">
        <v>-142.88999999999999</v>
      </c>
    </row>
    <row r="6791" spans="1:11" x14ac:dyDescent="0.2">
      <c r="B6791">
        <v>5604094</v>
      </c>
      <c r="C6791" t="s">
        <v>9905</v>
      </c>
      <c r="D6791">
        <v>11</v>
      </c>
      <c r="E6791">
        <v>1</v>
      </c>
      <c r="F6791">
        <v>0</v>
      </c>
      <c r="G6791">
        <v>0</v>
      </c>
      <c r="H6791">
        <v>720</v>
      </c>
      <c r="I6791">
        <v>0</v>
      </c>
      <c r="J6791">
        <v>6.49</v>
      </c>
      <c r="K6791">
        <v>0</v>
      </c>
    </row>
    <row r="6792" spans="1:11" x14ac:dyDescent="0.2">
      <c r="B6792">
        <v>5604095</v>
      </c>
      <c r="C6792" t="s">
        <v>9906</v>
      </c>
      <c r="D6792">
        <v>11</v>
      </c>
      <c r="E6792">
        <v>140</v>
      </c>
      <c r="F6792">
        <v>0</v>
      </c>
      <c r="G6792">
        <v>-7</v>
      </c>
      <c r="H6792">
        <v>2</v>
      </c>
      <c r="I6792">
        <v>0</v>
      </c>
      <c r="J6792">
        <v>1.55</v>
      </c>
      <c r="K6792">
        <v>-10.85</v>
      </c>
    </row>
    <row r="6793" spans="1:11" x14ac:dyDescent="0.2">
      <c r="A6793">
        <v>99821</v>
      </c>
      <c r="B6793">
        <v>5604107</v>
      </c>
      <c r="C6793" t="s">
        <v>9907</v>
      </c>
      <c r="D6793">
        <v>10</v>
      </c>
      <c r="E6793">
        <v>7</v>
      </c>
      <c r="F6793">
        <v>0</v>
      </c>
      <c r="G6793">
        <v>0</v>
      </c>
      <c r="H6793">
        <v>72</v>
      </c>
      <c r="I6793">
        <v>0</v>
      </c>
      <c r="J6793">
        <v>5.99</v>
      </c>
      <c r="K6793">
        <v>0</v>
      </c>
    </row>
    <row r="6794" spans="1:11" x14ac:dyDescent="0.2">
      <c r="A6794">
        <v>99779</v>
      </c>
      <c r="B6794">
        <v>5604111</v>
      </c>
      <c r="C6794" t="s">
        <v>9908</v>
      </c>
      <c r="D6794">
        <v>10</v>
      </c>
      <c r="E6794">
        <v>9</v>
      </c>
      <c r="F6794">
        <v>0</v>
      </c>
      <c r="G6794">
        <v>0</v>
      </c>
      <c r="H6794">
        <v>132</v>
      </c>
      <c r="I6794">
        <v>0</v>
      </c>
      <c r="J6794">
        <v>4.1900000000000004</v>
      </c>
      <c r="K6794">
        <v>0</v>
      </c>
    </row>
    <row r="6795" spans="1:11" x14ac:dyDescent="0.2">
      <c r="A6795">
        <v>57618</v>
      </c>
      <c r="B6795">
        <v>5604113</v>
      </c>
      <c r="C6795" t="s">
        <v>9909</v>
      </c>
      <c r="D6795">
        <v>10</v>
      </c>
      <c r="E6795">
        <v>12</v>
      </c>
      <c r="F6795">
        <v>3</v>
      </c>
      <c r="G6795">
        <v>37</v>
      </c>
      <c r="H6795">
        <v>84</v>
      </c>
      <c r="I6795">
        <v>0</v>
      </c>
      <c r="J6795">
        <v>1.49</v>
      </c>
      <c r="K6795">
        <v>55.13</v>
      </c>
    </row>
    <row r="6796" spans="1:11" x14ac:dyDescent="0.2">
      <c r="A6796">
        <v>91072</v>
      </c>
      <c r="B6796">
        <v>5604118</v>
      </c>
      <c r="C6796" t="s">
        <v>9910</v>
      </c>
      <c r="D6796">
        <v>8</v>
      </c>
      <c r="E6796">
        <v>1</v>
      </c>
      <c r="F6796">
        <v>591</v>
      </c>
      <c r="G6796">
        <v>591</v>
      </c>
      <c r="H6796">
        <v>960</v>
      </c>
      <c r="I6796">
        <v>0.6</v>
      </c>
      <c r="J6796">
        <v>2.79</v>
      </c>
      <c r="K6796">
        <v>1648.89</v>
      </c>
    </row>
    <row r="6797" spans="1:11" x14ac:dyDescent="0.2">
      <c r="A6797">
        <v>65102</v>
      </c>
      <c r="B6797">
        <v>5604119</v>
      </c>
      <c r="C6797" t="s">
        <v>9911</v>
      </c>
      <c r="D6797">
        <v>8</v>
      </c>
      <c r="E6797">
        <v>6</v>
      </c>
      <c r="F6797">
        <v>465</v>
      </c>
      <c r="G6797">
        <v>2788</v>
      </c>
      <c r="H6797">
        <v>96</v>
      </c>
      <c r="I6797">
        <v>4.8</v>
      </c>
      <c r="J6797">
        <v>2.09</v>
      </c>
      <c r="K6797">
        <v>5826.92</v>
      </c>
    </row>
    <row r="6798" spans="1:11" x14ac:dyDescent="0.2">
      <c r="A6798">
        <v>85120</v>
      </c>
      <c r="B6798">
        <v>5604127</v>
      </c>
      <c r="C6798" t="s">
        <v>9912</v>
      </c>
      <c r="D6798">
        <v>10</v>
      </c>
      <c r="E6798">
        <v>8</v>
      </c>
      <c r="F6798">
        <v>3</v>
      </c>
      <c r="G6798">
        <v>24</v>
      </c>
      <c r="H6798">
        <v>100</v>
      </c>
      <c r="I6798">
        <v>0</v>
      </c>
      <c r="J6798">
        <v>3.49</v>
      </c>
      <c r="K6798">
        <v>83.76</v>
      </c>
    </row>
    <row r="6799" spans="1:11" x14ac:dyDescent="0.2">
      <c r="A6799">
        <v>44524</v>
      </c>
      <c r="B6799">
        <v>5604128</v>
      </c>
      <c r="C6799" t="s">
        <v>9913</v>
      </c>
      <c r="D6799">
        <v>6</v>
      </c>
      <c r="E6799">
        <v>9</v>
      </c>
      <c r="F6799">
        <v>0</v>
      </c>
      <c r="G6799">
        <v>0</v>
      </c>
      <c r="H6799">
        <v>100</v>
      </c>
      <c r="I6799">
        <v>0</v>
      </c>
      <c r="J6799">
        <v>4.99</v>
      </c>
      <c r="K6799">
        <v>0</v>
      </c>
    </row>
    <row r="6800" spans="1:11" x14ac:dyDescent="0.2">
      <c r="A6800">
        <v>43517</v>
      </c>
      <c r="B6800">
        <v>5604130</v>
      </c>
      <c r="C6800" t="s">
        <v>9914</v>
      </c>
      <c r="D6800">
        <v>10</v>
      </c>
      <c r="E6800">
        <v>4</v>
      </c>
      <c r="F6800">
        <v>3</v>
      </c>
      <c r="G6800">
        <v>12</v>
      </c>
      <c r="H6800">
        <v>90</v>
      </c>
      <c r="I6800">
        <v>0</v>
      </c>
      <c r="J6800">
        <v>2.99</v>
      </c>
      <c r="K6800">
        <v>35.880000000000003</v>
      </c>
    </row>
    <row r="6801" spans="1:11" x14ac:dyDescent="0.2">
      <c r="A6801">
        <v>43518</v>
      </c>
      <c r="B6801">
        <v>5604131</v>
      </c>
      <c r="C6801" t="s">
        <v>9915</v>
      </c>
      <c r="D6801">
        <v>10</v>
      </c>
      <c r="E6801">
        <v>4</v>
      </c>
      <c r="F6801">
        <v>3</v>
      </c>
      <c r="G6801">
        <v>12</v>
      </c>
      <c r="H6801">
        <v>90</v>
      </c>
      <c r="I6801">
        <v>0</v>
      </c>
      <c r="J6801">
        <v>2.99</v>
      </c>
      <c r="K6801">
        <v>35.880000000000003</v>
      </c>
    </row>
    <row r="6802" spans="1:11" x14ac:dyDescent="0.2">
      <c r="A6802">
        <v>48655</v>
      </c>
      <c r="B6802">
        <v>5604133</v>
      </c>
      <c r="C6802" t="s">
        <v>9916</v>
      </c>
      <c r="D6802">
        <v>10</v>
      </c>
      <c r="E6802">
        <v>6</v>
      </c>
      <c r="F6802">
        <v>1</v>
      </c>
      <c r="G6802">
        <v>6</v>
      </c>
      <c r="H6802">
        <v>120</v>
      </c>
      <c r="I6802">
        <v>0</v>
      </c>
      <c r="J6802">
        <v>3.99</v>
      </c>
      <c r="K6802">
        <v>23.94</v>
      </c>
    </row>
    <row r="6803" spans="1:11" x14ac:dyDescent="0.2">
      <c r="B6803">
        <v>5604135</v>
      </c>
      <c r="C6803" t="s">
        <v>9917</v>
      </c>
      <c r="D6803">
        <v>11</v>
      </c>
      <c r="E6803">
        <v>140</v>
      </c>
      <c r="F6803">
        <v>0</v>
      </c>
      <c r="G6803">
        <v>0</v>
      </c>
      <c r="H6803">
        <v>2</v>
      </c>
      <c r="I6803">
        <v>0</v>
      </c>
      <c r="J6803">
        <v>1.55</v>
      </c>
      <c r="K6803">
        <v>0</v>
      </c>
    </row>
    <row r="6804" spans="1:11" x14ac:dyDescent="0.2">
      <c r="A6804">
        <v>82043</v>
      </c>
      <c r="B6804">
        <v>5604146</v>
      </c>
      <c r="C6804" t="s">
        <v>9918</v>
      </c>
      <c r="D6804">
        <v>8</v>
      </c>
      <c r="E6804">
        <v>8</v>
      </c>
      <c r="F6804">
        <v>133</v>
      </c>
      <c r="G6804">
        <v>1064</v>
      </c>
      <c r="H6804">
        <v>138</v>
      </c>
      <c r="I6804">
        <v>1</v>
      </c>
      <c r="J6804">
        <v>1.43</v>
      </c>
      <c r="K6804">
        <v>1521.52</v>
      </c>
    </row>
    <row r="6805" spans="1:11" x14ac:dyDescent="0.2">
      <c r="A6805">
        <v>99448</v>
      </c>
      <c r="B6805">
        <v>5604151</v>
      </c>
      <c r="C6805" t="s">
        <v>9919</v>
      </c>
      <c r="D6805">
        <v>10</v>
      </c>
      <c r="E6805">
        <v>9</v>
      </c>
      <c r="F6805">
        <v>0</v>
      </c>
      <c r="G6805">
        <v>0</v>
      </c>
      <c r="H6805">
        <v>60</v>
      </c>
      <c r="I6805">
        <v>0</v>
      </c>
      <c r="J6805">
        <v>5.69</v>
      </c>
      <c r="K6805">
        <v>0</v>
      </c>
    </row>
    <row r="6806" spans="1:11" x14ac:dyDescent="0.2">
      <c r="A6806">
        <v>99125</v>
      </c>
      <c r="B6806">
        <v>5604152</v>
      </c>
      <c r="C6806" t="s">
        <v>9920</v>
      </c>
      <c r="D6806">
        <v>10</v>
      </c>
      <c r="E6806">
        <v>6</v>
      </c>
      <c r="F6806">
        <v>0</v>
      </c>
      <c r="G6806">
        <v>0</v>
      </c>
      <c r="H6806">
        <v>126</v>
      </c>
      <c r="I6806">
        <v>0</v>
      </c>
      <c r="J6806">
        <v>3.99</v>
      </c>
      <c r="K6806">
        <v>0</v>
      </c>
    </row>
    <row r="6807" spans="1:11" x14ac:dyDescent="0.2">
      <c r="A6807">
        <v>91094</v>
      </c>
      <c r="B6807">
        <v>5604165</v>
      </c>
      <c r="C6807" t="s">
        <v>9921</v>
      </c>
      <c r="D6807">
        <v>8</v>
      </c>
      <c r="E6807">
        <v>1</v>
      </c>
      <c r="F6807">
        <v>918</v>
      </c>
      <c r="G6807">
        <v>918</v>
      </c>
      <c r="H6807">
        <v>24</v>
      </c>
      <c r="I6807">
        <v>38.299999999999997</v>
      </c>
      <c r="J6807">
        <v>2.89</v>
      </c>
      <c r="K6807">
        <v>2653.02</v>
      </c>
    </row>
    <row r="6808" spans="1:11" x14ac:dyDescent="0.2">
      <c r="B6808">
        <v>5604167</v>
      </c>
      <c r="C6808" t="s">
        <v>9922</v>
      </c>
      <c r="D6808">
        <v>11</v>
      </c>
      <c r="E6808">
        <v>1</v>
      </c>
      <c r="F6808">
        <v>-7</v>
      </c>
      <c r="G6808">
        <v>-7</v>
      </c>
      <c r="H6808">
        <v>480</v>
      </c>
      <c r="I6808">
        <v>0</v>
      </c>
      <c r="J6808">
        <v>2.75</v>
      </c>
      <c r="K6808">
        <v>-19.25</v>
      </c>
    </row>
    <row r="6809" spans="1:11" x14ac:dyDescent="0.2">
      <c r="A6809">
        <v>99108</v>
      </c>
      <c r="B6809">
        <v>5604172</v>
      </c>
      <c r="C6809" t="s">
        <v>9923</v>
      </c>
      <c r="D6809">
        <v>10</v>
      </c>
      <c r="E6809">
        <v>6</v>
      </c>
      <c r="F6809">
        <v>0</v>
      </c>
      <c r="G6809">
        <v>0</v>
      </c>
      <c r="H6809">
        <v>72</v>
      </c>
      <c r="I6809">
        <v>0</v>
      </c>
      <c r="J6809">
        <v>3.43</v>
      </c>
      <c r="K6809">
        <v>0</v>
      </c>
    </row>
    <row r="6810" spans="1:11" x14ac:dyDescent="0.2">
      <c r="A6810">
        <v>3625</v>
      </c>
      <c r="B6810">
        <v>5604182</v>
      </c>
      <c r="C6810" t="s">
        <v>9924</v>
      </c>
      <c r="D6810">
        <v>6</v>
      </c>
      <c r="E6810">
        <v>8</v>
      </c>
      <c r="F6810">
        <v>0</v>
      </c>
      <c r="G6810">
        <v>0</v>
      </c>
      <c r="H6810">
        <v>102</v>
      </c>
      <c r="I6810">
        <v>0</v>
      </c>
      <c r="J6810">
        <v>1.49</v>
      </c>
      <c r="K6810">
        <v>0</v>
      </c>
    </row>
    <row r="6811" spans="1:11" x14ac:dyDescent="0.2">
      <c r="A6811">
        <v>99020</v>
      </c>
      <c r="B6811">
        <v>5604187</v>
      </c>
      <c r="C6811" t="s">
        <v>9925</v>
      </c>
      <c r="D6811">
        <v>10</v>
      </c>
      <c r="E6811">
        <v>12</v>
      </c>
      <c r="F6811">
        <v>0</v>
      </c>
      <c r="G6811">
        <v>0</v>
      </c>
      <c r="H6811">
        <v>96</v>
      </c>
      <c r="I6811">
        <v>0</v>
      </c>
      <c r="J6811">
        <v>2.4900000000000002</v>
      </c>
      <c r="K6811">
        <v>0</v>
      </c>
    </row>
    <row r="6812" spans="1:11" x14ac:dyDescent="0.2">
      <c r="A6812">
        <v>48635</v>
      </c>
      <c r="B6812">
        <v>5604198</v>
      </c>
      <c r="C6812" t="s">
        <v>9926</v>
      </c>
      <c r="D6812">
        <v>10</v>
      </c>
      <c r="E6812">
        <v>1</v>
      </c>
      <c r="F6812">
        <v>20</v>
      </c>
      <c r="G6812">
        <v>20</v>
      </c>
      <c r="H6812">
        <v>114</v>
      </c>
      <c r="I6812">
        <v>0.2</v>
      </c>
      <c r="J6812">
        <v>12.99</v>
      </c>
      <c r="K6812">
        <v>259.8</v>
      </c>
    </row>
    <row r="6813" spans="1:11" x14ac:dyDescent="0.2">
      <c r="A6813">
        <v>48636</v>
      </c>
      <c r="B6813">
        <v>5604199</v>
      </c>
      <c r="C6813" t="s">
        <v>9927</v>
      </c>
      <c r="D6813">
        <v>10</v>
      </c>
      <c r="E6813">
        <v>6</v>
      </c>
      <c r="F6813">
        <v>0</v>
      </c>
      <c r="G6813">
        <v>0</v>
      </c>
      <c r="H6813">
        <v>96</v>
      </c>
      <c r="I6813">
        <v>0</v>
      </c>
      <c r="J6813">
        <v>22.99</v>
      </c>
      <c r="K6813">
        <v>0</v>
      </c>
    </row>
    <row r="6814" spans="1:11" x14ac:dyDescent="0.2">
      <c r="A6814">
        <v>91071</v>
      </c>
      <c r="B6814">
        <v>5604206</v>
      </c>
      <c r="C6814" t="s">
        <v>9928</v>
      </c>
      <c r="D6814">
        <v>8</v>
      </c>
      <c r="E6814">
        <v>1</v>
      </c>
      <c r="F6814">
        <v>485</v>
      </c>
      <c r="G6814">
        <v>485</v>
      </c>
      <c r="H6814">
        <v>480</v>
      </c>
      <c r="I6814">
        <v>1</v>
      </c>
      <c r="J6814">
        <v>7.29</v>
      </c>
      <c r="K6814">
        <v>3535.65</v>
      </c>
    </row>
    <row r="6815" spans="1:11" x14ac:dyDescent="0.2">
      <c r="A6815">
        <v>83074</v>
      </c>
      <c r="B6815">
        <v>5604210</v>
      </c>
      <c r="C6815" t="s">
        <v>9929</v>
      </c>
      <c r="D6815">
        <v>8</v>
      </c>
      <c r="E6815">
        <v>8</v>
      </c>
      <c r="F6815">
        <v>734</v>
      </c>
      <c r="G6815">
        <v>5872</v>
      </c>
      <c r="H6815">
        <v>168</v>
      </c>
      <c r="I6815">
        <v>4.4000000000000004</v>
      </c>
      <c r="J6815">
        <v>1.1499999999999999</v>
      </c>
      <c r="K6815">
        <v>6752.8</v>
      </c>
    </row>
    <row r="6816" spans="1:11" x14ac:dyDescent="0.2">
      <c r="A6816">
        <v>83091</v>
      </c>
      <c r="B6816">
        <v>5604212</v>
      </c>
      <c r="C6816" t="s">
        <v>9930</v>
      </c>
      <c r="D6816">
        <v>8</v>
      </c>
      <c r="E6816">
        <v>8</v>
      </c>
      <c r="F6816">
        <v>499</v>
      </c>
      <c r="G6816">
        <v>3992</v>
      </c>
      <c r="H6816">
        <v>168</v>
      </c>
      <c r="I6816">
        <v>3</v>
      </c>
      <c r="J6816">
        <v>1.29</v>
      </c>
      <c r="K6816">
        <v>5149.68</v>
      </c>
    </row>
    <row r="6817" spans="1:11" x14ac:dyDescent="0.2">
      <c r="A6817">
        <v>99259</v>
      </c>
      <c r="B6817">
        <v>5604215</v>
      </c>
      <c r="C6817" t="s">
        <v>9931</v>
      </c>
      <c r="D6817">
        <v>10</v>
      </c>
      <c r="E6817">
        <v>6</v>
      </c>
      <c r="F6817">
        <v>0</v>
      </c>
      <c r="G6817">
        <v>0</v>
      </c>
      <c r="H6817">
        <v>72</v>
      </c>
      <c r="I6817">
        <v>0</v>
      </c>
      <c r="J6817">
        <v>8.99</v>
      </c>
      <c r="K6817">
        <v>0</v>
      </c>
    </row>
    <row r="6818" spans="1:11" x14ac:dyDescent="0.2">
      <c r="B6818">
        <v>5604219</v>
      </c>
      <c r="C6818" t="s">
        <v>9932</v>
      </c>
      <c r="D6818">
        <v>11</v>
      </c>
      <c r="E6818">
        <v>6</v>
      </c>
      <c r="F6818">
        <v>-1</v>
      </c>
      <c r="G6818">
        <v>-6</v>
      </c>
      <c r="H6818">
        <v>140</v>
      </c>
      <c r="I6818">
        <v>0</v>
      </c>
      <c r="J6818">
        <v>0.99</v>
      </c>
      <c r="K6818">
        <v>-5.94</v>
      </c>
    </row>
    <row r="6819" spans="1:11" x14ac:dyDescent="0.2">
      <c r="B6819">
        <v>5604220</v>
      </c>
      <c r="C6819" t="s">
        <v>9933</v>
      </c>
      <c r="D6819">
        <v>11</v>
      </c>
      <c r="E6819">
        <v>7</v>
      </c>
      <c r="F6819">
        <v>0</v>
      </c>
      <c r="G6819">
        <v>0</v>
      </c>
      <c r="H6819">
        <v>108</v>
      </c>
      <c r="I6819">
        <v>0</v>
      </c>
      <c r="J6819">
        <v>1.27</v>
      </c>
      <c r="K6819">
        <v>0</v>
      </c>
    </row>
    <row r="6820" spans="1:11" x14ac:dyDescent="0.2">
      <c r="A6820">
        <v>49509</v>
      </c>
      <c r="B6820">
        <v>5604224</v>
      </c>
      <c r="C6820" t="s">
        <v>9934</v>
      </c>
      <c r="D6820">
        <v>10</v>
      </c>
      <c r="E6820">
        <v>12</v>
      </c>
      <c r="F6820">
        <v>6</v>
      </c>
      <c r="G6820">
        <v>72</v>
      </c>
      <c r="H6820">
        <v>70</v>
      </c>
      <c r="I6820">
        <v>0.1</v>
      </c>
      <c r="J6820">
        <v>1.79</v>
      </c>
      <c r="K6820">
        <v>128.88</v>
      </c>
    </row>
    <row r="6821" spans="1:11" x14ac:dyDescent="0.2">
      <c r="A6821">
        <v>72214</v>
      </c>
      <c r="B6821">
        <v>5604227</v>
      </c>
      <c r="C6821" t="s">
        <v>9935</v>
      </c>
      <c r="D6821">
        <v>8</v>
      </c>
      <c r="E6821">
        <v>6</v>
      </c>
      <c r="F6821">
        <v>1763</v>
      </c>
      <c r="G6821">
        <v>10576</v>
      </c>
      <c r="H6821">
        <v>144</v>
      </c>
      <c r="I6821">
        <v>12.2</v>
      </c>
      <c r="J6821">
        <v>2.99</v>
      </c>
      <c r="K6821">
        <v>31622.240000000002</v>
      </c>
    </row>
    <row r="6822" spans="1:11" x14ac:dyDescent="0.2">
      <c r="B6822">
        <v>5604235</v>
      </c>
      <c r="C6822" t="s">
        <v>9936</v>
      </c>
      <c r="D6822">
        <v>11</v>
      </c>
      <c r="E6822">
        <v>1</v>
      </c>
      <c r="F6822">
        <v>-5</v>
      </c>
      <c r="G6822">
        <v>-5</v>
      </c>
      <c r="H6822">
        <v>432</v>
      </c>
      <c r="I6822">
        <v>0</v>
      </c>
      <c r="J6822">
        <v>2.39</v>
      </c>
      <c r="K6822">
        <v>-11.95</v>
      </c>
    </row>
    <row r="6823" spans="1:11" x14ac:dyDescent="0.2">
      <c r="A6823">
        <v>87084</v>
      </c>
      <c r="B6823">
        <v>5604236</v>
      </c>
      <c r="C6823" t="s">
        <v>9937</v>
      </c>
      <c r="D6823">
        <v>11</v>
      </c>
      <c r="E6823">
        <v>8</v>
      </c>
      <c r="F6823">
        <v>0</v>
      </c>
      <c r="G6823">
        <v>0</v>
      </c>
      <c r="H6823">
        <v>135</v>
      </c>
      <c r="I6823">
        <v>0</v>
      </c>
      <c r="J6823">
        <v>3.79</v>
      </c>
      <c r="K6823">
        <v>0</v>
      </c>
    </row>
    <row r="6824" spans="1:11" x14ac:dyDescent="0.2">
      <c r="A6824">
        <v>74076</v>
      </c>
      <c r="B6824">
        <v>5604238</v>
      </c>
      <c r="C6824" t="s">
        <v>9938</v>
      </c>
      <c r="D6824">
        <v>8</v>
      </c>
      <c r="E6824">
        <v>12</v>
      </c>
      <c r="F6824">
        <v>186</v>
      </c>
      <c r="G6824">
        <v>2232</v>
      </c>
      <c r="H6824">
        <v>45</v>
      </c>
      <c r="I6824">
        <v>4.0999999999999996</v>
      </c>
      <c r="J6824">
        <v>2.19</v>
      </c>
      <c r="K6824">
        <v>4888.08</v>
      </c>
    </row>
    <row r="6825" spans="1:11" x14ac:dyDescent="0.2">
      <c r="A6825">
        <v>48510</v>
      </c>
      <c r="B6825">
        <v>5604240</v>
      </c>
      <c r="C6825" t="s">
        <v>9939</v>
      </c>
      <c r="D6825">
        <v>10</v>
      </c>
      <c r="E6825">
        <v>7</v>
      </c>
      <c r="F6825">
        <v>3</v>
      </c>
      <c r="G6825">
        <v>21</v>
      </c>
      <c r="H6825">
        <v>200</v>
      </c>
      <c r="I6825">
        <v>0</v>
      </c>
      <c r="J6825">
        <v>2.69</v>
      </c>
      <c r="K6825">
        <v>56.49</v>
      </c>
    </row>
    <row r="6826" spans="1:11" x14ac:dyDescent="0.2">
      <c r="A6826">
        <v>48637</v>
      </c>
      <c r="B6826">
        <v>5604252</v>
      </c>
      <c r="C6826" t="s">
        <v>9940</v>
      </c>
      <c r="D6826">
        <v>10</v>
      </c>
      <c r="E6826">
        <v>4</v>
      </c>
      <c r="F6826">
        <v>15</v>
      </c>
      <c r="G6826">
        <v>58</v>
      </c>
      <c r="H6826">
        <v>45</v>
      </c>
      <c r="I6826">
        <v>0.3</v>
      </c>
      <c r="J6826">
        <v>9.99</v>
      </c>
      <c r="K6826">
        <v>579.41999999999996</v>
      </c>
    </row>
    <row r="6827" spans="1:11" x14ac:dyDescent="0.2">
      <c r="A6827">
        <v>48638</v>
      </c>
      <c r="B6827">
        <v>5604253</v>
      </c>
      <c r="C6827" t="s">
        <v>9941</v>
      </c>
      <c r="D6827">
        <v>10</v>
      </c>
      <c r="E6827">
        <v>2</v>
      </c>
      <c r="F6827">
        <v>20</v>
      </c>
      <c r="G6827">
        <v>39</v>
      </c>
      <c r="H6827">
        <v>45</v>
      </c>
      <c r="I6827">
        <v>0.4</v>
      </c>
      <c r="J6827">
        <v>19.989999999999998</v>
      </c>
      <c r="K6827">
        <v>779.61</v>
      </c>
    </row>
    <row r="6828" spans="1:11" x14ac:dyDescent="0.2">
      <c r="A6828">
        <v>50505</v>
      </c>
      <c r="B6828">
        <v>5604254</v>
      </c>
      <c r="C6828" t="s">
        <v>4096</v>
      </c>
      <c r="D6828">
        <v>10</v>
      </c>
      <c r="E6828">
        <v>12</v>
      </c>
      <c r="F6828">
        <v>3</v>
      </c>
      <c r="G6828">
        <v>36</v>
      </c>
      <c r="H6828">
        <v>90</v>
      </c>
      <c r="I6828">
        <v>0</v>
      </c>
      <c r="J6828">
        <v>4.1900000000000004</v>
      </c>
      <c r="K6828">
        <v>150.84</v>
      </c>
    </row>
    <row r="6829" spans="1:11" x14ac:dyDescent="0.2">
      <c r="B6829">
        <v>5604259</v>
      </c>
      <c r="C6829" t="s">
        <v>9942</v>
      </c>
      <c r="D6829">
        <v>11</v>
      </c>
      <c r="E6829">
        <v>12</v>
      </c>
      <c r="F6829">
        <v>0</v>
      </c>
      <c r="G6829">
        <v>0</v>
      </c>
      <c r="H6829">
        <v>100</v>
      </c>
      <c r="I6829">
        <v>0</v>
      </c>
      <c r="J6829">
        <v>0.89</v>
      </c>
      <c r="K6829">
        <v>0</v>
      </c>
    </row>
    <row r="6830" spans="1:11" x14ac:dyDescent="0.2">
      <c r="A6830">
        <v>66083</v>
      </c>
      <c r="B6830">
        <v>5604271</v>
      </c>
      <c r="C6830" t="s">
        <v>9943</v>
      </c>
      <c r="D6830">
        <v>8</v>
      </c>
      <c r="E6830">
        <v>6</v>
      </c>
      <c r="F6830">
        <v>929</v>
      </c>
      <c r="G6830">
        <v>5573</v>
      </c>
      <c r="H6830">
        <v>105</v>
      </c>
      <c r="I6830">
        <v>8.8000000000000007</v>
      </c>
      <c r="J6830">
        <v>1.19</v>
      </c>
      <c r="K6830">
        <v>6631.87</v>
      </c>
    </row>
    <row r="6831" spans="1:11" x14ac:dyDescent="0.2">
      <c r="B6831">
        <v>5604274</v>
      </c>
      <c r="C6831" t="s">
        <v>5311</v>
      </c>
      <c r="D6831">
        <v>11</v>
      </c>
      <c r="E6831">
        <v>12</v>
      </c>
      <c r="F6831">
        <v>0</v>
      </c>
      <c r="G6831">
        <v>0</v>
      </c>
      <c r="H6831">
        <v>120</v>
      </c>
      <c r="I6831">
        <v>0</v>
      </c>
      <c r="J6831">
        <v>1.49</v>
      </c>
      <c r="K6831">
        <v>0</v>
      </c>
    </row>
    <row r="6832" spans="1:11" x14ac:dyDescent="0.2">
      <c r="A6832">
        <v>91134</v>
      </c>
      <c r="B6832">
        <v>5604277</v>
      </c>
      <c r="C6832" t="s">
        <v>9944</v>
      </c>
      <c r="D6832">
        <v>8</v>
      </c>
      <c r="E6832">
        <v>1</v>
      </c>
      <c r="F6832">
        <v>480</v>
      </c>
      <c r="G6832">
        <v>480</v>
      </c>
      <c r="H6832">
        <v>360</v>
      </c>
      <c r="I6832">
        <v>1.3</v>
      </c>
      <c r="J6832">
        <v>7.99</v>
      </c>
      <c r="K6832">
        <v>3835.2</v>
      </c>
    </row>
    <row r="6833" spans="1:11" x14ac:dyDescent="0.2">
      <c r="B6833">
        <v>5604286</v>
      </c>
      <c r="C6833" t="s">
        <v>9945</v>
      </c>
      <c r="D6833">
        <v>6</v>
      </c>
      <c r="E6833">
        <v>1</v>
      </c>
      <c r="F6833">
        <v>0</v>
      </c>
      <c r="G6833">
        <v>0</v>
      </c>
      <c r="H6833">
        <v>176</v>
      </c>
      <c r="I6833">
        <v>0</v>
      </c>
      <c r="J6833">
        <v>5.99</v>
      </c>
      <c r="K6833">
        <v>0</v>
      </c>
    </row>
    <row r="6834" spans="1:11" x14ac:dyDescent="0.2">
      <c r="A6834">
        <v>3530</v>
      </c>
      <c r="B6834">
        <v>5604287</v>
      </c>
      <c r="C6834" t="s">
        <v>9946</v>
      </c>
      <c r="D6834">
        <v>6</v>
      </c>
      <c r="E6834">
        <v>12</v>
      </c>
      <c r="F6834">
        <v>0</v>
      </c>
      <c r="G6834">
        <v>0</v>
      </c>
      <c r="H6834">
        <v>120</v>
      </c>
      <c r="I6834">
        <v>0</v>
      </c>
      <c r="J6834">
        <v>2.4900000000000002</v>
      </c>
      <c r="K6834">
        <v>0</v>
      </c>
    </row>
    <row r="6835" spans="1:11" x14ac:dyDescent="0.2">
      <c r="A6835">
        <v>30649</v>
      </c>
      <c r="B6835">
        <v>5604288</v>
      </c>
      <c r="C6835" t="s">
        <v>9947</v>
      </c>
      <c r="D6835">
        <v>10</v>
      </c>
      <c r="E6835">
        <v>6</v>
      </c>
      <c r="F6835">
        <v>0</v>
      </c>
      <c r="G6835">
        <v>0</v>
      </c>
      <c r="H6835">
        <v>125</v>
      </c>
      <c r="I6835">
        <v>0</v>
      </c>
      <c r="J6835">
        <v>11</v>
      </c>
      <c r="K6835">
        <v>0</v>
      </c>
    </row>
    <row r="6836" spans="1:11" x14ac:dyDescent="0.2">
      <c r="A6836">
        <v>82149</v>
      </c>
      <c r="B6836">
        <v>5604290</v>
      </c>
      <c r="C6836" t="s">
        <v>9948</v>
      </c>
      <c r="D6836">
        <v>8</v>
      </c>
      <c r="E6836">
        <v>8</v>
      </c>
      <c r="F6836">
        <v>121</v>
      </c>
      <c r="G6836">
        <v>968</v>
      </c>
      <c r="H6836">
        <v>48</v>
      </c>
      <c r="I6836">
        <v>2.5</v>
      </c>
      <c r="J6836">
        <v>1.99</v>
      </c>
      <c r="K6836">
        <v>1926.32</v>
      </c>
    </row>
    <row r="6837" spans="1:11" x14ac:dyDescent="0.2">
      <c r="A6837">
        <v>43519</v>
      </c>
      <c r="B6837">
        <v>5604294</v>
      </c>
      <c r="C6837" t="s">
        <v>9949</v>
      </c>
      <c r="D6837">
        <v>10</v>
      </c>
      <c r="E6837">
        <v>6</v>
      </c>
      <c r="F6837">
        <v>3</v>
      </c>
      <c r="G6837">
        <v>18</v>
      </c>
      <c r="H6837">
        <v>36</v>
      </c>
      <c r="I6837">
        <v>0.1</v>
      </c>
      <c r="J6837">
        <v>13.79</v>
      </c>
      <c r="K6837">
        <v>248.22</v>
      </c>
    </row>
    <row r="6838" spans="1:11" x14ac:dyDescent="0.2">
      <c r="A6838">
        <v>43520</v>
      </c>
      <c r="B6838">
        <v>5604296</v>
      </c>
      <c r="C6838" t="s">
        <v>9950</v>
      </c>
      <c r="D6838">
        <v>10</v>
      </c>
      <c r="E6838">
        <v>12</v>
      </c>
      <c r="F6838">
        <v>3</v>
      </c>
      <c r="G6838">
        <v>36</v>
      </c>
      <c r="H6838">
        <v>48</v>
      </c>
      <c r="I6838">
        <v>0.1</v>
      </c>
      <c r="J6838">
        <v>3.99</v>
      </c>
      <c r="K6838">
        <v>143.63999999999999</v>
      </c>
    </row>
    <row r="6839" spans="1:11" x14ac:dyDescent="0.2">
      <c r="A6839">
        <v>83065</v>
      </c>
      <c r="B6839">
        <v>5604299</v>
      </c>
      <c r="C6839" t="s">
        <v>9951</v>
      </c>
      <c r="D6839">
        <v>8</v>
      </c>
      <c r="E6839">
        <v>14</v>
      </c>
      <c r="F6839">
        <v>124</v>
      </c>
      <c r="G6839">
        <v>1736</v>
      </c>
      <c r="H6839">
        <v>60</v>
      </c>
      <c r="I6839">
        <v>2.1</v>
      </c>
      <c r="J6839">
        <v>1.39</v>
      </c>
      <c r="K6839">
        <v>2413.04</v>
      </c>
    </row>
    <row r="6840" spans="1:11" x14ac:dyDescent="0.2">
      <c r="A6840">
        <v>38518</v>
      </c>
      <c r="B6840">
        <v>5604303</v>
      </c>
      <c r="C6840" t="s">
        <v>9952</v>
      </c>
      <c r="D6840">
        <v>10</v>
      </c>
      <c r="E6840">
        <v>8</v>
      </c>
      <c r="F6840">
        <v>4</v>
      </c>
      <c r="G6840">
        <v>32</v>
      </c>
      <c r="H6840">
        <v>105</v>
      </c>
      <c r="I6840">
        <v>0</v>
      </c>
      <c r="J6840">
        <v>1.99</v>
      </c>
      <c r="K6840">
        <v>63.68</v>
      </c>
    </row>
    <row r="6841" spans="1:11" x14ac:dyDescent="0.2">
      <c r="A6841">
        <v>3521</v>
      </c>
      <c r="B6841">
        <v>5604304</v>
      </c>
      <c r="C6841" t="s">
        <v>9953</v>
      </c>
      <c r="D6841">
        <v>6</v>
      </c>
      <c r="E6841">
        <v>8</v>
      </c>
      <c r="F6841">
        <v>0</v>
      </c>
      <c r="G6841">
        <v>0</v>
      </c>
      <c r="H6841">
        <v>140</v>
      </c>
      <c r="I6841">
        <v>0</v>
      </c>
      <c r="J6841">
        <v>1.79</v>
      </c>
      <c r="K6841">
        <v>0</v>
      </c>
    </row>
    <row r="6842" spans="1:11" x14ac:dyDescent="0.2">
      <c r="A6842">
        <v>3522</v>
      </c>
      <c r="B6842">
        <v>5604305</v>
      </c>
      <c r="C6842" t="s">
        <v>9954</v>
      </c>
      <c r="D6842">
        <v>6</v>
      </c>
      <c r="E6842">
        <v>8</v>
      </c>
      <c r="F6842">
        <v>0</v>
      </c>
      <c r="G6842">
        <v>0</v>
      </c>
      <c r="H6842">
        <v>140</v>
      </c>
      <c r="I6842">
        <v>0</v>
      </c>
      <c r="J6842">
        <v>1.79</v>
      </c>
      <c r="K6842">
        <v>0</v>
      </c>
    </row>
    <row r="6843" spans="1:11" x14ac:dyDescent="0.2">
      <c r="B6843">
        <v>5604322</v>
      </c>
      <c r="C6843" t="s">
        <v>9955</v>
      </c>
      <c r="D6843">
        <v>11</v>
      </c>
      <c r="E6843">
        <v>1</v>
      </c>
      <c r="F6843">
        <v>0</v>
      </c>
      <c r="G6843">
        <v>0</v>
      </c>
      <c r="H6843">
        <v>1024</v>
      </c>
      <c r="I6843">
        <v>0</v>
      </c>
      <c r="J6843">
        <v>2.79</v>
      </c>
      <c r="K6843">
        <v>0</v>
      </c>
    </row>
    <row r="6844" spans="1:11" x14ac:dyDescent="0.2">
      <c r="A6844">
        <v>87024</v>
      </c>
      <c r="B6844">
        <v>5604326</v>
      </c>
      <c r="C6844" t="s">
        <v>9956</v>
      </c>
      <c r="D6844">
        <v>8</v>
      </c>
      <c r="E6844">
        <v>10</v>
      </c>
      <c r="F6844">
        <v>216</v>
      </c>
      <c r="G6844">
        <v>2160</v>
      </c>
      <c r="H6844">
        <v>72</v>
      </c>
      <c r="I6844">
        <v>3</v>
      </c>
      <c r="J6844">
        <v>2.29</v>
      </c>
      <c r="K6844">
        <v>4946.3999999999996</v>
      </c>
    </row>
    <row r="6845" spans="1:11" x14ac:dyDescent="0.2">
      <c r="A6845">
        <v>41642</v>
      </c>
      <c r="B6845">
        <v>5604331</v>
      </c>
      <c r="C6845" t="s">
        <v>9957</v>
      </c>
      <c r="D6845">
        <v>10</v>
      </c>
      <c r="E6845">
        <v>11</v>
      </c>
      <c r="F6845">
        <v>0</v>
      </c>
      <c r="G6845">
        <v>0</v>
      </c>
      <c r="H6845">
        <v>32</v>
      </c>
      <c r="I6845">
        <v>0</v>
      </c>
      <c r="J6845">
        <v>2.99</v>
      </c>
      <c r="K6845">
        <v>0</v>
      </c>
    </row>
    <row r="6846" spans="1:11" x14ac:dyDescent="0.2">
      <c r="B6846">
        <v>5604332</v>
      </c>
      <c r="C6846" t="s">
        <v>9958</v>
      </c>
      <c r="D6846">
        <v>11</v>
      </c>
      <c r="E6846">
        <v>12</v>
      </c>
      <c r="F6846">
        <v>0</v>
      </c>
      <c r="G6846">
        <v>0</v>
      </c>
      <c r="H6846">
        <v>77</v>
      </c>
      <c r="I6846">
        <v>0</v>
      </c>
      <c r="J6846">
        <v>2.39</v>
      </c>
      <c r="K6846">
        <v>0</v>
      </c>
    </row>
    <row r="6847" spans="1:11" x14ac:dyDescent="0.2">
      <c r="A6847">
        <v>48608</v>
      </c>
      <c r="B6847">
        <v>5604340</v>
      </c>
      <c r="C6847" t="s">
        <v>9959</v>
      </c>
      <c r="D6847">
        <v>10</v>
      </c>
      <c r="E6847">
        <v>18</v>
      </c>
      <c r="F6847">
        <v>1</v>
      </c>
      <c r="G6847">
        <v>18</v>
      </c>
      <c r="H6847">
        <v>48</v>
      </c>
      <c r="I6847">
        <v>0</v>
      </c>
      <c r="J6847">
        <v>1.99</v>
      </c>
      <c r="K6847">
        <v>35.82</v>
      </c>
    </row>
    <row r="6848" spans="1:11" x14ac:dyDescent="0.2">
      <c r="A6848">
        <v>83003</v>
      </c>
      <c r="B6848">
        <v>5604343</v>
      </c>
      <c r="C6848" t="s">
        <v>9960</v>
      </c>
      <c r="D6848">
        <v>8</v>
      </c>
      <c r="E6848">
        <v>15</v>
      </c>
      <c r="F6848">
        <v>127</v>
      </c>
      <c r="G6848">
        <v>1905</v>
      </c>
      <c r="H6848">
        <v>60</v>
      </c>
      <c r="I6848">
        <v>2.1</v>
      </c>
      <c r="J6848">
        <v>1.99</v>
      </c>
      <c r="K6848">
        <v>3790.95</v>
      </c>
    </row>
    <row r="6849" spans="1:12" x14ac:dyDescent="0.2">
      <c r="B6849">
        <v>5604344</v>
      </c>
      <c r="C6849" t="s">
        <v>9961</v>
      </c>
      <c r="D6849">
        <v>11</v>
      </c>
      <c r="E6849">
        <v>10</v>
      </c>
      <c r="F6849">
        <v>0</v>
      </c>
      <c r="G6849">
        <v>0</v>
      </c>
      <c r="H6849">
        <v>90</v>
      </c>
      <c r="I6849">
        <v>0</v>
      </c>
      <c r="J6849">
        <v>1.49</v>
      </c>
      <c r="K6849">
        <v>0</v>
      </c>
    </row>
    <row r="6850" spans="1:12" x14ac:dyDescent="0.2">
      <c r="A6850">
        <v>43521</v>
      </c>
      <c r="B6850">
        <v>5604345</v>
      </c>
      <c r="C6850" t="s">
        <v>9962</v>
      </c>
      <c r="D6850">
        <v>10</v>
      </c>
      <c r="E6850">
        <v>10</v>
      </c>
      <c r="F6850">
        <v>3</v>
      </c>
      <c r="G6850">
        <v>30</v>
      </c>
      <c r="H6850">
        <v>90</v>
      </c>
      <c r="I6850">
        <v>0</v>
      </c>
      <c r="J6850">
        <v>1.29</v>
      </c>
      <c r="K6850">
        <v>38.700000000000003</v>
      </c>
    </row>
    <row r="6851" spans="1:12" x14ac:dyDescent="0.2">
      <c r="A6851">
        <v>82188</v>
      </c>
      <c r="B6851">
        <v>5604346</v>
      </c>
      <c r="C6851" t="s">
        <v>9963</v>
      </c>
      <c r="D6851">
        <v>8</v>
      </c>
      <c r="E6851">
        <v>8</v>
      </c>
      <c r="F6851">
        <v>177</v>
      </c>
      <c r="G6851">
        <v>1416</v>
      </c>
      <c r="H6851">
        <v>60</v>
      </c>
      <c r="I6851">
        <v>3</v>
      </c>
      <c r="J6851">
        <v>1.19</v>
      </c>
      <c r="K6851">
        <v>1685.04</v>
      </c>
    </row>
    <row r="6852" spans="1:12" x14ac:dyDescent="0.2">
      <c r="A6852">
        <v>0</v>
      </c>
      <c r="B6852">
        <v>5604346</v>
      </c>
      <c r="C6852" t="s">
        <v>9963</v>
      </c>
      <c r="D6852">
        <v>12</v>
      </c>
      <c r="E6852">
        <v>10</v>
      </c>
      <c r="F6852">
        <v>-55</v>
      </c>
      <c r="G6852">
        <v>-550</v>
      </c>
      <c r="H6852">
        <v>60</v>
      </c>
      <c r="I6852">
        <v>-0.9</v>
      </c>
      <c r="J6852">
        <v>1.19</v>
      </c>
      <c r="K6852">
        <v>-654.5</v>
      </c>
    </row>
    <row r="6853" spans="1:12" x14ac:dyDescent="0.2">
      <c r="A6853">
        <v>47508</v>
      </c>
      <c r="B6853">
        <v>5604349</v>
      </c>
      <c r="C6853" t="s">
        <v>9964</v>
      </c>
      <c r="D6853">
        <v>10</v>
      </c>
      <c r="E6853">
        <v>10</v>
      </c>
      <c r="F6853">
        <v>0</v>
      </c>
      <c r="G6853">
        <v>0</v>
      </c>
      <c r="H6853">
        <v>90</v>
      </c>
      <c r="I6853">
        <v>0</v>
      </c>
      <c r="J6853">
        <v>1.39</v>
      </c>
      <c r="K6853">
        <v>0</v>
      </c>
    </row>
    <row r="6854" spans="1:12" x14ac:dyDescent="0.2">
      <c r="A6854">
        <v>47509</v>
      </c>
      <c r="B6854">
        <v>5604350</v>
      </c>
      <c r="C6854" t="s">
        <v>9965</v>
      </c>
      <c r="D6854">
        <v>10</v>
      </c>
      <c r="E6854">
        <v>10</v>
      </c>
      <c r="F6854">
        <v>-3</v>
      </c>
      <c r="G6854">
        <v>-30</v>
      </c>
      <c r="H6854">
        <v>90</v>
      </c>
      <c r="I6854">
        <v>0</v>
      </c>
      <c r="J6854">
        <v>1.39</v>
      </c>
      <c r="K6854">
        <v>-41.7</v>
      </c>
    </row>
    <row r="6855" spans="1:12" x14ac:dyDescent="0.2">
      <c r="A6855">
        <v>99012</v>
      </c>
      <c r="B6855">
        <v>5604359</v>
      </c>
      <c r="C6855" t="s">
        <v>9966</v>
      </c>
      <c r="D6855">
        <v>10</v>
      </c>
      <c r="E6855">
        <v>12</v>
      </c>
      <c r="F6855">
        <v>0</v>
      </c>
      <c r="G6855">
        <v>0</v>
      </c>
      <c r="H6855">
        <v>84</v>
      </c>
      <c r="I6855">
        <v>0</v>
      </c>
      <c r="J6855">
        <v>2.29</v>
      </c>
      <c r="K6855">
        <v>0</v>
      </c>
    </row>
    <row r="6856" spans="1:12" x14ac:dyDescent="0.2">
      <c r="A6856">
        <v>99036</v>
      </c>
      <c r="B6856">
        <v>5604360</v>
      </c>
      <c r="C6856" t="s">
        <v>9967</v>
      </c>
      <c r="D6856">
        <v>10</v>
      </c>
      <c r="E6856">
        <v>12</v>
      </c>
      <c r="F6856">
        <v>0</v>
      </c>
      <c r="G6856">
        <v>0</v>
      </c>
      <c r="H6856">
        <v>84</v>
      </c>
      <c r="I6856">
        <v>0</v>
      </c>
      <c r="J6856">
        <v>2.2000000000000002</v>
      </c>
      <c r="K6856">
        <v>0</v>
      </c>
    </row>
    <row r="6857" spans="1:12" x14ac:dyDescent="0.2">
      <c r="A6857">
        <v>99650</v>
      </c>
      <c r="B6857">
        <v>5604361</v>
      </c>
      <c r="C6857" t="s">
        <v>9968</v>
      </c>
      <c r="D6857">
        <v>10</v>
      </c>
      <c r="E6857">
        <v>12</v>
      </c>
      <c r="F6857">
        <v>0</v>
      </c>
      <c r="G6857">
        <v>0</v>
      </c>
      <c r="H6857">
        <v>60</v>
      </c>
      <c r="I6857">
        <v>0</v>
      </c>
      <c r="J6857">
        <v>2.79</v>
      </c>
      <c r="K6857">
        <v>0</v>
      </c>
    </row>
    <row r="6858" spans="1:12" x14ac:dyDescent="0.2">
      <c r="A6858">
        <v>99563</v>
      </c>
      <c r="B6858">
        <v>5604362</v>
      </c>
      <c r="C6858" t="s">
        <v>9969</v>
      </c>
      <c r="D6858">
        <v>10</v>
      </c>
      <c r="E6858">
        <v>12</v>
      </c>
      <c r="F6858">
        <v>0</v>
      </c>
      <c r="G6858">
        <v>0</v>
      </c>
      <c r="H6858">
        <v>84</v>
      </c>
      <c r="I6858">
        <v>0</v>
      </c>
      <c r="J6858">
        <v>2.2000000000000002</v>
      </c>
      <c r="K6858">
        <v>0</v>
      </c>
    </row>
    <row r="6859" spans="1:12" x14ac:dyDescent="0.2">
      <c r="B6859">
        <v>5604363</v>
      </c>
      <c r="C6859" t="s">
        <v>9970</v>
      </c>
      <c r="D6859">
        <v>11</v>
      </c>
      <c r="E6859">
        <v>6</v>
      </c>
      <c r="F6859">
        <v>0</v>
      </c>
      <c r="G6859">
        <v>0</v>
      </c>
      <c r="H6859">
        <v>100</v>
      </c>
      <c r="I6859">
        <v>0</v>
      </c>
      <c r="J6859">
        <v>9.99</v>
      </c>
      <c r="K6859">
        <v>0</v>
      </c>
    </row>
    <row r="6860" spans="1:12" x14ac:dyDescent="0.2">
      <c r="A6860">
        <v>82047</v>
      </c>
      <c r="B6860">
        <v>5604366</v>
      </c>
      <c r="C6860" t="s">
        <v>9971</v>
      </c>
      <c r="D6860">
        <v>8</v>
      </c>
      <c r="E6860">
        <v>12</v>
      </c>
      <c r="F6860">
        <v>243</v>
      </c>
      <c r="G6860">
        <v>2916</v>
      </c>
      <c r="H6860">
        <v>80</v>
      </c>
      <c r="I6860">
        <v>3</v>
      </c>
      <c r="J6860">
        <v>1.64</v>
      </c>
      <c r="K6860">
        <v>4782.24</v>
      </c>
    </row>
    <row r="6861" spans="1:12" x14ac:dyDescent="0.2">
      <c r="B6861">
        <v>5604372</v>
      </c>
      <c r="C6861" t="s">
        <v>9972</v>
      </c>
      <c r="D6861">
        <v>12</v>
      </c>
      <c r="E6861">
        <v>90</v>
      </c>
      <c r="F6861">
        <v>0</v>
      </c>
      <c r="G6861">
        <v>0</v>
      </c>
      <c r="H6861">
        <v>4</v>
      </c>
      <c r="I6861">
        <v>0</v>
      </c>
      <c r="J6861">
        <v>2</v>
      </c>
      <c r="K6861">
        <v>0</v>
      </c>
      <c r="L6861" t="s">
        <v>3699</v>
      </c>
    </row>
    <row r="6862" spans="1:12" x14ac:dyDescent="0.2">
      <c r="B6862">
        <v>5604372</v>
      </c>
      <c r="C6862" t="s">
        <v>9972</v>
      </c>
      <c r="D6862">
        <v>12</v>
      </c>
      <c r="E6862">
        <v>132</v>
      </c>
      <c r="F6862">
        <v>0</v>
      </c>
      <c r="G6862">
        <v>0</v>
      </c>
      <c r="H6862">
        <v>4</v>
      </c>
      <c r="I6862">
        <v>0</v>
      </c>
      <c r="J6862">
        <v>2</v>
      </c>
      <c r="K6862">
        <v>0</v>
      </c>
      <c r="L6862" t="s">
        <v>3699</v>
      </c>
    </row>
    <row r="6863" spans="1:12" x14ac:dyDescent="0.2">
      <c r="A6863">
        <v>57619</v>
      </c>
      <c r="B6863">
        <v>5604379</v>
      </c>
      <c r="C6863" t="s">
        <v>9973</v>
      </c>
      <c r="D6863">
        <v>10</v>
      </c>
      <c r="E6863">
        <v>6</v>
      </c>
      <c r="F6863">
        <v>8</v>
      </c>
      <c r="G6863">
        <v>48</v>
      </c>
      <c r="H6863">
        <v>95</v>
      </c>
      <c r="I6863">
        <v>0.1</v>
      </c>
      <c r="J6863">
        <v>1.39</v>
      </c>
      <c r="K6863">
        <v>66.72</v>
      </c>
    </row>
    <row r="6864" spans="1:12" x14ac:dyDescent="0.2">
      <c r="A6864">
        <v>91022</v>
      </c>
      <c r="B6864">
        <v>5604380</v>
      </c>
      <c r="C6864" t="s">
        <v>9974</v>
      </c>
      <c r="D6864">
        <v>8</v>
      </c>
      <c r="E6864">
        <v>1</v>
      </c>
      <c r="F6864">
        <v>648</v>
      </c>
      <c r="G6864">
        <v>648</v>
      </c>
      <c r="H6864">
        <v>640</v>
      </c>
      <c r="I6864">
        <v>1</v>
      </c>
      <c r="J6864">
        <v>3.99</v>
      </c>
      <c r="K6864">
        <v>2585.52</v>
      </c>
    </row>
    <row r="6865" spans="1:11" x14ac:dyDescent="0.2">
      <c r="A6865">
        <v>91014</v>
      </c>
      <c r="B6865">
        <v>5604381</v>
      </c>
      <c r="C6865" t="s">
        <v>9975</v>
      </c>
      <c r="D6865">
        <v>8</v>
      </c>
      <c r="E6865">
        <v>1</v>
      </c>
      <c r="F6865">
        <v>450</v>
      </c>
      <c r="G6865">
        <v>450</v>
      </c>
      <c r="H6865">
        <v>624</v>
      </c>
      <c r="I6865">
        <v>0.7</v>
      </c>
      <c r="J6865">
        <v>3.79</v>
      </c>
      <c r="K6865">
        <v>1705.5</v>
      </c>
    </row>
    <row r="6866" spans="1:11" x14ac:dyDescent="0.2">
      <c r="A6866">
        <v>57620</v>
      </c>
      <c r="B6866">
        <v>5604389</v>
      </c>
      <c r="C6866" t="s">
        <v>9976</v>
      </c>
      <c r="D6866">
        <v>10</v>
      </c>
      <c r="E6866">
        <v>18</v>
      </c>
      <c r="F6866">
        <v>7</v>
      </c>
      <c r="G6866">
        <v>131</v>
      </c>
      <c r="H6866">
        <v>72</v>
      </c>
      <c r="I6866">
        <v>0.1</v>
      </c>
      <c r="J6866">
        <v>1.99</v>
      </c>
      <c r="K6866">
        <v>260.69</v>
      </c>
    </row>
    <row r="6867" spans="1:11" x14ac:dyDescent="0.2">
      <c r="B6867">
        <v>5604390</v>
      </c>
      <c r="C6867" t="s">
        <v>9977</v>
      </c>
      <c r="D6867">
        <v>11</v>
      </c>
      <c r="E6867">
        <v>13</v>
      </c>
      <c r="F6867">
        <v>0</v>
      </c>
      <c r="G6867">
        <v>0</v>
      </c>
      <c r="H6867">
        <v>80</v>
      </c>
      <c r="I6867">
        <v>0</v>
      </c>
      <c r="J6867">
        <v>2.79</v>
      </c>
      <c r="K6867">
        <v>0</v>
      </c>
    </row>
    <row r="6868" spans="1:11" x14ac:dyDescent="0.2">
      <c r="A6868">
        <v>1607</v>
      </c>
      <c r="B6868">
        <v>5604391</v>
      </c>
      <c r="C6868" t="s">
        <v>9978</v>
      </c>
      <c r="D6868">
        <v>6</v>
      </c>
      <c r="E6868">
        <v>13</v>
      </c>
      <c r="F6868">
        <v>0</v>
      </c>
      <c r="G6868">
        <v>0</v>
      </c>
      <c r="H6868">
        <v>80</v>
      </c>
      <c r="I6868">
        <v>0</v>
      </c>
      <c r="J6868">
        <v>3.29</v>
      </c>
      <c r="K6868">
        <v>0</v>
      </c>
    </row>
    <row r="6869" spans="1:11" x14ac:dyDescent="0.2">
      <c r="B6869">
        <v>5604393</v>
      </c>
      <c r="C6869" t="s">
        <v>9979</v>
      </c>
      <c r="D6869">
        <v>11</v>
      </c>
      <c r="E6869">
        <v>15</v>
      </c>
      <c r="F6869">
        <v>0</v>
      </c>
      <c r="G6869">
        <v>0</v>
      </c>
      <c r="H6869">
        <v>80</v>
      </c>
      <c r="I6869">
        <v>0</v>
      </c>
      <c r="J6869">
        <v>2.89</v>
      </c>
      <c r="K6869">
        <v>0</v>
      </c>
    </row>
    <row r="6870" spans="1:11" x14ac:dyDescent="0.2">
      <c r="A6870">
        <v>31642</v>
      </c>
      <c r="B6870">
        <v>5604395</v>
      </c>
      <c r="C6870" t="s">
        <v>9980</v>
      </c>
      <c r="D6870">
        <v>10</v>
      </c>
      <c r="E6870">
        <v>12</v>
      </c>
      <c r="F6870">
        <v>0</v>
      </c>
      <c r="G6870">
        <v>0</v>
      </c>
      <c r="H6870">
        <v>80</v>
      </c>
      <c r="I6870">
        <v>0</v>
      </c>
      <c r="J6870">
        <v>2.89</v>
      </c>
      <c r="K6870">
        <v>0</v>
      </c>
    </row>
    <row r="6871" spans="1:11" x14ac:dyDescent="0.2">
      <c r="A6871">
        <v>28520</v>
      </c>
      <c r="B6871">
        <v>5604396</v>
      </c>
      <c r="C6871" t="s">
        <v>9981</v>
      </c>
      <c r="D6871">
        <v>10</v>
      </c>
      <c r="E6871">
        <v>4</v>
      </c>
      <c r="F6871">
        <v>0</v>
      </c>
      <c r="G6871">
        <v>0</v>
      </c>
      <c r="H6871">
        <v>125</v>
      </c>
      <c r="I6871">
        <v>0</v>
      </c>
      <c r="J6871">
        <v>2.4900000000000002</v>
      </c>
      <c r="K6871">
        <v>0</v>
      </c>
    </row>
    <row r="6872" spans="1:11" x14ac:dyDescent="0.2">
      <c r="B6872">
        <v>5604397</v>
      </c>
      <c r="C6872" t="s">
        <v>9982</v>
      </c>
      <c r="D6872">
        <v>11</v>
      </c>
      <c r="E6872">
        <v>6</v>
      </c>
      <c r="F6872">
        <v>0</v>
      </c>
      <c r="G6872">
        <v>0</v>
      </c>
      <c r="H6872">
        <v>143</v>
      </c>
      <c r="I6872">
        <v>0</v>
      </c>
      <c r="J6872">
        <v>2.19</v>
      </c>
      <c r="K6872">
        <v>0</v>
      </c>
    </row>
    <row r="6873" spans="1:11" x14ac:dyDescent="0.2">
      <c r="A6873">
        <v>36511</v>
      </c>
      <c r="B6873">
        <v>5604398</v>
      </c>
      <c r="C6873" t="s">
        <v>9983</v>
      </c>
      <c r="D6873">
        <v>10</v>
      </c>
      <c r="E6873">
        <v>6</v>
      </c>
      <c r="F6873">
        <v>0</v>
      </c>
      <c r="G6873">
        <v>0</v>
      </c>
      <c r="H6873">
        <v>90</v>
      </c>
      <c r="I6873">
        <v>0</v>
      </c>
      <c r="J6873">
        <v>3.29</v>
      </c>
      <c r="K6873">
        <v>0</v>
      </c>
    </row>
    <row r="6874" spans="1:11" x14ac:dyDescent="0.2">
      <c r="A6874">
        <v>36512</v>
      </c>
      <c r="B6874">
        <v>5604399</v>
      </c>
      <c r="C6874" t="s">
        <v>9984</v>
      </c>
      <c r="D6874">
        <v>10</v>
      </c>
      <c r="E6874">
        <v>6</v>
      </c>
      <c r="F6874">
        <v>0</v>
      </c>
      <c r="G6874">
        <v>0</v>
      </c>
      <c r="H6874">
        <v>90</v>
      </c>
      <c r="I6874">
        <v>0</v>
      </c>
      <c r="J6874">
        <v>2.79</v>
      </c>
      <c r="K6874">
        <v>0</v>
      </c>
    </row>
    <row r="6875" spans="1:11" x14ac:dyDescent="0.2">
      <c r="B6875">
        <v>5604402</v>
      </c>
      <c r="C6875" t="s">
        <v>9985</v>
      </c>
      <c r="D6875">
        <v>11</v>
      </c>
      <c r="E6875">
        <v>1</v>
      </c>
      <c r="F6875">
        <v>5</v>
      </c>
      <c r="G6875">
        <v>5</v>
      </c>
      <c r="H6875">
        <v>416</v>
      </c>
      <c r="I6875">
        <v>0</v>
      </c>
      <c r="J6875">
        <v>7.79</v>
      </c>
      <c r="K6875">
        <v>38.950000000000003</v>
      </c>
    </row>
    <row r="6876" spans="1:11" x14ac:dyDescent="0.2">
      <c r="B6876">
        <v>5604403</v>
      </c>
      <c r="C6876" t="s">
        <v>9986</v>
      </c>
      <c r="D6876">
        <v>11</v>
      </c>
      <c r="E6876">
        <v>1</v>
      </c>
      <c r="F6876">
        <v>0</v>
      </c>
      <c r="G6876">
        <v>0</v>
      </c>
      <c r="H6876">
        <v>384</v>
      </c>
      <c r="I6876">
        <v>0</v>
      </c>
      <c r="J6876">
        <v>4.3899999999999997</v>
      </c>
      <c r="K6876">
        <v>0</v>
      </c>
    </row>
    <row r="6877" spans="1:11" x14ac:dyDescent="0.2">
      <c r="B6877">
        <v>5604408</v>
      </c>
      <c r="C6877" t="s">
        <v>9987</v>
      </c>
      <c r="D6877">
        <v>11</v>
      </c>
      <c r="E6877">
        <v>1</v>
      </c>
      <c r="F6877">
        <v>0</v>
      </c>
      <c r="G6877">
        <v>0</v>
      </c>
      <c r="H6877">
        <v>240</v>
      </c>
      <c r="I6877">
        <v>0</v>
      </c>
      <c r="J6877">
        <v>4.99</v>
      </c>
      <c r="K6877">
        <v>0</v>
      </c>
    </row>
    <row r="6878" spans="1:11" x14ac:dyDescent="0.2">
      <c r="A6878">
        <v>62193</v>
      </c>
      <c r="B6878">
        <v>5604413</v>
      </c>
      <c r="C6878" t="s">
        <v>9988</v>
      </c>
      <c r="D6878">
        <v>8</v>
      </c>
      <c r="E6878">
        <v>4</v>
      </c>
      <c r="F6878">
        <v>349</v>
      </c>
      <c r="G6878">
        <v>1396</v>
      </c>
      <c r="H6878">
        <v>80</v>
      </c>
      <c r="I6878">
        <v>4.4000000000000004</v>
      </c>
      <c r="J6878">
        <v>3.88</v>
      </c>
      <c r="K6878">
        <v>5416.48</v>
      </c>
    </row>
    <row r="6879" spans="1:11" x14ac:dyDescent="0.2">
      <c r="B6879">
        <v>5604413</v>
      </c>
      <c r="C6879" t="s">
        <v>9988</v>
      </c>
      <c r="D6879">
        <v>12</v>
      </c>
      <c r="E6879">
        <v>140</v>
      </c>
      <c r="F6879">
        <v>0</v>
      </c>
      <c r="G6879">
        <v>0</v>
      </c>
      <c r="H6879">
        <v>2</v>
      </c>
      <c r="I6879">
        <v>0</v>
      </c>
      <c r="J6879">
        <v>3.88</v>
      </c>
      <c r="K6879">
        <v>0</v>
      </c>
    </row>
    <row r="6880" spans="1:11" x14ac:dyDescent="0.2">
      <c r="A6880">
        <v>33514</v>
      </c>
      <c r="B6880">
        <v>5604414</v>
      </c>
      <c r="C6880" t="s">
        <v>9989</v>
      </c>
      <c r="D6880">
        <v>6</v>
      </c>
      <c r="E6880">
        <v>18</v>
      </c>
      <c r="F6880">
        <v>0</v>
      </c>
      <c r="G6880">
        <v>0</v>
      </c>
      <c r="H6880">
        <v>72</v>
      </c>
      <c r="I6880">
        <v>0</v>
      </c>
      <c r="J6880">
        <v>1.45</v>
      </c>
      <c r="K6880">
        <v>0</v>
      </c>
    </row>
    <row r="6881" spans="1:11" x14ac:dyDescent="0.2">
      <c r="B6881">
        <v>5604416</v>
      </c>
      <c r="C6881" t="s">
        <v>9990</v>
      </c>
      <c r="D6881">
        <v>11</v>
      </c>
      <c r="E6881">
        <v>6</v>
      </c>
      <c r="F6881">
        <v>-4</v>
      </c>
      <c r="G6881">
        <v>-24</v>
      </c>
      <c r="H6881">
        <v>100</v>
      </c>
      <c r="I6881">
        <v>0</v>
      </c>
      <c r="J6881">
        <v>3.99</v>
      </c>
      <c r="K6881">
        <v>-95.76</v>
      </c>
    </row>
    <row r="6882" spans="1:11" x14ac:dyDescent="0.2">
      <c r="B6882">
        <v>5604417</v>
      </c>
      <c r="C6882" t="s">
        <v>9991</v>
      </c>
      <c r="D6882">
        <v>11</v>
      </c>
      <c r="E6882">
        <v>6</v>
      </c>
      <c r="F6882">
        <v>2</v>
      </c>
      <c r="G6882">
        <v>12</v>
      </c>
      <c r="H6882">
        <v>100</v>
      </c>
      <c r="I6882">
        <v>0</v>
      </c>
      <c r="J6882">
        <v>3</v>
      </c>
      <c r="K6882">
        <v>36</v>
      </c>
    </row>
    <row r="6883" spans="1:11" x14ac:dyDescent="0.2">
      <c r="B6883">
        <v>5604420</v>
      </c>
      <c r="C6883" t="s">
        <v>9992</v>
      </c>
      <c r="D6883">
        <v>11</v>
      </c>
      <c r="E6883">
        <v>96</v>
      </c>
      <c r="F6883">
        <v>0</v>
      </c>
      <c r="G6883">
        <v>0</v>
      </c>
      <c r="H6883">
        <v>4</v>
      </c>
      <c r="I6883">
        <v>0</v>
      </c>
      <c r="J6883">
        <v>4.99</v>
      </c>
      <c r="K6883">
        <v>0</v>
      </c>
    </row>
    <row r="6884" spans="1:11" x14ac:dyDescent="0.2">
      <c r="A6884">
        <v>51623</v>
      </c>
      <c r="B6884">
        <v>5604421</v>
      </c>
      <c r="C6884" t="s">
        <v>9993</v>
      </c>
      <c r="D6884">
        <v>10</v>
      </c>
      <c r="E6884">
        <v>72</v>
      </c>
      <c r="F6884">
        <v>0</v>
      </c>
      <c r="G6884">
        <v>-23</v>
      </c>
      <c r="H6884">
        <v>4</v>
      </c>
      <c r="I6884">
        <v>-0.1</v>
      </c>
      <c r="J6884">
        <v>4.99</v>
      </c>
      <c r="K6884">
        <v>-114.77</v>
      </c>
    </row>
    <row r="6885" spans="1:11" x14ac:dyDescent="0.2">
      <c r="A6885">
        <v>91051</v>
      </c>
      <c r="B6885">
        <v>5604422</v>
      </c>
      <c r="C6885" t="s">
        <v>9994</v>
      </c>
      <c r="D6885">
        <v>8</v>
      </c>
      <c r="E6885">
        <v>1</v>
      </c>
      <c r="F6885">
        <v>174</v>
      </c>
      <c r="G6885">
        <v>174</v>
      </c>
      <c r="H6885">
        <v>240</v>
      </c>
      <c r="I6885">
        <v>0.7</v>
      </c>
      <c r="J6885">
        <v>7.99</v>
      </c>
      <c r="K6885">
        <v>1388.26</v>
      </c>
    </row>
    <row r="6886" spans="1:11" x14ac:dyDescent="0.2">
      <c r="A6886">
        <v>91049</v>
      </c>
      <c r="B6886">
        <v>5604423</v>
      </c>
      <c r="C6886" t="s">
        <v>9995</v>
      </c>
      <c r="D6886">
        <v>8</v>
      </c>
      <c r="E6886">
        <v>1</v>
      </c>
      <c r="F6886">
        <v>192</v>
      </c>
      <c r="G6886">
        <v>192</v>
      </c>
      <c r="H6886">
        <v>480</v>
      </c>
      <c r="I6886">
        <v>0.4</v>
      </c>
      <c r="J6886">
        <v>3.59</v>
      </c>
      <c r="K6886">
        <v>689.28</v>
      </c>
    </row>
    <row r="6887" spans="1:11" x14ac:dyDescent="0.2">
      <c r="B6887">
        <v>5604424</v>
      </c>
      <c r="C6887" t="s">
        <v>9996</v>
      </c>
      <c r="D6887">
        <v>11</v>
      </c>
      <c r="E6887">
        <v>1</v>
      </c>
      <c r="F6887">
        <v>0</v>
      </c>
      <c r="G6887">
        <v>0</v>
      </c>
      <c r="H6887">
        <v>320</v>
      </c>
      <c r="I6887">
        <v>0</v>
      </c>
      <c r="J6887">
        <v>19.989999999999998</v>
      </c>
      <c r="K6887">
        <v>0</v>
      </c>
    </row>
    <row r="6888" spans="1:11" x14ac:dyDescent="0.2">
      <c r="A6888">
        <v>76047</v>
      </c>
      <c r="B6888">
        <v>5604425</v>
      </c>
      <c r="C6888" t="s">
        <v>9997</v>
      </c>
      <c r="D6888">
        <v>8</v>
      </c>
      <c r="E6888">
        <v>12</v>
      </c>
      <c r="F6888">
        <v>104</v>
      </c>
      <c r="G6888">
        <v>1248</v>
      </c>
      <c r="H6888">
        <v>40</v>
      </c>
      <c r="I6888">
        <v>2.6</v>
      </c>
      <c r="J6888">
        <v>3.99</v>
      </c>
      <c r="K6888">
        <v>4979.5200000000004</v>
      </c>
    </row>
    <row r="6889" spans="1:11" x14ac:dyDescent="0.2">
      <c r="A6889">
        <v>3601</v>
      </c>
      <c r="B6889">
        <v>5604426</v>
      </c>
      <c r="C6889" t="s">
        <v>9998</v>
      </c>
      <c r="D6889">
        <v>6</v>
      </c>
      <c r="E6889">
        <v>18</v>
      </c>
      <c r="F6889">
        <v>0</v>
      </c>
      <c r="G6889">
        <v>0</v>
      </c>
      <c r="H6889">
        <v>64</v>
      </c>
      <c r="I6889">
        <v>0</v>
      </c>
      <c r="J6889">
        <v>1.99</v>
      </c>
      <c r="K6889">
        <v>0</v>
      </c>
    </row>
    <row r="6890" spans="1:11" x14ac:dyDescent="0.2">
      <c r="A6890">
        <v>52621</v>
      </c>
      <c r="B6890">
        <v>5604427</v>
      </c>
      <c r="C6890" t="s">
        <v>9999</v>
      </c>
      <c r="D6890">
        <v>6</v>
      </c>
      <c r="E6890">
        <v>4</v>
      </c>
      <c r="F6890">
        <v>240</v>
      </c>
      <c r="G6890">
        <v>960</v>
      </c>
      <c r="H6890">
        <v>48</v>
      </c>
      <c r="I6890">
        <v>5</v>
      </c>
      <c r="J6890">
        <v>4.99</v>
      </c>
      <c r="K6890">
        <v>4790.3999999999996</v>
      </c>
    </row>
    <row r="6891" spans="1:11" x14ac:dyDescent="0.2">
      <c r="A6891">
        <v>81160</v>
      </c>
      <c r="B6891">
        <v>5604429</v>
      </c>
      <c r="C6891" t="s">
        <v>10000</v>
      </c>
      <c r="D6891">
        <v>8</v>
      </c>
      <c r="E6891">
        <v>20</v>
      </c>
      <c r="F6891">
        <v>2402</v>
      </c>
      <c r="G6891">
        <v>48040</v>
      </c>
      <c r="H6891">
        <v>80</v>
      </c>
      <c r="I6891">
        <v>30</v>
      </c>
      <c r="J6891">
        <v>1.35</v>
      </c>
      <c r="K6891">
        <v>64854</v>
      </c>
    </row>
    <row r="6892" spans="1:11" x14ac:dyDescent="0.2">
      <c r="A6892">
        <v>91050</v>
      </c>
      <c r="B6892">
        <v>5604430</v>
      </c>
      <c r="C6892" t="s">
        <v>10001</v>
      </c>
      <c r="D6892">
        <v>8</v>
      </c>
      <c r="E6892">
        <v>1</v>
      </c>
      <c r="F6892">
        <v>474</v>
      </c>
      <c r="G6892">
        <v>474</v>
      </c>
      <c r="H6892">
        <v>480</v>
      </c>
      <c r="I6892">
        <v>1</v>
      </c>
      <c r="J6892">
        <v>2.59</v>
      </c>
      <c r="K6892">
        <v>1227.6600000000001</v>
      </c>
    </row>
    <row r="6893" spans="1:11" x14ac:dyDescent="0.2">
      <c r="A6893">
        <v>91053</v>
      </c>
      <c r="B6893">
        <v>5604431</v>
      </c>
      <c r="C6893" t="s">
        <v>10002</v>
      </c>
      <c r="D6893">
        <v>8</v>
      </c>
      <c r="E6893">
        <v>1</v>
      </c>
      <c r="F6893">
        <v>352</v>
      </c>
      <c r="G6893">
        <v>352</v>
      </c>
      <c r="H6893">
        <v>1152</v>
      </c>
      <c r="I6893">
        <v>0.3</v>
      </c>
      <c r="J6893">
        <v>1.99</v>
      </c>
      <c r="K6893">
        <v>700.48</v>
      </c>
    </row>
    <row r="6894" spans="1:11" x14ac:dyDescent="0.2">
      <c r="B6894">
        <v>5604440</v>
      </c>
      <c r="C6894" t="s">
        <v>10003</v>
      </c>
      <c r="D6894">
        <v>10</v>
      </c>
      <c r="E6894">
        <v>8</v>
      </c>
      <c r="F6894">
        <v>0</v>
      </c>
      <c r="G6894">
        <v>0</v>
      </c>
      <c r="H6894">
        <v>60</v>
      </c>
      <c r="I6894">
        <v>0</v>
      </c>
      <c r="J6894">
        <v>0.99</v>
      </c>
      <c r="K6894">
        <v>0</v>
      </c>
    </row>
    <row r="6895" spans="1:11" x14ac:dyDescent="0.2">
      <c r="A6895">
        <v>72038</v>
      </c>
      <c r="B6895">
        <v>5604441</v>
      </c>
      <c r="C6895" t="s">
        <v>10004</v>
      </c>
      <c r="D6895">
        <v>8</v>
      </c>
      <c r="E6895">
        <v>10</v>
      </c>
      <c r="F6895">
        <v>139</v>
      </c>
      <c r="G6895">
        <v>1390</v>
      </c>
      <c r="H6895">
        <v>60</v>
      </c>
      <c r="I6895">
        <v>2.2999999999999998</v>
      </c>
      <c r="J6895">
        <v>1.29</v>
      </c>
      <c r="K6895">
        <v>1793.1</v>
      </c>
    </row>
    <row r="6896" spans="1:11" x14ac:dyDescent="0.2">
      <c r="A6896">
        <v>57549</v>
      </c>
      <c r="B6896">
        <v>5604442</v>
      </c>
      <c r="C6896" t="s">
        <v>10005</v>
      </c>
      <c r="D6896">
        <v>10</v>
      </c>
      <c r="E6896">
        <v>6</v>
      </c>
      <c r="F6896">
        <v>11</v>
      </c>
      <c r="G6896">
        <v>68</v>
      </c>
      <c r="H6896">
        <v>84</v>
      </c>
      <c r="I6896">
        <v>0.1</v>
      </c>
      <c r="J6896">
        <v>0.99</v>
      </c>
      <c r="K6896">
        <v>67.319999999999993</v>
      </c>
    </row>
    <row r="6897" spans="1:12" x14ac:dyDescent="0.2">
      <c r="A6897">
        <v>52618</v>
      </c>
      <c r="B6897">
        <v>5604443</v>
      </c>
      <c r="C6897" t="s">
        <v>10005</v>
      </c>
      <c r="D6897">
        <v>6</v>
      </c>
      <c r="E6897">
        <v>12</v>
      </c>
      <c r="F6897">
        <v>195</v>
      </c>
      <c r="G6897">
        <v>2340</v>
      </c>
      <c r="H6897">
        <v>65</v>
      </c>
      <c r="I6897">
        <v>3</v>
      </c>
      <c r="J6897">
        <v>0.89</v>
      </c>
      <c r="K6897">
        <v>2082.6</v>
      </c>
    </row>
    <row r="6898" spans="1:12" x14ac:dyDescent="0.2">
      <c r="A6898">
        <v>52619</v>
      </c>
      <c r="B6898">
        <v>5604444</v>
      </c>
      <c r="C6898" t="s">
        <v>10006</v>
      </c>
      <c r="D6898">
        <v>6</v>
      </c>
      <c r="E6898">
        <v>12</v>
      </c>
      <c r="F6898">
        <v>260</v>
      </c>
      <c r="G6898">
        <v>3120</v>
      </c>
      <c r="H6898">
        <v>65</v>
      </c>
      <c r="I6898">
        <v>4</v>
      </c>
      <c r="J6898">
        <v>0.89</v>
      </c>
      <c r="K6898">
        <v>2776.8</v>
      </c>
    </row>
    <row r="6899" spans="1:12" x14ac:dyDescent="0.2">
      <c r="A6899">
        <v>52620</v>
      </c>
      <c r="B6899">
        <v>5604445</v>
      </c>
      <c r="C6899" t="s">
        <v>10007</v>
      </c>
      <c r="D6899">
        <v>6</v>
      </c>
      <c r="E6899">
        <v>12</v>
      </c>
      <c r="F6899">
        <v>130</v>
      </c>
      <c r="G6899">
        <v>1560</v>
      </c>
      <c r="H6899">
        <v>65</v>
      </c>
      <c r="I6899">
        <v>2</v>
      </c>
      <c r="J6899">
        <v>0.89</v>
      </c>
      <c r="K6899">
        <v>1388.4</v>
      </c>
    </row>
    <row r="6900" spans="1:12" x14ac:dyDescent="0.2">
      <c r="B6900">
        <v>5604446</v>
      </c>
      <c r="C6900" t="s">
        <v>10008</v>
      </c>
      <c r="D6900">
        <v>12</v>
      </c>
      <c r="E6900">
        <v>6</v>
      </c>
      <c r="F6900">
        <v>0</v>
      </c>
      <c r="G6900">
        <v>0</v>
      </c>
      <c r="H6900">
        <v>105</v>
      </c>
      <c r="I6900">
        <v>0</v>
      </c>
      <c r="J6900">
        <v>5.99</v>
      </c>
      <c r="K6900">
        <v>0</v>
      </c>
      <c r="L6900" t="s">
        <v>3699</v>
      </c>
    </row>
    <row r="6901" spans="1:12" x14ac:dyDescent="0.2">
      <c r="B6901">
        <v>5604450</v>
      </c>
      <c r="C6901" t="s">
        <v>10009</v>
      </c>
      <c r="D6901">
        <v>11</v>
      </c>
      <c r="E6901">
        <v>1</v>
      </c>
      <c r="F6901">
        <v>0</v>
      </c>
      <c r="G6901">
        <v>0</v>
      </c>
      <c r="H6901">
        <v>480</v>
      </c>
      <c r="I6901">
        <v>0</v>
      </c>
      <c r="J6901">
        <v>3.69</v>
      </c>
      <c r="K6901">
        <v>0</v>
      </c>
    </row>
    <row r="6902" spans="1:12" x14ac:dyDescent="0.2">
      <c r="A6902">
        <v>57453</v>
      </c>
      <c r="B6902">
        <v>5604452</v>
      </c>
      <c r="C6902" t="s">
        <v>10010</v>
      </c>
      <c r="D6902">
        <v>10</v>
      </c>
      <c r="E6902">
        <v>12</v>
      </c>
      <c r="F6902">
        <v>0</v>
      </c>
      <c r="G6902">
        <v>-1</v>
      </c>
      <c r="H6902">
        <v>102</v>
      </c>
      <c r="I6902">
        <v>0</v>
      </c>
      <c r="J6902">
        <v>1.59</v>
      </c>
      <c r="K6902">
        <v>-1.59</v>
      </c>
    </row>
    <row r="6903" spans="1:12" x14ac:dyDescent="0.2">
      <c r="A6903">
        <v>26616</v>
      </c>
      <c r="B6903">
        <v>5604456</v>
      </c>
      <c r="C6903" t="s">
        <v>10011</v>
      </c>
      <c r="D6903">
        <v>10</v>
      </c>
      <c r="E6903">
        <v>12</v>
      </c>
      <c r="F6903">
        <v>0</v>
      </c>
      <c r="G6903">
        <v>0</v>
      </c>
      <c r="H6903">
        <v>102</v>
      </c>
      <c r="I6903">
        <v>0</v>
      </c>
      <c r="J6903">
        <v>0.89</v>
      </c>
      <c r="K6903">
        <v>0</v>
      </c>
    </row>
    <row r="6904" spans="1:12" x14ac:dyDescent="0.2">
      <c r="A6904">
        <v>65215</v>
      </c>
      <c r="B6904">
        <v>5604457</v>
      </c>
      <c r="C6904" t="s">
        <v>10012</v>
      </c>
      <c r="D6904">
        <v>8</v>
      </c>
      <c r="E6904">
        <v>8</v>
      </c>
      <c r="F6904">
        <v>2124</v>
      </c>
      <c r="G6904">
        <v>16990</v>
      </c>
      <c r="H6904">
        <v>70</v>
      </c>
      <c r="I6904">
        <v>30.3</v>
      </c>
      <c r="J6904">
        <v>0.34</v>
      </c>
      <c r="K6904">
        <v>5776.6</v>
      </c>
    </row>
    <row r="6905" spans="1:12" x14ac:dyDescent="0.2">
      <c r="B6905">
        <v>5604458</v>
      </c>
      <c r="C6905" t="s">
        <v>10013</v>
      </c>
      <c r="D6905">
        <v>11</v>
      </c>
      <c r="E6905">
        <v>1</v>
      </c>
      <c r="F6905">
        <v>0</v>
      </c>
      <c r="G6905">
        <v>0</v>
      </c>
      <c r="H6905">
        <v>480</v>
      </c>
      <c r="I6905">
        <v>0</v>
      </c>
      <c r="J6905">
        <v>4.79</v>
      </c>
      <c r="K6905">
        <v>0</v>
      </c>
    </row>
    <row r="6906" spans="1:12" x14ac:dyDescent="0.2">
      <c r="B6906">
        <v>5604459</v>
      </c>
      <c r="C6906" t="s">
        <v>10014</v>
      </c>
      <c r="D6906">
        <v>11</v>
      </c>
      <c r="E6906">
        <v>1</v>
      </c>
      <c r="F6906">
        <v>0</v>
      </c>
      <c r="G6906">
        <v>0</v>
      </c>
      <c r="H6906">
        <v>480</v>
      </c>
      <c r="I6906">
        <v>0</v>
      </c>
      <c r="J6906">
        <v>4.99</v>
      </c>
      <c r="K6906">
        <v>0</v>
      </c>
    </row>
    <row r="6907" spans="1:12" x14ac:dyDescent="0.2">
      <c r="B6907">
        <v>5604478</v>
      </c>
      <c r="C6907" t="s">
        <v>10015</v>
      </c>
      <c r="D6907">
        <v>10</v>
      </c>
      <c r="E6907">
        <v>6</v>
      </c>
      <c r="F6907">
        <v>4</v>
      </c>
      <c r="G6907">
        <v>24</v>
      </c>
      <c r="H6907">
        <v>100</v>
      </c>
      <c r="I6907">
        <v>0</v>
      </c>
      <c r="J6907">
        <v>4.29</v>
      </c>
      <c r="K6907">
        <v>102.96</v>
      </c>
    </row>
    <row r="6908" spans="1:12" x14ac:dyDescent="0.2">
      <c r="A6908">
        <v>62122</v>
      </c>
      <c r="B6908">
        <v>5604482</v>
      </c>
      <c r="C6908" t="s">
        <v>10016</v>
      </c>
      <c r="D6908">
        <v>8</v>
      </c>
      <c r="E6908">
        <v>6</v>
      </c>
      <c r="F6908">
        <v>698</v>
      </c>
      <c r="G6908">
        <v>4188</v>
      </c>
      <c r="H6908">
        <v>80</v>
      </c>
      <c r="I6908">
        <v>8.6999999999999993</v>
      </c>
      <c r="J6908">
        <v>15.99</v>
      </c>
      <c r="K6908">
        <v>66966.12</v>
      </c>
    </row>
    <row r="6909" spans="1:12" x14ac:dyDescent="0.2">
      <c r="A6909">
        <v>83036</v>
      </c>
      <c r="B6909">
        <v>5604483</v>
      </c>
      <c r="C6909" t="s">
        <v>10017</v>
      </c>
      <c r="D6909">
        <v>8</v>
      </c>
      <c r="E6909">
        <v>12</v>
      </c>
      <c r="F6909">
        <v>188</v>
      </c>
      <c r="G6909">
        <v>2256</v>
      </c>
      <c r="H6909">
        <v>99</v>
      </c>
      <c r="I6909">
        <v>1.9</v>
      </c>
      <c r="J6909">
        <v>1.1299999999999999</v>
      </c>
      <c r="K6909">
        <v>2549.2800000000002</v>
      </c>
    </row>
    <row r="6910" spans="1:12" x14ac:dyDescent="0.2">
      <c r="A6910">
        <v>76230</v>
      </c>
      <c r="B6910">
        <v>5604489</v>
      </c>
      <c r="C6910" t="s">
        <v>10018</v>
      </c>
      <c r="D6910">
        <v>8</v>
      </c>
      <c r="E6910">
        <v>7</v>
      </c>
      <c r="F6910">
        <v>779</v>
      </c>
      <c r="G6910">
        <v>5453</v>
      </c>
      <c r="H6910">
        <v>60</v>
      </c>
      <c r="I6910">
        <v>13</v>
      </c>
      <c r="J6910">
        <v>1.0900000000000001</v>
      </c>
      <c r="K6910">
        <v>5943.77</v>
      </c>
    </row>
    <row r="6911" spans="1:12" x14ac:dyDescent="0.2">
      <c r="A6911">
        <v>52611</v>
      </c>
      <c r="B6911">
        <v>5604491</v>
      </c>
      <c r="C6911" t="s">
        <v>10019</v>
      </c>
      <c r="D6911">
        <v>6</v>
      </c>
      <c r="E6911">
        <v>6</v>
      </c>
      <c r="F6911">
        <v>210</v>
      </c>
      <c r="G6911">
        <v>1260</v>
      </c>
      <c r="H6911">
        <v>105</v>
      </c>
      <c r="I6911">
        <v>2</v>
      </c>
      <c r="J6911">
        <v>1.99</v>
      </c>
      <c r="K6911">
        <v>2507.4</v>
      </c>
    </row>
    <row r="6912" spans="1:12" x14ac:dyDescent="0.2">
      <c r="B6912">
        <v>5604503</v>
      </c>
      <c r="C6912" t="s">
        <v>10020</v>
      </c>
      <c r="D6912">
        <v>11</v>
      </c>
      <c r="E6912">
        <v>6</v>
      </c>
      <c r="F6912">
        <v>0</v>
      </c>
      <c r="G6912">
        <v>0</v>
      </c>
      <c r="H6912">
        <v>105</v>
      </c>
      <c r="I6912">
        <v>0</v>
      </c>
      <c r="J6912">
        <v>23.49</v>
      </c>
      <c r="K6912">
        <v>0</v>
      </c>
    </row>
    <row r="6913" spans="1:11" x14ac:dyDescent="0.2">
      <c r="A6913">
        <v>74128</v>
      </c>
      <c r="B6913">
        <v>5604507</v>
      </c>
      <c r="C6913" t="s">
        <v>10021</v>
      </c>
      <c r="D6913">
        <v>8</v>
      </c>
      <c r="E6913">
        <v>12</v>
      </c>
      <c r="F6913">
        <v>483</v>
      </c>
      <c r="G6913">
        <v>5797</v>
      </c>
      <c r="H6913">
        <v>105</v>
      </c>
      <c r="I6913">
        <v>4.5999999999999996</v>
      </c>
      <c r="J6913">
        <v>1.0900000000000001</v>
      </c>
      <c r="K6913">
        <v>6318.73</v>
      </c>
    </row>
    <row r="6914" spans="1:11" x14ac:dyDescent="0.2">
      <c r="A6914">
        <v>74039</v>
      </c>
      <c r="B6914">
        <v>5604508</v>
      </c>
      <c r="C6914" t="s">
        <v>10022</v>
      </c>
      <c r="D6914">
        <v>8</v>
      </c>
      <c r="E6914">
        <v>21</v>
      </c>
      <c r="F6914">
        <v>151</v>
      </c>
      <c r="G6914">
        <v>3171</v>
      </c>
      <c r="H6914">
        <v>90</v>
      </c>
      <c r="I6914">
        <v>1.7</v>
      </c>
      <c r="J6914">
        <v>0.99</v>
      </c>
      <c r="K6914">
        <v>3139.29</v>
      </c>
    </row>
    <row r="6915" spans="1:11" x14ac:dyDescent="0.2">
      <c r="B6915">
        <v>5604511</v>
      </c>
      <c r="C6915" t="s">
        <v>10023</v>
      </c>
      <c r="D6915">
        <v>11</v>
      </c>
      <c r="E6915">
        <v>6</v>
      </c>
      <c r="F6915">
        <v>0</v>
      </c>
      <c r="G6915">
        <v>0</v>
      </c>
      <c r="H6915">
        <v>80</v>
      </c>
      <c r="I6915">
        <v>0</v>
      </c>
      <c r="J6915">
        <v>14.99</v>
      </c>
      <c r="K6915">
        <v>0</v>
      </c>
    </row>
    <row r="6916" spans="1:11" x14ac:dyDescent="0.2">
      <c r="A6916">
        <v>33509</v>
      </c>
      <c r="B6916">
        <v>5604513</v>
      </c>
      <c r="C6916" t="s">
        <v>10024</v>
      </c>
      <c r="D6916">
        <v>10</v>
      </c>
      <c r="E6916">
        <v>8</v>
      </c>
      <c r="F6916">
        <v>0</v>
      </c>
      <c r="G6916">
        <v>0</v>
      </c>
      <c r="H6916">
        <v>50</v>
      </c>
      <c r="I6916">
        <v>0</v>
      </c>
      <c r="J6916">
        <v>3.99</v>
      </c>
      <c r="K6916">
        <v>0</v>
      </c>
    </row>
    <row r="6917" spans="1:11" x14ac:dyDescent="0.2">
      <c r="A6917">
        <v>3518</v>
      </c>
      <c r="B6917">
        <v>5604515</v>
      </c>
      <c r="C6917" t="s">
        <v>10025</v>
      </c>
      <c r="D6917">
        <v>6</v>
      </c>
      <c r="E6917">
        <v>8</v>
      </c>
      <c r="F6917">
        <v>0</v>
      </c>
      <c r="G6917">
        <v>0</v>
      </c>
      <c r="H6917">
        <v>40</v>
      </c>
      <c r="I6917">
        <v>0</v>
      </c>
      <c r="J6917">
        <v>5.49</v>
      </c>
      <c r="K6917">
        <v>0</v>
      </c>
    </row>
    <row r="6918" spans="1:11" x14ac:dyDescent="0.2">
      <c r="B6918">
        <v>5604516</v>
      </c>
      <c r="C6918" t="s">
        <v>10026</v>
      </c>
      <c r="D6918">
        <v>11</v>
      </c>
      <c r="E6918">
        <v>8</v>
      </c>
      <c r="F6918">
        <v>0</v>
      </c>
      <c r="G6918">
        <v>0</v>
      </c>
      <c r="H6918">
        <v>40</v>
      </c>
      <c r="I6918">
        <v>0</v>
      </c>
      <c r="J6918">
        <v>5.99</v>
      </c>
      <c r="K6918">
        <v>0</v>
      </c>
    </row>
    <row r="6919" spans="1:11" x14ac:dyDescent="0.2">
      <c r="A6919">
        <v>38520</v>
      </c>
      <c r="B6919">
        <v>5604521</v>
      </c>
      <c r="C6919" t="s">
        <v>10027</v>
      </c>
      <c r="D6919">
        <v>10</v>
      </c>
      <c r="E6919">
        <v>8</v>
      </c>
      <c r="F6919">
        <v>0</v>
      </c>
      <c r="G6919">
        <v>0</v>
      </c>
      <c r="H6919">
        <v>72</v>
      </c>
      <c r="I6919">
        <v>0</v>
      </c>
      <c r="J6919">
        <v>4.29</v>
      </c>
      <c r="K6919">
        <v>0</v>
      </c>
    </row>
    <row r="6920" spans="1:11" x14ac:dyDescent="0.2">
      <c r="A6920">
        <v>33623</v>
      </c>
      <c r="B6920">
        <v>5604528</v>
      </c>
      <c r="C6920" t="s">
        <v>10028</v>
      </c>
      <c r="D6920">
        <v>10</v>
      </c>
      <c r="E6920">
        <v>12</v>
      </c>
      <c r="F6920">
        <v>0</v>
      </c>
      <c r="G6920">
        <v>0</v>
      </c>
      <c r="H6920">
        <v>64</v>
      </c>
      <c r="I6920">
        <v>0</v>
      </c>
      <c r="J6920">
        <v>2.99</v>
      </c>
      <c r="K6920">
        <v>0</v>
      </c>
    </row>
    <row r="6921" spans="1:11" x14ac:dyDescent="0.2">
      <c r="B6921">
        <v>5604540</v>
      </c>
      <c r="C6921" t="s">
        <v>10029</v>
      </c>
      <c r="D6921">
        <v>11</v>
      </c>
      <c r="E6921">
        <v>9</v>
      </c>
      <c r="F6921">
        <v>0</v>
      </c>
      <c r="G6921">
        <v>0</v>
      </c>
      <c r="H6921">
        <v>66</v>
      </c>
      <c r="I6921">
        <v>0</v>
      </c>
      <c r="J6921">
        <v>1.59</v>
      </c>
      <c r="K6921">
        <v>0</v>
      </c>
    </row>
    <row r="6922" spans="1:11" x14ac:dyDescent="0.2">
      <c r="B6922">
        <v>5604550</v>
      </c>
      <c r="C6922" t="s">
        <v>10030</v>
      </c>
      <c r="D6922">
        <v>11</v>
      </c>
      <c r="E6922">
        <v>6</v>
      </c>
      <c r="F6922">
        <v>0</v>
      </c>
      <c r="G6922">
        <v>0</v>
      </c>
      <c r="H6922">
        <v>100</v>
      </c>
      <c r="I6922">
        <v>0</v>
      </c>
      <c r="J6922">
        <v>10</v>
      </c>
      <c r="K6922">
        <v>0</v>
      </c>
    </row>
    <row r="6923" spans="1:11" x14ac:dyDescent="0.2">
      <c r="A6923">
        <v>3508</v>
      </c>
      <c r="B6923">
        <v>5604552</v>
      </c>
      <c r="C6923" t="s">
        <v>10031</v>
      </c>
      <c r="D6923">
        <v>6</v>
      </c>
      <c r="E6923">
        <v>10</v>
      </c>
      <c r="F6923">
        <v>3</v>
      </c>
      <c r="G6923">
        <v>30</v>
      </c>
      <c r="H6923">
        <v>104</v>
      </c>
      <c r="I6923">
        <v>0</v>
      </c>
      <c r="J6923">
        <v>1.19</v>
      </c>
      <c r="K6923">
        <v>35.700000000000003</v>
      </c>
    </row>
    <row r="6924" spans="1:11" x14ac:dyDescent="0.2">
      <c r="A6924">
        <v>3509</v>
      </c>
      <c r="B6924">
        <v>5604553</v>
      </c>
      <c r="C6924" t="s">
        <v>10032</v>
      </c>
      <c r="D6924">
        <v>6</v>
      </c>
      <c r="E6924">
        <v>10</v>
      </c>
      <c r="F6924">
        <v>0</v>
      </c>
      <c r="G6924">
        <v>0</v>
      </c>
      <c r="H6924">
        <v>136</v>
      </c>
      <c r="I6924">
        <v>0</v>
      </c>
      <c r="J6924">
        <v>0.99</v>
      </c>
      <c r="K6924">
        <v>0</v>
      </c>
    </row>
    <row r="6925" spans="1:11" x14ac:dyDescent="0.2">
      <c r="A6925">
        <v>3510</v>
      </c>
      <c r="B6925">
        <v>5604554</v>
      </c>
      <c r="C6925" t="s">
        <v>10033</v>
      </c>
      <c r="D6925">
        <v>6</v>
      </c>
      <c r="E6925">
        <v>6</v>
      </c>
      <c r="F6925">
        <v>0</v>
      </c>
      <c r="G6925">
        <v>0</v>
      </c>
      <c r="H6925">
        <v>70</v>
      </c>
      <c r="I6925">
        <v>0</v>
      </c>
      <c r="J6925">
        <v>1.29</v>
      </c>
      <c r="K6925">
        <v>0</v>
      </c>
    </row>
    <row r="6926" spans="1:11" x14ac:dyDescent="0.2">
      <c r="A6926">
        <v>43523</v>
      </c>
      <c r="B6926">
        <v>5604555</v>
      </c>
      <c r="C6926" t="s">
        <v>10034</v>
      </c>
      <c r="D6926">
        <v>10</v>
      </c>
      <c r="E6926">
        <v>8</v>
      </c>
      <c r="F6926">
        <v>4</v>
      </c>
      <c r="G6926">
        <v>32</v>
      </c>
      <c r="H6926">
        <v>96</v>
      </c>
      <c r="I6926">
        <v>0</v>
      </c>
      <c r="J6926">
        <v>1.89</v>
      </c>
      <c r="K6926">
        <v>60.48</v>
      </c>
    </row>
    <row r="6927" spans="1:11" x14ac:dyDescent="0.2">
      <c r="A6927">
        <v>43524</v>
      </c>
      <c r="B6927">
        <v>5604556</v>
      </c>
      <c r="C6927" t="s">
        <v>10035</v>
      </c>
      <c r="D6927">
        <v>10</v>
      </c>
      <c r="E6927">
        <v>8</v>
      </c>
      <c r="F6927">
        <v>3</v>
      </c>
      <c r="G6927">
        <v>24</v>
      </c>
      <c r="H6927">
        <v>96</v>
      </c>
      <c r="I6927">
        <v>0</v>
      </c>
      <c r="J6927">
        <v>1.89</v>
      </c>
      <c r="K6927">
        <v>45.36</v>
      </c>
    </row>
    <row r="6928" spans="1:11" x14ac:dyDescent="0.2">
      <c r="B6928">
        <v>5604560</v>
      </c>
      <c r="C6928" t="s">
        <v>10036</v>
      </c>
      <c r="D6928">
        <v>10</v>
      </c>
      <c r="E6928">
        <v>8</v>
      </c>
      <c r="F6928">
        <v>0</v>
      </c>
      <c r="G6928">
        <v>0</v>
      </c>
      <c r="H6928">
        <v>96</v>
      </c>
      <c r="I6928">
        <v>0</v>
      </c>
      <c r="J6928">
        <v>1.99</v>
      </c>
      <c r="K6928">
        <v>0</v>
      </c>
    </row>
    <row r="6929" spans="1:12" x14ac:dyDescent="0.2">
      <c r="A6929">
        <v>85136</v>
      </c>
      <c r="B6929">
        <v>5604564</v>
      </c>
      <c r="C6929" t="s">
        <v>10037</v>
      </c>
      <c r="D6929">
        <v>6</v>
      </c>
      <c r="E6929">
        <v>16</v>
      </c>
      <c r="F6929">
        <v>0</v>
      </c>
      <c r="G6929">
        <v>0</v>
      </c>
      <c r="H6929">
        <v>64</v>
      </c>
      <c r="I6929">
        <v>0</v>
      </c>
      <c r="J6929">
        <v>1.69</v>
      </c>
      <c r="K6929">
        <v>0</v>
      </c>
    </row>
    <row r="6930" spans="1:12" x14ac:dyDescent="0.2">
      <c r="A6930">
        <v>3618</v>
      </c>
      <c r="B6930">
        <v>5604565</v>
      </c>
      <c r="C6930" t="s">
        <v>10038</v>
      </c>
      <c r="D6930">
        <v>6</v>
      </c>
      <c r="E6930">
        <v>20</v>
      </c>
      <c r="F6930">
        <v>0</v>
      </c>
      <c r="G6930">
        <v>0</v>
      </c>
      <c r="H6930">
        <v>108</v>
      </c>
      <c r="I6930">
        <v>0</v>
      </c>
      <c r="J6930">
        <v>0.69</v>
      </c>
      <c r="K6930">
        <v>0</v>
      </c>
    </row>
    <row r="6931" spans="1:12" x14ac:dyDescent="0.2">
      <c r="B6931">
        <v>5604568</v>
      </c>
      <c r="C6931" t="s">
        <v>10039</v>
      </c>
      <c r="D6931">
        <v>11</v>
      </c>
      <c r="E6931">
        <v>8</v>
      </c>
      <c r="F6931">
        <v>0</v>
      </c>
      <c r="G6931">
        <v>0</v>
      </c>
      <c r="H6931">
        <v>48</v>
      </c>
      <c r="I6931">
        <v>0</v>
      </c>
      <c r="J6931">
        <v>0.99</v>
      </c>
      <c r="K6931">
        <v>0</v>
      </c>
    </row>
    <row r="6932" spans="1:12" x14ac:dyDescent="0.2">
      <c r="A6932">
        <v>84128</v>
      </c>
      <c r="B6932">
        <v>5604570</v>
      </c>
      <c r="C6932" t="s">
        <v>10040</v>
      </c>
      <c r="D6932">
        <v>8</v>
      </c>
      <c r="E6932">
        <v>12</v>
      </c>
      <c r="F6932">
        <v>181</v>
      </c>
      <c r="G6932">
        <v>2172</v>
      </c>
      <c r="H6932">
        <v>50</v>
      </c>
      <c r="I6932">
        <v>3.6</v>
      </c>
      <c r="J6932">
        <v>1.79</v>
      </c>
      <c r="K6932">
        <v>3887.88</v>
      </c>
    </row>
    <row r="6933" spans="1:12" x14ac:dyDescent="0.2">
      <c r="A6933">
        <v>41516</v>
      </c>
      <c r="B6933">
        <v>5604571</v>
      </c>
      <c r="C6933" t="s">
        <v>10041</v>
      </c>
      <c r="D6933">
        <v>10</v>
      </c>
      <c r="E6933">
        <v>15</v>
      </c>
      <c r="F6933">
        <v>1</v>
      </c>
      <c r="G6933">
        <v>15</v>
      </c>
      <c r="H6933">
        <v>49</v>
      </c>
      <c r="I6933">
        <v>0</v>
      </c>
      <c r="J6933">
        <v>2.79</v>
      </c>
      <c r="K6933">
        <v>41.85</v>
      </c>
    </row>
    <row r="6934" spans="1:12" x14ac:dyDescent="0.2">
      <c r="B6934">
        <v>5604573</v>
      </c>
      <c r="C6934" t="s">
        <v>10042</v>
      </c>
      <c r="D6934">
        <v>11</v>
      </c>
      <c r="E6934">
        <v>6</v>
      </c>
      <c r="F6934">
        <v>0</v>
      </c>
      <c r="G6934">
        <v>0</v>
      </c>
      <c r="H6934">
        <v>105</v>
      </c>
      <c r="I6934">
        <v>0</v>
      </c>
      <c r="J6934">
        <v>3</v>
      </c>
      <c r="K6934">
        <v>0</v>
      </c>
    </row>
    <row r="6935" spans="1:12" x14ac:dyDescent="0.2">
      <c r="A6935">
        <v>29634</v>
      </c>
      <c r="B6935">
        <v>5604574</v>
      </c>
      <c r="C6935" t="s">
        <v>10043</v>
      </c>
      <c r="D6935">
        <v>12</v>
      </c>
      <c r="E6935">
        <v>6</v>
      </c>
      <c r="F6935">
        <v>0</v>
      </c>
      <c r="G6935">
        <v>0</v>
      </c>
      <c r="H6935">
        <v>105</v>
      </c>
      <c r="I6935">
        <v>0</v>
      </c>
      <c r="J6935">
        <v>2</v>
      </c>
      <c r="K6935">
        <v>0</v>
      </c>
      <c r="L6935" t="s">
        <v>3699</v>
      </c>
    </row>
    <row r="6936" spans="1:12" x14ac:dyDescent="0.2">
      <c r="A6936">
        <v>48639</v>
      </c>
      <c r="B6936">
        <v>5604576</v>
      </c>
      <c r="C6936" t="s">
        <v>10044</v>
      </c>
      <c r="D6936">
        <v>10</v>
      </c>
      <c r="E6936">
        <v>6</v>
      </c>
      <c r="F6936">
        <v>0</v>
      </c>
      <c r="G6936">
        <v>0</v>
      </c>
      <c r="H6936">
        <v>84</v>
      </c>
      <c r="I6936">
        <v>0</v>
      </c>
      <c r="J6936">
        <v>19.989999999999998</v>
      </c>
      <c r="K6936">
        <v>0</v>
      </c>
    </row>
    <row r="6937" spans="1:12" x14ac:dyDescent="0.2">
      <c r="A6937">
        <v>3603</v>
      </c>
      <c r="B6937">
        <v>5604577</v>
      </c>
      <c r="C6937" t="s">
        <v>10045</v>
      </c>
      <c r="D6937">
        <v>6</v>
      </c>
      <c r="E6937">
        <v>6</v>
      </c>
      <c r="F6937">
        <v>0</v>
      </c>
      <c r="G6937">
        <v>0</v>
      </c>
      <c r="H6937">
        <v>84</v>
      </c>
      <c r="I6937">
        <v>0</v>
      </c>
      <c r="J6937">
        <v>13.99</v>
      </c>
      <c r="K6937">
        <v>0</v>
      </c>
    </row>
    <row r="6938" spans="1:12" x14ac:dyDescent="0.2">
      <c r="A6938">
        <v>31515</v>
      </c>
      <c r="B6938">
        <v>5604592</v>
      </c>
      <c r="C6938" t="s">
        <v>10046</v>
      </c>
      <c r="D6938">
        <v>10</v>
      </c>
      <c r="E6938">
        <v>6</v>
      </c>
      <c r="F6938">
        <v>0</v>
      </c>
      <c r="G6938">
        <v>0</v>
      </c>
      <c r="H6938">
        <v>108</v>
      </c>
      <c r="I6938">
        <v>0</v>
      </c>
      <c r="J6938">
        <v>1.19</v>
      </c>
      <c r="K6938">
        <v>0</v>
      </c>
    </row>
    <row r="6939" spans="1:12" x14ac:dyDescent="0.2">
      <c r="A6939">
        <v>43525</v>
      </c>
      <c r="B6939">
        <v>5604593</v>
      </c>
      <c r="C6939" t="s">
        <v>10047</v>
      </c>
      <c r="D6939">
        <v>10</v>
      </c>
      <c r="E6939">
        <v>6</v>
      </c>
      <c r="F6939">
        <v>2</v>
      </c>
      <c r="G6939">
        <v>12</v>
      </c>
      <c r="H6939">
        <v>108</v>
      </c>
      <c r="I6939">
        <v>0</v>
      </c>
      <c r="J6939">
        <v>1.19</v>
      </c>
      <c r="K6939">
        <v>14.28</v>
      </c>
    </row>
    <row r="6940" spans="1:12" x14ac:dyDescent="0.2">
      <c r="A6940">
        <v>73156</v>
      </c>
      <c r="B6940">
        <v>5604596</v>
      </c>
      <c r="C6940" t="s">
        <v>10048</v>
      </c>
      <c r="D6940">
        <v>10</v>
      </c>
      <c r="E6940">
        <v>6</v>
      </c>
      <c r="F6940">
        <v>6</v>
      </c>
      <c r="G6940">
        <v>37</v>
      </c>
      <c r="H6940">
        <v>80</v>
      </c>
      <c r="I6940">
        <v>0.1</v>
      </c>
      <c r="J6940">
        <v>21.89</v>
      </c>
      <c r="K6940">
        <v>809.93</v>
      </c>
    </row>
    <row r="6941" spans="1:12" x14ac:dyDescent="0.2">
      <c r="A6941">
        <v>76199</v>
      </c>
      <c r="B6941">
        <v>5604597</v>
      </c>
      <c r="C6941" t="s">
        <v>10049</v>
      </c>
      <c r="D6941">
        <v>8</v>
      </c>
      <c r="E6941">
        <v>10</v>
      </c>
      <c r="F6941">
        <v>280</v>
      </c>
      <c r="G6941">
        <v>2800</v>
      </c>
      <c r="H6941">
        <v>48</v>
      </c>
      <c r="I6941">
        <v>5.8</v>
      </c>
      <c r="J6941">
        <v>1.35</v>
      </c>
      <c r="K6941">
        <v>3780</v>
      </c>
    </row>
    <row r="6942" spans="1:12" x14ac:dyDescent="0.2">
      <c r="A6942">
        <v>2641</v>
      </c>
      <c r="B6942">
        <v>5604602</v>
      </c>
      <c r="C6942" t="s">
        <v>10050</v>
      </c>
      <c r="D6942">
        <v>6</v>
      </c>
      <c r="E6942">
        <v>15</v>
      </c>
      <c r="F6942">
        <v>0</v>
      </c>
      <c r="G6942">
        <v>0</v>
      </c>
      <c r="H6942">
        <v>108</v>
      </c>
      <c r="I6942">
        <v>0</v>
      </c>
      <c r="J6942">
        <v>1.19</v>
      </c>
      <c r="K6942">
        <v>0</v>
      </c>
    </row>
    <row r="6943" spans="1:12" x14ac:dyDescent="0.2">
      <c r="A6943">
        <v>72199</v>
      </c>
      <c r="B6943">
        <v>5604603</v>
      </c>
      <c r="C6943" t="s">
        <v>10051</v>
      </c>
      <c r="D6943">
        <v>8</v>
      </c>
      <c r="E6943">
        <v>9</v>
      </c>
      <c r="F6943">
        <v>576</v>
      </c>
      <c r="G6943">
        <v>5180</v>
      </c>
      <c r="H6943">
        <v>96</v>
      </c>
      <c r="I6943">
        <v>6</v>
      </c>
      <c r="J6943">
        <v>1.49</v>
      </c>
      <c r="K6943">
        <v>7718.2</v>
      </c>
    </row>
    <row r="6944" spans="1:12" x14ac:dyDescent="0.2">
      <c r="A6944">
        <v>65252</v>
      </c>
      <c r="B6944">
        <v>5604607</v>
      </c>
      <c r="C6944" t="s">
        <v>10052</v>
      </c>
      <c r="D6944">
        <v>8</v>
      </c>
      <c r="E6944">
        <v>12</v>
      </c>
      <c r="F6944">
        <v>400</v>
      </c>
      <c r="G6944">
        <v>4800</v>
      </c>
      <c r="H6944">
        <v>96</v>
      </c>
      <c r="I6944">
        <v>4.2</v>
      </c>
      <c r="J6944">
        <v>1.99</v>
      </c>
      <c r="K6944">
        <v>9552</v>
      </c>
    </row>
    <row r="6945" spans="1:11" x14ac:dyDescent="0.2">
      <c r="B6945">
        <v>5604608</v>
      </c>
      <c r="C6945" t="s">
        <v>10053</v>
      </c>
      <c r="D6945">
        <v>11</v>
      </c>
      <c r="E6945">
        <v>6</v>
      </c>
      <c r="F6945">
        <v>0</v>
      </c>
      <c r="G6945">
        <v>0</v>
      </c>
      <c r="H6945">
        <v>80</v>
      </c>
      <c r="I6945">
        <v>0</v>
      </c>
      <c r="J6945">
        <v>7</v>
      </c>
      <c r="K6945">
        <v>0</v>
      </c>
    </row>
    <row r="6946" spans="1:11" x14ac:dyDescent="0.2">
      <c r="A6946">
        <v>72168</v>
      </c>
      <c r="B6946">
        <v>5604610</v>
      </c>
      <c r="C6946" t="s">
        <v>10054</v>
      </c>
      <c r="D6946">
        <v>8</v>
      </c>
      <c r="E6946">
        <v>6</v>
      </c>
      <c r="F6946">
        <v>1490</v>
      </c>
      <c r="G6946">
        <v>8939</v>
      </c>
      <c r="H6946">
        <v>120</v>
      </c>
      <c r="I6946">
        <v>12.4</v>
      </c>
      <c r="J6946">
        <v>1.75</v>
      </c>
      <c r="K6946">
        <v>15643.25</v>
      </c>
    </row>
    <row r="6947" spans="1:11" x14ac:dyDescent="0.2">
      <c r="A6947">
        <v>49603</v>
      </c>
      <c r="B6947">
        <v>5604615</v>
      </c>
      <c r="C6947" t="s">
        <v>10055</v>
      </c>
      <c r="D6947">
        <v>10</v>
      </c>
      <c r="E6947">
        <v>6</v>
      </c>
      <c r="F6947">
        <v>-2</v>
      </c>
      <c r="G6947">
        <v>-12</v>
      </c>
      <c r="H6947">
        <v>192</v>
      </c>
      <c r="I6947">
        <v>0</v>
      </c>
      <c r="J6947">
        <v>2.4900000000000002</v>
      </c>
      <c r="K6947">
        <v>-29.88</v>
      </c>
    </row>
    <row r="6948" spans="1:11" x14ac:dyDescent="0.2">
      <c r="A6948">
        <v>49604</v>
      </c>
      <c r="B6948">
        <v>5604619</v>
      </c>
      <c r="C6948" t="s">
        <v>10056</v>
      </c>
      <c r="D6948">
        <v>10</v>
      </c>
      <c r="E6948">
        <v>6</v>
      </c>
      <c r="F6948">
        <v>0</v>
      </c>
      <c r="G6948">
        <v>0</v>
      </c>
      <c r="H6948">
        <v>192</v>
      </c>
      <c r="I6948">
        <v>0</v>
      </c>
      <c r="J6948">
        <v>2.4900000000000002</v>
      </c>
      <c r="K6948">
        <v>0</v>
      </c>
    </row>
    <row r="6949" spans="1:11" x14ac:dyDescent="0.2">
      <c r="A6949">
        <v>50602</v>
      </c>
      <c r="B6949">
        <v>5604623</v>
      </c>
      <c r="C6949" t="s">
        <v>10057</v>
      </c>
      <c r="D6949">
        <v>10</v>
      </c>
      <c r="E6949">
        <v>6</v>
      </c>
      <c r="F6949">
        <v>7</v>
      </c>
      <c r="G6949">
        <v>42</v>
      </c>
      <c r="H6949">
        <v>160</v>
      </c>
      <c r="I6949">
        <v>0</v>
      </c>
      <c r="J6949">
        <v>3.99</v>
      </c>
      <c r="K6949">
        <v>167.58</v>
      </c>
    </row>
    <row r="6950" spans="1:11" x14ac:dyDescent="0.2">
      <c r="B6950">
        <v>5604624</v>
      </c>
      <c r="C6950" t="s">
        <v>10058</v>
      </c>
      <c r="D6950">
        <v>11</v>
      </c>
      <c r="E6950">
        <v>10</v>
      </c>
      <c r="F6950">
        <v>0</v>
      </c>
      <c r="G6950">
        <v>0</v>
      </c>
      <c r="H6950">
        <v>64</v>
      </c>
      <c r="I6950">
        <v>0</v>
      </c>
      <c r="J6950">
        <v>1.99</v>
      </c>
      <c r="K6950">
        <v>0</v>
      </c>
    </row>
    <row r="6951" spans="1:11" x14ac:dyDescent="0.2">
      <c r="A6951">
        <v>72210</v>
      </c>
      <c r="B6951">
        <v>5604626</v>
      </c>
      <c r="C6951" t="s">
        <v>10059</v>
      </c>
      <c r="D6951">
        <v>8</v>
      </c>
      <c r="E6951">
        <v>6</v>
      </c>
      <c r="F6951">
        <v>1112</v>
      </c>
      <c r="G6951">
        <v>6672</v>
      </c>
      <c r="H6951">
        <v>192</v>
      </c>
      <c r="I6951">
        <v>5.8</v>
      </c>
      <c r="J6951">
        <v>2.94</v>
      </c>
      <c r="K6951">
        <v>19615.68</v>
      </c>
    </row>
    <row r="6952" spans="1:11" x14ac:dyDescent="0.2">
      <c r="A6952">
        <v>61175</v>
      </c>
      <c r="B6952">
        <v>5604627</v>
      </c>
      <c r="C6952" t="s">
        <v>10060</v>
      </c>
      <c r="D6952">
        <v>8</v>
      </c>
      <c r="E6952">
        <v>6</v>
      </c>
      <c r="F6952">
        <v>705</v>
      </c>
      <c r="G6952">
        <v>4230</v>
      </c>
      <c r="H6952">
        <v>105</v>
      </c>
      <c r="I6952">
        <v>6.7</v>
      </c>
      <c r="J6952">
        <v>3.75</v>
      </c>
      <c r="K6952">
        <v>15862.5</v>
      </c>
    </row>
    <row r="6953" spans="1:11" x14ac:dyDescent="0.2">
      <c r="A6953">
        <v>61061</v>
      </c>
      <c r="B6953">
        <v>5604628</v>
      </c>
      <c r="C6953" t="s">
        <v>10061</v>
      </c>
      <c r="D6953">
        <v>8</v>
      </c>
      <c r="E6953">
        <v>6</v>
      </c>
      <c r="F6953">
        <v>1611</v>
      </c>
      <c r="G6953">
        <v>9668</v>
      </c>
      <c r="H6953">
        <v>125</v>
      </c>
      <c r="I6953">
        <v>12.9</v>
      </c>
      <c r="J6953">
        <v>2.39</v>
      </c>
      <c r="K6953">
        <v>23106.52</v>
      </c>
    </row>
    <row r="6954" spans="1:11" x14ac:dyDescent="0.2">
      <c r="A6954">
        <v>62069</v>
      </c>
      <c r="B6954">
        <v>5604630</v>
      </c>
      <c r="C6954" t="s">
        <v>10062</v>
      </c>
      <c r="D6954">
        <v>8</v>
      </c>
      <c r="E6954">
        <v>4</v>
      </c>
      <c r="F6954">
        <v>511</v>
      </c>
      <c r="G6954">
        <v>2044</v>
      </c>
      <c r="H6954">
        <v>66</v>
      </c>
      <c r="I6954">
        <v>7.7</v>
      </c>
      <c r="J6954">
        <v>7.49</v>
      </c>
      <c r="K6954">
        <v>15309.56</v>
      </c>
    </row>
    <row r="6955" spans="1:11" x14ac:dyDescent="0.2">
      <c r="B6955">
        <v>5604634</v>
      </c>
      <c r="C6955" t="s">
        <v>10063</v>
      </c>
      <c r="D6955">
        <v>11</v>
      </c>
      <c r="E6955">
        <v>10</v>
      </c>
      <c r="F6955">
        <v>-1</v>
      </c>
      <c r="G6955">
        <v>-10</v>
      </c>
      <c r="H6955">
        <v>88</v>
      </c>
      <c r="I6955">
        <v>0</v>
      </c>
      <c r="J6955">
        <v>0.75</v>
      </c>
      <c r="K6955">
        <v>-7.5</v>
      </c>
    </row>
    <row r="6956" spans="1:11" x14ac:dyDescent="0.2">
      <c r="A6956">
        <v>84028</v>
      </c>
      <c r="B6956">
        <v>5604635</v>
      </c>
      <c r="C6956" t="s">
        <v>10064</v>
      </c>
      <c r="D6956">
        <v>8</v>
      </c>
      <c r="E6956">
        <v>12</v>
      </c>
      <c r="F6956">
        <v>438</v>
      </c>
      <c r="G6956">
        <v>5256</v>
      </c>
      <c r="H6956">
        <v>108</v>
      </c>
      <c r="I6956">
        <v>4.0999999999999996</v>
      </c>
      <c r="J6956">
        <v>0.95</v>
      </c>
      <c r="K6956">
        <v>4993.2</v>
      </c>
    </row>
    <row r="6957" spans="1:11" x14ac:dyDescent="0.2">
      <c r="A6957">
        <v>26516</v>
      </c>
      <c r="B6957">
        <v>5604637</v>
      </c>
      <c r="C6957" t="s">
        <v>10065</v>
      </c>
      <c r="D6957">
        <v>10</v>
      </c>
      <c r="E6957">
        <v>6</v>
      </c>
      <c r="F6957">
        <v>0</v>
      </c>
      <c r="G6957">
        <v>0</v>
      </c>
      <c r="H6957">
        <v>288</v>
      </c>
      <c r="I6957">
        <v>0</v>
      </c>
      <c r="J6957">
        <v>1.79</v>
      </c>
      <c r="K6957">
        <v>0</v>
      </c>
    </row>
    <row r="6958" spans="1:11" x14ac:dyDescent="0.2">
      <c r="A6958">
        <v>29511</v>
      </c>
      <c r="B6958">
        <v>5604638</v>
      </c>
      <c r="C6958" t="s">
        <v>10066</v>
      </c>
      <c r="D6958">
        <v>10</v>
      </c>
      <c r="E6958">
        <v>6</v>
      </c>
      <c r="F6958">
        <v>0</v>
      </c>
      <c r="G6958">
        <v>0</v>
      </c>
      <c r="H6958">
        <v>288</v>
      </c>
      <c r="I6958">
        <v>0</v>
      </c>
      <c r="J6958">
        <v>1.79</v>
      </c>
      <c r="K6958">
        <v>0</v>
      </c>
    </row>
    <row r="6959" spans="1:11" x14ac:dyDescent="0.2">
      <c r="B6959">
        <v>5604639</v>
      </c>
      <c r="C6959" t="s">
        <v>10067</v>
      </c>
      <c r="D6959">
        <v>11</v>
      </c>
      <c r="E6959">
        <v>6</v>
      </c>
      <c r="F6959">
        <v>0</v>
      </c>
      <c r="G6959">
        <v>0</v>
      </c>
      <c r="H6959">
        <v>100</v>
      </c>
      <c r="I6959">
        <v>0</v>
      </c>
      <c r="J6959">
        <v>15</v>
      </c>
      <c r="K6959">
        <v>0</v>
      </c>
    </row>
    <row r="6960" spans="1:11" x14ac:dyDescent="0.2">
      <c r="B6960">
        <v>5604640</v>
      </c>
      <c r="C6960" t="s">
        <v>10068</v>
      </c>
      <c r="D6960">
        <v>11</v>
      </c>
      <c r="E6960">
        <v>1</v>
      </c>
      <c r="F6960">
        <v>-5</v>
      </c>
      <c r="G6960">
        <v>-5</v>
      </c>
      <c r="H6960">
        <v>432</v>
      </c>
      <c r="I6960">
        <v>0</v>
      </c>
      <c r="J6960">
        <v>3.49</v>
      </c>
      <c r="K6960">
        <v>-17.45</v>
      </c>
    </row>
    <row r="6961" spans="1:12" x14ac:dyDescent="0.2">
      <c r="A6961">
        <v>91095</v>
      </c>
      <c r="B6961">
        <v>5604643</v>
      </c>
      <c r="C6961" t="s">
        <v>10069</v>
      </c>
      <c r="D6961">
        <v>8</v>
      </c>
      <c r="E6961">
        <v>1</v>
      </c>
      <c r="F6961">
        <v>978</v>
      </c>
      <c r="G6961">
        <v>978</v>
      </c>
      <c r="H6961">
        <v>84</v>
      </c>
      <c r="I6961">
        <v>11.6</v>
      </c>
      <c r="J6961">
        <v>3.49</v>
      </c>
      <c r="K6961">
        <v>3413.22</v>
      </c>
    </row>
    <row r="6962" spans="1:12" x14ac:dyDescent="0.2">
      <c r="A6962">
        <v>76054</v>
      </c>
      <c r="B6962">
        <v>5604646</v>
      </c>
      <c r="C6962" t="s">
        <v>10070</v>
      </c>
      <c r="D6962">
        <v>8</v>
      </c>
      <c r="E6962">
        <v>70</v>
      </c>
      <c r="F6962">
        <v>140</v>
      </c>
      <c r="G6962">
        <v>9800</v>
      </c>
      <c r="H6962">
        <v>96</v>
      </c>
      <c r="I6962">
        <v>1.5</v>
      </c>
      <c r="J6962">
        <v>1.29</v>
      </c>
      <c r="K6962">
        <v>12642</v>
      </c>
    </row>
    <row r="6963" spans="1:12" x14ac:dyDescent="0.2">
      <c r="A6963">
        <v>27508</v>
      </c>
      <c r="B6963">
        <v>5604654</v>
      </c>
      <c r="C6963" t="s">
        <v>10071</v>
      </c>
      <c r="D6963">
        <v>10</v>
      </c>
      <c r="E6963">
        <v>6</v>
      </c>
      <c r="F6963">
        <v>0</v>
      </c>
      <c r="G6963">
        <v>0</v>
      </c>
      <c r="H6963">
        <v>140</v>
      </c>
      <c r="I6963">
        <v>0</v>
      </c>
      <c r="J6963">
        <v>2.19</v>
      </c>
      <c r="K6963">
        <v>0</v>
      </c>
    </row>
    <row r="6964" spans="1:12" x14ac:dyDescent="0.2">
      <c r="B6964">
        <v>5604655</v>
      </c>
      <c r="C6964" t="s">
        <v>10072</v>
      </c>
      <c r="D6964">
        <v>11</v>
      </c>
      <c r="E6964">
        <v>6</v>
      </c>
      <c r="F6964">
        <v>0</v>
      </c>
      <c r="G6964">
        <v>0</v>
      </c>
      <c r="H6964">
        <v>140</v>
      </c>
      <c r="I6964">
        <v>0</v>
      </c>
      <c r="J6964">
        <v>2.19</v>
      </c>
      <c r="K6964">
        <v>0</v>
      </c>
    </row>
    <row r="6965" spans="1:12" x14ac:dyDescent="0.2">
      <c r="B6965">
        <v>5604665</v>
      </c>
      <c r="C6965" t="s">
        <v>10073</v>
      </c>
      <c r="D6965">
        <v>10</v>
      </c>
      <c r="E6965">
        <v>6</v>
      </c>
      <c r="F6965">
        <v>0</v>
      </c>
      <c r="G6965">
        <v>0</v>
      </c>
      <c r="H6965">
        <v>100</v>
      </c>
      <c r="I6965">
        <v>0</v>
      </c>
      <c r="J6965">
        <v>6.99</v>
      </c>
      <c r="K6965">
        <v>0</v>
      </c>
    </row>
    <row r="6966" spans="1:12" x14ac:dyDescent="0.2">
      <c r="B6966">
        <v>5604675</v>
      </c>
      <c r="C6966" t="s">
        <v>10074</v>
      </c>
      <c r="D6966">
        <v>11</v>
      </c>
      <c r="E6966">
        <v>6</v>
      </c>
      <c r="F6966">
        <v>0</v>
      </c>
      <c r="G6966">
        <v>0</v>
      </c>
      <c r="H6966">
        <v>84</v>
      </c>
      <c r="I6966">
        <v>0</v>
      </c>
      <c r="J6966">
        <v>12</v>
      </c>
      <c r="K6966">
        <v>0</v>
      </c>
    </row>
    <row r="6967" spans="1:12" x14ac:dyDescent="0.2">
      <c r="B6967">
        <v>5604677</v>
      </c>
      <c r="C6967" t="s">
        <v>10075</v>
      </c>
      <c r="D6967">
        <v>7</v>
      </c>
      <c r="E6967">
        <v>6</v>
      </c>
      <c r="F6967">
        <v>0</v>
      </c>
      <c r="G6967">
        <v>0</v>
      </c>
      <c r="H6967">
        <v>102</v>
      </c>
      <c r="I6967">
        <v>0</v>
      </c>
      <c r="J6967">
        <v>45</v>
      </c>
      <c r="K6967">
        <v>0</v>
      </c>
    </row>
    <row r="6968" spans="1:12" x14ac:dyDescent="0.2">
      <c r="B6968">
        <v>5604681</v>
      </c>
      <c r="C6968" t="s">
        <v>10076</v>
      </c>
      <c r="D6968">
        <v>11</v>
      </c>
      <c r="E6968">
        <v>6</v>
      </c>
      <c r="F6968">
        <v>0</v>
      </c>
      <c r="G6968">
        <v>0</v>
      </c>
      <c r="H6968">
        <v>100</v>
      </c>
      <c r="I6968">
        <v>0</v>
      </c>
      <c r="J6968">
        <v>4.99</v>
      </c>
      <c r="K6968">
        <v>0</v>
      </c>
    </row>
    <row r="6969" spans="1:12" x14ac:dyDescent="0.2">
      <c r="B6969">
        <v>5604683</v>
      </c>
      <c r="C6969" t="s">
        <v>10077</v>
      </c>
      <c r="D6969">
        <v>7</v>
      </c>
      <c r="E6969">
        <v>6</v>
      </c>
      <c r="F6969">
        <v>0</v>
      </c>
      <c r="G6969">
        <v>0</v>
      </c>
      <c r="H6969">
        <v>80</v>
      </c>
      <c r="I6969">
        <v>0</v>
      </c>
      <c r="J6969">
        <v>39.950000000000003</v>
      </c>
      <c r="K6969">
        <v>0</v>
      </c>
    </row>
    <row r="6970" spans="1:12" x14ac:dyDescent="0.2">
      <c r="B6970">
        <v>5604695</v>
      </c>
      <c r="C6970" t="s">
        <v>10078</v>
      </c>
      <c r="D6970">
        <v>11</v>
      </c>
      <c r="E6970">
        <v>6</v>
      </c>
      <c r="F6970">
        <v>0</v>
      </c>
      <c r="G6970">
        <v>0</v>
      </c>
      <c r="H6970">
        <v>84</v>
      </c>
      <c r="I6970">
        <v>0</v>
      </c>
      <c r="J6970">
        <v>11</v>
      </c>
      <c r="K6970">
        <v>0</v>
      </c>
    </row>
    <row r="6971" spans="1:12" x14ac:dyDescent="0.2">
      <c r="B6971">
        <v>5604697</v>
      </c>
      <c r="C6971" t="s">
        <v>10079</v>
      </c>
      <c r="D6971">
        <v>11</v>
      </c>
      <c r="E6971">
        <v>6</v>
      </c>
      <c r="F6971">
        <v>2</v>
      </c>
      <c r="G6971">
        <v>12</v>
      </c>
      <c r="H6971">
        <v>100</v>
      </c>
      <c r="I6971">
        <v>0</v>
      </c>
      <c r="J6971">
        <v>6.49</v>
      </c>
      <c r="K6971">
        <v>77.88</v>
      </c>
    </row>
    <row r="6972" spans="1:12" x14ac:dyDescent="0.2">
      <c r="B6972">
        <v>5604717</v>
      </c>
      <c r="C6972" t="s">
        <v>10080</v>
      </c>
      <c r="D6972">
        <v>12</v>
      </c>
      <c r="E6972">
        <v>6</v>
      </c>
      <c r="F6972">
        <v>0</v>
      </c>
      <c r="G6972">
        <v>0</v>
      </c>
      <c r="H6972">
        <v>80</v>
      </c>
      <c r="I6972">
        <v>0</v>
      </c>
      <c r="J6972">
        <v>15</v>
      </c>
      <c r="K6972">
        <v>0</v>
      </c>
    </row>
    <row r="6973" spans="1:12" x14ac:dyDescent="0.2">
      <c r="B6973">
        <v>5604728</v>
      </c>
      <c r="C6973" t="s">
        <v>10081</v>
      </c>
      <c r="D6973">
        <v>12</v>
      </c>
      <c r="E6973">
        <v>6</v>
      </c>
      <c r="F6973">
        <v>0</v>
      </c>
      <c r="G6973">
        <v>0</v>
      </c>
      <c r="H6973">
        <v>80</v>
      </c>
      <c r="I6973">
        <v>0</v>
      </c>
      <c r="J6973">
        <v>15</v>
      </c>
      <c r="K6973">
        <v>0</v>
      </c>
      <c r="L6973" t="s">
        <v>3699</v>
      </c>
    </row>
    <row r="6974" spans="1:12" x14ac:dyDescent="0.2">
      <c r="B6974">
        <v>5604732</v>
      </c>
      <c r="C6974" t="s">
        <v>10082</v>
      </c>
      <c r="D6974">
        <v>11</v>
      </c>
      <c r="E6974">
        <v>6</v>
      </c>
      <c r="F6974">
        <v>0</v>
      </c>
      <c r="G6974">
        <v>0</v>
      </c>
      <c r="H6974">
        <v>100</v>
      </c>
      <c r="I6974">
        <v>0</v>
      </c>
      <c r="J6974">
        <v>2.79</v>
      </c>
      <c r="K6974">
        <v>0</v>
      </c>
    </row>
    <row r="6975" spans="1:12" x14ac:dyDescent="0.2">
      <c r="B6975">
        <v>5604744</v>
      </c>
      <c r="C6975" t="s">
        <v>10083</v>
      </c>
      <c r="D6975">
        <v>11</v>
      </c>
      <c r="E6975">
        <v>6</v>
      </c>
      <c r="F6975">
        <v>0</v>
      </c>
      <c r="G6975">
        <v>0</v>
      </c>
      <c r="H6975">
        <v>100</v>
      </c>
      <c r="I6975">
        <v>0</v>
      </c>
      <c r="J6975">
        <v>7</v>
      </c>
      <c r="K6975">
        <v>0</v>
      </c>
    </row>
    <row r="6976" spans="1:12" x14ac:dyDescent="0.2">
      <c r="B6976">
        <v>5604756</v>
      </c>
      <c r="C6976" t="s">
        <v>10084</v>
      </c>
      <c r="D6976">
        <v>10</v>
      </c>
      <c r="E6976">
        <v>6</v>
      </c>
      <c r="F6976">
        <v>0</v>
      </c>
      <c r="G6976">
        <v>0</v>
      </c>
      <c r="H6976">
        <v>100</v>
      </c>
      <c r="I6976">
        <v>0</v>
      </c>
      <c r="J6976">
        <v>3.49</v>
      </c>
      <c r="K6976">
        <v>0</v>
      </c>
    </row>
    <row r="6977" spans="1:12" x14ac:dyDescent="0.2">
      <c r="B6977">
        <v>5604765</v>
      </c>
      <c r="C6977" t="s">
        <v>10085</v>
      </c>
      <c r="D6977">
        <v>10</v>
      </c>
      <c r="E6977">
        <v>6</v>
      </c>
      <c r="F6977">
        <v>6</v>
      </c>
      <c r="G6977">
        <v>36</v>
      </c>
      <c r="H6977">
        <v>100</v>
      </c>
      <c r="I6977">
        <v>0.1</v>
      </c>
      <c r="J6977">
        <v>4.29</v>
      </c>
      <c r="K6977">
        <v>154.44</v>
      </c>
    </row>
    <row r="6978" spans="1:12" x14ac:dyDescent="0.2">
      <c r="B6978">
        <v>5604773</v>
      </c>
      <c r="C6978" t="s">
        <v>10086</v>
      </c>
      <c r="D6978">
        <v>11</v>
      </c>
      <c r="E6978">
        <v>6</v>
      </c>
      <c r="F6978">
        <v>3</v>
      </c>
      <c r="G6978">
        <v>18</v>
      </c>
      <c r="H6978">
        <v>95</v>
      </c>
      <c r="I6978">
        <v>0</v>
      </c>
      <c r="J6978">
        <v>4.79</v>
      </c>
      <c r="K6978">
        <v>86.22</v>
      </c>
    </row>
    <row r="6979" spans="1:12" x14ac:dyDescent="0.2">
      <c r="B6979">
        <v>5604786</v>
      </c>
      <c r="C6979" t="s">
        <v>10087</v>
      </c>
      <c r="D6979">
        <v>11</v>
      </c>
      <c r="E6979">
        <v>6</v>
      </c>
      <c r="F6979">
        <v>-2</v>
      </c>
      <c r="G6979">
        <v>-12</v>
      </c>
      <c r="H6979">
        <v>100</v>
      </c>
      <c r="I6979">
        <v>0</v>
      </c>
      <c r="J6979">
        <v>5.89</v>
      </c>
      <c r="K6979">
        <v>-70.680000000000007</v>
      </c>
    </row>
    <row r="6980" spans="1:12" x14ac:dyDescent="0.2">
      <c r="A6980">
        <v>6410</v>
      </c>
      <c r="B6980">
        <v>5604801</v>
      </c>
      <c r="C6980" t="s">
        <v>10088</v>
      </c>
      <c r="D6980">
        <v>10</v>
      </c>
      <c r="E6980">
        <v>96</v>
      </c>
      <c r="F6980">
        <v>0</v>
      </c>
      <c r="G6980">
        <v>0</v>
      </c>
      <c r="H6980">
        <v>4</v>
      </c>
      <c r="I6980">
        <v>0</v>
      </c>
      <c r="J6980">
        <v>3</v>
      </c>
      <c r="K6980">
        <v>0</v>
      </c>
    </row>
    <row r="6981" spans="1:12" x14ac:dyDescent="0.2">
      <c r="B6981">
        <v>5604805</v>
      </c>
      <c r="C6981" t="s">
        <v>10089</v>
      </c>
      <c r="D6981">
        <v>12</v>
      </c>
      <c r="E6981">
        <v>6</v>
      </c>
      <c r="F6981">
        <v>0</v>
      </c>
      <c r="G6981">
        <v>0</v>
      </c>
      <c r="H6981">
        <v>77</v>
      </c>
      <c r="I6981">
        <v>0</v>
      </c>
      <c r="J6981">
        <v>15</v>
      </c>
      <c r="K6981">
        <v>0</v>
      </c>
      <c r="L6981" t="s">
        <v>3699</v>
      </c>
    </row>
    <row r="6982" spans="1:12" x14ac:dyDescent="0.2">
      <c r="B6982">
        <v>5604806</v>
      </c>
      <c r="C6982" t="s">
        <v>10090</v>
      </c>
      <c r="D6982">
        <v>11</v>
      </c>
      <c r="E6982">
        <v>6</v>
      </c>
      <c r="F6982">
        <v>0</v>
      </c>
      <c r="G6982">
        <v>0</v>
      </c>
      <c r="H6982">
        <v>105</v>
      </c>
      <c r="I6982">
        <v>0</v>
      </c>
      <c r="J6982">
        <v>9.1</v>
      </c>
      <c r="K6982">
        <v>0</v>
      </c>
    </row>
    <row r="6983" spans="1:12" x14ac:dyDescent="0.2">
      <c r="B6983">
        <v>5604836</v>
      </c>
      <c r="C6983" t="s">
        <v>10091</v>
      </c>
      <c r="D6983">
        <v>11</v>
      </c>
      <c r="E6983">
        <v>6</v>
      </c>
      <c r="F6983">
        <v>0</v>
      </c>
      <c r="G6983">
        <v>0</v>
      </c>
      <c r="H6983">
        <v>100</v>
      </c>
      <c r="I6983">
        <v>0</v>
      </c>
      <c r="J6983">
        <v>5.95</v>
      </c>
      <c r="K6983">
        <v>0</v>
      </c>
    </row>
    <row r="6984" spans="1:12" x14ac:dyDescent="0.2">
      <c r="B6984">
        <v>5604848</v>
      </c>
      <c r="C6984" t="s">
        <v>10092</v>
      </c>
      <c r="D6984">
        <v>10</v>
      </c>
      <c r="E6984">
        <v>6</v>
      </c>
      <c r="F6984">
        <v>0</v>
      </c>
      <c r="G6984">
        <v>0</v>
      </c>
      <c r="H6984">
        <v>100</v>
      </c>
      <c r="I6984">
        <v>0</v>
      </c>
      <c r="J6984">
        <v>3.95</v>
      </c>
      <c r="K6984">
        <v>0</v>
      </c>
    </row>
    <row r="6985" spans="1:12" x14ac:dyDescent="0.2">
      <c r="B6985">
        <v>5604880</v>
      </c>
      <c r="C6985" t="s">
        <v>10093</v>
      </c>
      <c r="D6985">
        <v>7</v>
      </c>
      <c r="E6985">
        <v>6</v>
      </c>
      <c r="F6985">
        <v>0</v>
      </c>
      <c r="G6985">
        <v>0</v>
      </c>
      <c r="H6985">
        <v>70</v>
      </c>
      <c r="I6985">
        <v>0</v>
      </c>
      <c r="J6985">
        <v>33.9</v>
      </c>
      <c r="K6985">
        <v>0</v>
      </c>
    </row>
    <row r="6986" spans="1:12" x14ac:dyDescent="0.2">
      <c r="B6986">
        <v>5604894</v>
      </c>
      <c r="C6986" t="s">
        <v>10094</v>
      </c>
      <c r="D6986">
        <v>11</v>
      </c>
      <c r="E6986">
        <v>6</v>
      </c>
      <c r="F6986">
        <v>0</v>
      </c>
      <c r="G6986">
        <v>0</v>
      </c>
      <c r="H6986">
        <v>100</v>
      </c>
      <c r="I6986">
        <v>0</v>
      </c>
      <c r="J6986">
        <v>14.99</v>
      </c>
      <c r="K6986">
        <v>0</v>
      </c>
    </row>
    <row r="6987" spans="1:12" x14ac:dyDescent="0.2">
      <c r="A6987">
        <v>61237</v>
      </c>
      <c r="B6987">
        <v>5604901</v>
      </c>
      <c r="C6987" t="s">
        <v>10095</v>
      </c>
      <c r="D6987">
        <v>8</v>
      </c>
      <c r="E6987">
        <v>6</v>
      </c>
      <c r="F6987">
        <v>342</v>
      </c>
      <c r="G6987">
        <v>2052</v>
      </c>
      <c r="H6987">
        <v>80</v>
      </c>
      <c r="I6987">
        <v>4.3</v>
      </c>
      <c r="J6987">
        <v>2.89</v>
      </c>
      <c r="K6987">
        <v>5930.28</v>
      </c>
    </row>
    <row r="6988" spans="1:12" x14ac:dyDescent="0.2">
      <c r="B6988">
        <v>5604909</v>
      </c>
      <c r="C6988" t="s">
        <v>10096</v>
      </c>
      <c r="D6988">
        <v>11</v>
      </c>
      <c r="E6988">
        <v>6</v>
      </c>
      <c r="F6988">
        <v>0</v>
      </c>
      <c r="G6988">
        <v>0</v>
      </c>
      <c r="H6988">
        <v>100</v>
      </c>
      <c r="I6988">
        <v>0</v>
      </c>
      <c r="J6988">
        <v>2.79</v>
      </c>
      <c r="K6988">
        <v>0</v>
      </c>
    </row>
    <row r="6989" spans="1:12" x14ac:dyDescent="0.2">
      <c r="B6989">
        <v>5604914</v>
      </c>
      <c r="C6989" t="s">
        <v>10097</v>
      </c>
      <c r="D6989">
        <v>11</v>
      </c>
      <c r="E6989">
        <v>6</v>
      </c>
      <c r="F6989">
        <v>0</v>
      </c>
      <c r="G6989">
        <v>0</v>
      </c>
      <c r="H6989">
        <v>105</v>
      </c>
      <c r="I6989">
        <v>0</v>
      </c>
      <c r="J6989">
        <v>3.49</v>
      </c>
      <c r="K6989">
        <v>0</v>
      </c>
    </row>
    <row r="6990" spans="1:12" x14ac:dyDescent="0.2">
      <c r="B6990">
        <v>5604920</v>
      </c>
      <c r="C6990" t="s">
        <v>10098</v>
      </c>
      <c r="D6990">
        <v>11</v>
      </c>
      <c r="E6990">
        <v>6</v>
      </c>
      <c r="F6990">
        <v>0</v>
      </c>
      <c r="G6990">
        <v>0</v>
      </c>
      <c r="H6990">
        <v>99</v>
      </c>
      <c r="I6990">
        <v>0</v>
      </c>
      <c r="J6990">
        <v>10</v>
      </c>
      <c r="K6990">
        <v>0</v>
      </c>
    </row>
    <row r="6991" spans="1:12" x14ac:dyDescent="0.2">
      <c r="B6991">
        <v>5604931</v>
      </c>
      <c r="C6991" t="s">
        <v>10099</v>
      </c>
      <c r="D6991">
        <v>11</v>
      </c>
      <c r="E6991">
        <v>6</v>
      </c>
      <c r="F6991">
        <v>10</v>
      </c>
      <c r="G6991">
        <v>60</v>
      </c>
      <c r="H6991">
        <v>100</v>
      </c>
      <c r="I6991">
        <v>0.1</v>
      </c>
      <c r="J6991">
        <v>3.99</v>
      </c>
      <c r="K6991">
        <v>239.4</v>
      </c>
    </row>
    <row r="6992" spans="1:12" x14ac:dyDescent="0.2">
      <c r="B6992">
        <v>5604941</v>
      </c>
      <c r="C6992" t="s">
        <v>10100</v>
      </c>
      <c r="D6992">
        <v>11</v>
      </c>
      <c r="E6992">
        <v>6</v>
      </c>
      <c r="F6992">
        <v>0</v>
      </c>
      <c r="G6992">
        <v>0</v>
      </c>
      <c r="H6992">
        <v>100</v>
      </c>
      <c r="I6992">
        <v>0</v>
      </c>
      <c r="J6992">
        <v>3.99</v>
      </c>
      <c r="K6992">
        <v>0</v>
      </c>
    </row>
    <row r="6993" spans="1:11" x14ac:dyDescent="0.2">
      <c r="B6993">
        <v>5604951</v>
      </c>
      <c r="C6993" t="s">
        <v>10101</v>
      </c>
      <c r="D6993">
        <v>11</v>
      </c>
      <c r="E6993">
        <v>6</v>
      </c>
      <c r="F6993">
        <v>0</v>
      </c>
      <c r="G6993">
        <v>0</v>
      </c>
      <c r="H6993">
        <v>100</v>
      </c>
      <c r="I6993">
        <v>0</v>
      </c>
      <c r="J6993">
        <v>5.99</v>
      </c>
      <c r="K6993">
        <v>0</v>
      </c>
    </row>
    <row r="6994" spans="1:11" x14ac:dyDescent="0.2">
      <c r="B6994">
        <v>5604956</v>
      </c>
      <c r="C6994" t="s">
        <v>10102</v>
      </c>
      <c r="D6994">
        <v>11</v>
      </c>
      <c r="E6994">
        <v>6</v>
      </c>
      <c r="F6994">
        <v>0</v>
      </c>
      <c r="G6994">
        <v>0</v>
      </c>
      <c r="H6994">
        <v>80</v>
      </c>
      <c r="I6994">
        <v>0</v>
      </c>
      <c r="J6994">
        <v>12</v>
      </c>
      <c r="K6994">
        <v>0</v>
      </c>
    </row>
    <row r="6995" spans="1:11" x14ac:dyDescent="0.2">
      <c r="B6995">
        <v>5604960</v>
      </c>
      <c r="C6995" t="s">
        <v>10103</v>
      </c>
      <c r="D6995">
        <v>11</v>
      </c>
      <c r="E6995">
        <v>6</v>
      </c>
      <c r="F6995">
        <v>0</v>
      </c>
      <c r="G6995">
        <v>0</v>
      </c>
      <c r="H6995">
        <v>90</v>
      </c>
      <c r="I6995">
        <v>0</v>
      </c>
      <c r="J6995">
        <v>27.99</v>
      </c>
      <c r="K6995">
        <v>0</v>
      </c>
    </row>
    <row r="6996" spans="1:11" x14ac:dyDescent="0.2">
      <c r="B6996">
        <v>5604974</v>
      </c>
      <c r="C6996" t="s">
        <v>10104</v>
      </c>
      <c r="D6996">
        <v>11</v>
      </c>
      <c r="E6996">
        <v>6</v>
      </c>
      <c r="F6996">
        <v>0</v>
      </c>
      <c r="G6996">
        <v>0</v>
      </c>
      <c r="H6996">
        <v>100</v>
      </c>
      <c r="I6996">
        <v>0</v>
      </c>
      <c r="J6996">
        <v>6.99</v>
      </c>
      <c r="K6996">
        <v>0</v>
      </c>
    </row>
    <row r="6997" spans="1:11" x14ac:dyDescent="0.2">
      <c r="B6997">
        <v>5604979</v>
      </c>
      <c r="C6997" t="s">
        <v>10105</v>
      </c>
      <c r="D6997">
        <v>11</v>
      </c>
      <c r="E6997">
        <v>6</v>
      </c>
      <c r="F6997">
        <v>0</v>
      </c>
      <c r="G6997">
        <v>0</v>
      </c>
      <c r="H6997">
        <v>105</v>
      </c>
      <c r="I6997">
        <v>0</v>
      </c>
      <c r="J6997">
        <v>4</v>
      </c>
      <c r="K6997">
        <v>0</v>
      </c>
    </row>
    <row r="6998" spans="1:11" x14ac:dyDescent="0.2">
      <c r="B6998">
        <v>5604999</v>
      </c>
      <c r="C6998" t="s">
        <v>10106</v>
      </c>
      <c r="D6998">
        <v>11</v>
      </c>
      <c r="E6998">
        <v>12</v>
      </c>
      <c r="F6998">
        <v>0</v>
      </c>
      <c r="G6998">
        <v>0</v>
      </c>
      <c r="H6998">
        <v>70</v>
      </c>
      <c r="I6998">
        <v>0</v>
      </c>
      <c r="J6998">
        <v>5</v>
      </c>
      <c r="K6998">
        <v>0</v>
      </c>
    </row>
    <row r="6999" spans="1:11" x14ac:dyDescent="0.2">
      <c r="B6999">
        <v>5605008</v>
      </c>
      <c r="C6999" t="s">
        <v>10107</v>
      </c>
      <c r="D6999">
        <v>10</v>
      </c>
      <c r="E6999">
        <v>6</v>
      </c>
      <c r="F6999">
        <v>0</v>
      </c>
      <c r="G6999">
        <v>0</v>
      </c>
      <c r="H6999">
        <v>95</v>
      </c>
      <c r="I6999">
        <v>0</v>
      </c>
      <c r="J6999">
        <v>7.99</v>
      </c>
      <c r="K6999">
        <v>0</v>
      </c>
    </row>
    <row r="7000" spans="1:11" x14ac:dyDescent="0.2">
      <c r="B7000">
        <v>5605016</v>
      </c>
      <c r="C7000" t="s">
        <v>10108</v>
      </c>
      <c r="D7000">
        <v>10</v>
      </c>
      <c r="E7000">
        <v>12</v>
      </c>
      <c r="F7000">
        <v>0</v>
      </c>
      <c r="G7000">
        <v>0</v>
      </c>
      <c r="H7000">
        <v>75</v>
      </c>
      <c r="I7000">
        <v>0</v>
      </c>
      <c r="J7000">
        <v>5.99</v>
      </c>
      <c r="K7000">
        <v>0</v>
      </c>
    </row>
    <row r="7001" spans="1:11" x14ac:dyDescent="0.2">
      <c r="A7001">
        <v>57560</v>
      </c>
      <c r="B7001">
        <v>5605026</v>
      </c>
      <c r="C7001" t="s">
        <v>10109</v>
      </c>
      <c r="D7001">
        <v>10</v>
      </c>
      <c r="E7001">
        <v>6</v>
      </c>
      <c r="F7001">
        <v>11</v>
      </c>
      <c r="G7001">
        <v>66</v>
      </c>
      <c r="H7001">
        <v>60</v>
      </c>
      <c r="I7001">
        <v>0.2</v>
      </c>
      <c r="J7001">
        <v>1.29</v>
      </c>
      <c r="K7001">
        <v>85.14</v>
      </c>
    </row>
    <row r="7002" spans="1:11" x14ac:dyDescent="0.2">
      <c r="A7002">
        <v>46613</v>
      </c>
      <c r="B7002">
        <v>5605027</v>
      </c>
      <c r="C7002" t="s">
        <v>10110</v>
      </c>
      <c r="D7002">
        <v>10</v>
      </c>
      <c r="E7002">
        <v>20</v>
      </c>
      <c r="F7002">
        <v>-1</v>
      </c>
      <c r="G7002">
        <v>-20</v>
      </c>
      <c r="H7002">
        <v>54</v>
      </c>
      <c r="I7002">
        <v>0</v>
      </c>
      <c r="J7002">
        <v>3.39</v>
      </c>
      <c r="K7002">
        <v>-67.8</v>
      </c>
    </row>
    <row r="7003" spans="1:11" x14ac:dyDescent="0.2">
      <c r="A7003">
        <v>99028</v>
      </c>
      <c r="B7003">
        <v>5605034</v>
      </c>
      <c r="C7003" t="s">
        <v>10111</v>
      </c>
      <c r="D7003">
        <v>10</v>
      </c>
      <c r="E7003">
        <v>20</v>
      </c>
      <c r="F7003">
        <v>0</v>
      </c>
      <c r="G7003">
        <v>0</v>
      </c>
      <c r="H7003">
        <v>36</v>
      </c>
      <c r="I7003">
        <v>0</v>
      </c>
      <c r="J7003">
        <v>2.89</v>
      </c>
      <c r="K7003">
        <v>0</v>
      </c>
    </row>
    <row r="7004" spans="1:11" x14ac:dyDescent="0.2">
      <c r="A7004">
        <v>45635</v>
      </c>
      <c r="B7004">
        <v>5605043</v>
      </c>
      <c r="C7004" t="s">
        <v>10112</v>
      </c>
      <c r="D7004">
        <v>10</v>
      </c>
      <c r="E7004">
        <v>9</v>
      </c>
      <c r="F7004">
        <v>0</v>
      </c>
      <c r="G7004">
        <v>0</v>
      </c>
      <c r="H7004">
        <v>80</v>
      </c>
      <c r="I7004">
        <v>0</v>
      </c>
      <c r="J7004">
        <v>8.69</v>
      </c>
      <c r="K7004">
        <v>0</v>
      </c>
    </row>
    <row r="7005" spans="1:11" x14ac:dyDescent="0.2">
      <c r="A7005">
        <v>51508</v>
      </c>
      <c r="B7005">
        <v>5605045</v>
      </c>
      <c r="C7005" t="s">
        <v>10113</v>
      </c>
      <c r="D7005">
        <v>10</v>
      </c>
      <c r="E7005">
        <v>4</v>
      </c>
      <c r="F7005">
        <v>6</v>
      </c>
      <c r="G7005">
        <v>24</v>
      </c>
      <c r="H7005">
        <v>96</v>
      </c>
      <c r="I7005">
        <v>0.1</v>
      </c>
      <c r="J7005">
        <v>8.99</v>
      </c>
      <c r="K7005">
        <v>215.76</v>
      </c>
    </row>
    <row r="7006" spans="1:11" x14ac:dyDescent="0.2">
      <c r="B7006">
        <v>5605046</v>
      </c>
      <c r="C7006" t="s">
        <v>10114</v>
      </c>
      <c r="D7006">
        <v>11</v>
      </c>
      <c r="E7006">
        <v>4</v>
      </c>
      <c r="F7006">
        <v>0</v>
      </c>
      <c r="G7006">
        <v>0</v>
      </c>
      <c r="H7006">
        <v>96</v>
      </c>
      <c r="I7006">
        <v>0</v>
      </c>
      <c r="J7006">
        <v>6.99</v>
      </c>
      <c r="K7006">
        <v>0</v>
      </c>
    </row>
    <row r="7007" spans="1:11" x14ac:dyDescent="0.2">
      <c r="A7007">
        <v>84087</v>
      </c>
      <c r="B7007">
        <v>5605054</v>
      </c>
      <c r="C7007" t="s">
        <v>10115</v>
      </c>
      <c r="D7007">
        <v>8</v>
      </c>
      <c r="E7007">
        <v>8</v>
      </c>
      <c r="F7007">
        <v>60</v>
      </c>
      <c r="G7007">
        <v>480</v>
      </c>
      <c r="H7007">
        <v>72</v>
      </c>
      <c r="I7007">
        <v>0.8</v>
      </c>
      <c r="J7007">
        <v>2.29</v>
      </c>
      <c r="K7007">
        <v>1099.2</v>
      </c>
    </row>
    <row r="7008" spans="1:11" x14ac:dyDescent="0.2">
      <c r="A7008">
        <v>43526</v>
      </c>
      <c r="B7008">
        <v>5605060</v>
      </c>
      <c r="C7008" t="s">
        <v>10116</v>
      </c>
      <c r="D7008">
        <v>10</v>
      </c>
      <c r="E7008">
        <v>6</v>
      </c>
      <c r="F7008">
        <v>3</v>
      </c>
      <c r="G7008">
        <v>18</v>
      </c>
      <c r="H7008">
        <v>138</v>
      </c>
      <c r="I7008">
        <v>0</v>
      </c>
      <c r="J7008">
        <v>2.4900000000000002</v>
      </c>
      <c r="K7008">
        <v>44.82</v>
      </c>
    </row>
    <row r="7009" spans="1:11" x14ac:dyDescent="0.2">
      <c r="B7009">
        <v>5605061</v>
      </c>
      <c r="C7009" t="s">
        <v>10117</v>
      </c>
      <c r="D7009">
        <v>11</v>
      </c>
      <c r="E7009">
        <v>8</v>
      </c>
      <c r="F7009">
        <v>0</v>
      </c>
      <c r="G7009">
        <v>0</v>
      </c>
      <c r="H7009">
        <v>138</v>
      </c>
      <c r="I7009">
        <v>0</v>
      </c>
      <c r="J7009">
        <v>1.49</v>
      </c>
      <c r="K7009">
        <v>0</v>
      </c>
    </row>
    <row r="7010" spans="1:11" x14ac:dyDescent="0.2">
      <c r="A7010">
        <v>85039</v>
      </c>
      <c r="B7010">
        <v>5605074</v>
      </c>
      <c r="C7010" t="s">
        <v>10118</v>
      </c>
      <c r="D7010">
        <v>8</v>
      </c>
      <c r="E7010">
        <v>6</v>
      </c>
      <c r="F7010">
        <v>188</v>
      </c>
      <c r="G7010">
        <v>1128</v>
      </c>
      <c r="H7010">
        <v>60</v>
      </c>
      <c r="I7010">
        <v>3.1</v>
      </c>
      <c r="J7010">
        <v>0.99</v>
      </c>
      <c r="K7010">
        <v>1116.72</v>
      </c>
    </row>
    <row r="7011" spans="1:11" x14ac:dyDescent="0.2">
      <c r="A7011">
        <v>38521</v>
      </c>
      <c r="B7011">
        <v>5605075</v>
      </c>
      <c r="C7011" t="s">
        <v>10119</v>
      </c>
      <c r="D7011">
        <v>10</v>
      </c>
      <c r="E7011">
        <v>6</v>
      </c>
      <c r="F7011">
        <v>0</v>
      </c>
      <c r="G7011">
        <v>0</v>
      </c>
      <c r="H7011">
        <v>64</v>
      </c>
      <c r="I7011">
        <v>0</v>
      </c>
      <c r="J7011">
        <v>1.89</v>
      </c>
      <c r="K7011">
        <v>0</v>
      </c>
    </row>
    <row r="7012" spans="1:11" x14ac:dyDescent="0.2">
      <c r="A7012">
        <v>1612</v>
      </c>
      <c r="B7012">
        <v>5605107</v>
      </c>
      <c r="C7012" t="s">
        <v>10120</v>
      </c>
      <c r="D7012">
        <v>6</v>
      </c>
      <c r="E7012">
        <v>1</v>
      </c>
      <c r="F7012">
        <v>1587</v>
      </c>
      <c r="G7012">
        <v>1587</v>
      </c>
      <c r="H7012">
        <v>72</v>
      </c>
      <c r="I7012">
        <v>22</v>
      </c>
      <c r="J7012">
        <v>9.49</v>
      </c>
      <c r="K7012">
        <v>15060.63</v>
      </c>
    </row>
    <row r="7013" spans="1:11" x14ac:dyDescent="0.2">
      <c r="A7013">
        <v>84122</v>
      </c>
      <c r="B7013">
        <v>5605109</v>
      </c>
      <c r="C7013" t="s">
        <v>10121</v>
      </c>
      <c r="D7013">
        <v>8</v>
      </c>
      <c r="E7013">
        <v>12</v>
      </c>
      <c r="F7013">
        <v>196</v>
      </c>
      <c r="G7013">
        <v>2352</v>
      </c>
      <c r="H7013">
        <v>48</v>
      </c>
      <c r="I7013">
        <v>4.0999999999999996</v>
      </c>
      <c r="J7013">
        <v>2.4900000000000002</v>
      </c>
      <c r="K7013">
        <v>5856.48</v>
      </c>
    </row>
    <row r="7014" spans="1:11" x14ac:dyDescent="0.2">
      <c r="A7014">
        <v>84153</v>
      </c>
      <c r="B7014">
        <v>5605110</v>
      </c>
      <c r="C7014" t="s">
        <v>10122</v>
      </c>
      <c r="D7014">
        <v>8</v>
      </c>
      <c r="E7014">
        <v>12</v>
      </c>
      <c r="F7014">
        <v>283</v>
      </c>
      <c r="G7014">
        <v>3396</v>
      </c>
      <c r="H7014">
        <v>88</v>
      </c>
      <c r="I7014">
        <v>3.2</v>
      </c>
      <c r="J7014">
        <v>2.0699999999999998</v>
      </c>
      <c r="K7014">
        <v>7029.72</v>
      </c>
    </row>
    <row r="7015" spans="1:11" x14ac:dyDescent="0.2">
      <c r="A7015">
        <v>41517</v>
      </c>
      <c r="B7015">
        <v>5605111</v>
      </c>
      <c r="C7015" t="s">
        <v>10123</v>
      </c>
      <c r="D7015">
        <v>10</v>
      </c>
      <c r="E7015">
        <v>6</v>
      </c>
      <c r="F7015">
        <v>0</v>
      </c>
      <c r="G7015">
        <v>0</v>
      </c>
      <c r="H7015">
        <v>184</v>
      </c>
      <c r="I7015">
        <v>0</v>
      </c>
      <c r="J7015">
        <v>1.99</v>
      </c>
      <c r="K7015">
        <v>0</v>
      </c>
    </row>
    <row r="7016" spans="1:11" x14ac:dyDescent="0.2">
      <c r="B7016">
        <v>5605120</v>
      </c>
      <c r="C7016" t="s">
        <v>10124</v>
      </c>
      <c r="D7016">
        <v>11</v>
      </c>
      <c r="E7016">
        <v>12</v>
      </c>
      <c r="F7016">
        <v>-1</v>
      </c>
      <c r="G7016">
        <v>-12</v>
      </c>
      <c r="H7016">
        <v>150</v>
      </c>
      <c r="I7016">
        <v>0</v>
      </c>
      <c r="J7016">
        <v>1.35</v>
      </c>
      <c r="K7016">
        <v>-16.2</v>
      </c>
    </row>
    <row r="7017" spans="1:11" x14ac:dyDescent="0.2">
      <c r="B7017">
        <v>5605121</v>
      </c>
      <c r="C7017" t="s">
        <v>10125</v>
      </c>
      <c r="D7017">
        <v>11</v>
      </c>
      <c r="E7017">
        <v>12</v>
      </c>
      <c r="F7017">
        <v>1</v>
      </c>
      <c r="G7017">
        <v>12</v>
      </c>
      <c r="H7017">
        <v>150</v>
      </c>
      <c r="I7017">
        <v>0</v>
      </c>
      <c r="J7017">
        <v>1.35</v>
      </c>
      <c r="K7017">
        <v>16.2</v>
      </c>
    </row>
    <row r="7018" spans="1:11" x14ac:dyDescent="0.2">
      <c r="A7018">
        <v>51601</v>
      </c>
      <c r="B7018">
        <v>5605122</v>
      </c>
      <c r="C7018" t="s">
        <v>10126</v>
      </c>
      <c r="D7018">
        <v>10</v>
      </c>
      <c r="E7018">
        <v>4</v>
      </c>
      <c r="F7018">
        <v>0</v>
      </c>
      <c r="G7018">
        <v>0</v>
      </c>
      <c r="H7018">
        <v>105</v>
      </c>
      <c r="I7018">
        <v>0</v>
      </c>
      <c r="J7018">
        <v>6.99</v>
      </c>
      <c r="K7018">
        <v>0</v>
      </c>
    </row>
    <row r="7019" spans="1:11" x14ac:dyDescent="0.2">
      <c r="A7019">
        <v>50603</v>
      </c>
      <c r="B7019">
        <v>5605123</v>
      </c>
      <c r="C7019" t="s">
        <v>10127</v>
      </c>
      <c r="D7019">
        <v>10</v>
      </c>
      <c r="E7019">
        <v>4</v>
      </c>
      <c r="F7019">
        <v>1</v>
      </c>
      <c r="G7019">
        <v>4</v>
      </c>
      <c r="H7019">
        <v>96</v>
      </c>
      <c r="I7019">
        <v>0</v>
      </c>
      <c r="J7019">
        <v>14.99</v>
      </c>
      <c r="K7019">
        <v>59.96</v>
      </c>
    </row>
    <row r="7020" spans="1:11" x14ac:dyDescent="0.2">
      <c r="A7020">
        <v>47613</v>
      </c>
      <c r="B7020">
        <v>5605125</v>
      </c>
      <c r="C7020" t="s">
        <v>10128</v>
      </c>
      <c r="D7020">
        <v>10</v>
      </c>
      <c r="E7020">
        <v>4</v>
      </c>
      <c r="F7020">
        <v>2</v>
      </c>
      <c r="G7020">
        <v>8</v>
      </c>
      <c r="H7020">
        <v>60</v>
      </c>
      <c r="I7020">
        <v>0</v>
      </c>
      <c r="J7020">
        <v>9.99</v>
      </c>
      <c r="K7020">
        <v>79.92</v>
      </c>
    </row>
    <row r="7021" spans="1:11" x14ac:dyDescent="0.2">
      <c r="A7021">
        <v>43527</v>
      </c>
      <c r="B7021">
        <v>5605126</v>
      </c>
      <c r="C7021" t="s">
        <v>10129</v>
      </c>
      <c r="D7021">
        <v>10</v>
      </c>
      <c r="E7021">
        <v>18</v>
      </c>
      <c r="F7021">
        <v>3</v>
      </c>
      <c r="G7021">
        <v>54</v>
      </c>
      <c r="H7021">
        <v>78</v>
      </c>
      <c r="I7021">
        <v>0</v>
      </c>
      <c r="J7021">
        <v>2.19</v>
      </c>
      <c r="K7021">
        <v>118.26</v>
      </c>
    </row>
    <row r="7022" spans="1:11" x14ac:dyDescent="0.2">
      <c r="A7022">
        <v>57497</v>
      </c>
      <c r="B7022">
        <v>5605127</v>
      </c>
      <c r="C7022" t="s">
        <v>10130</v>
      </c>
      <c r="D7022">
        <v>10</v>
      </c>
      <c r="E7022">
        <v>6</v>
      </c>
      <c r="F7022">
        <v>1</v>
      </c>
      <c r="G7022">
        <v>4</v>
      </c>
      <c r="H7022">
        <v>231</v>
      </c>
      <c r="I7022">
        <v>0</v>
      </c>
      <c r="J7022">
        <v>1.0900000000000001</v>
      </c>
      <c r="K7022">
        <v>4.3600000000000003</v>
      </c>
    </row>
    <row r="7023" spans="1:11" x14ac:dyDescent="0.2">
      <c r="A7023">
        <v>85034</v>
      </c>
      <c r="B7023">
        <v>5605129</v>
      </c>
      <c r="C7023" t="s">
        <v>10131</v>
      </c>
      <c r="D7023">
        <v>9</v>
      </c>
      <c r="E7023">
        <v>6</v>
      </c>
      <c r="F7023">
        <v>76</v>
      </c>
      <c r="G7023">
        <v>456</v>
      </c>
      <c r="H7023">
        <v>60</v>
      </c>
      <c r="I7023">
        <v>1.3</v>
      </c>
      <c r="J7023">
        <v>0.99</v>
      </c>
      <c r="K7023">
        <v>451.44</v>
      </c>
    </row>
    <row r="7024" spans="1:11" x14ac:dyDescent="0.2">
      <c r="A7024">
        <v>2609</v>
      </c>
      <c r="B7024">
        <v>5605130</v>
      </c>
      <c r="C7024" t="s">
        <v>10132</v>
      </c>
      <c r="D7024">
        <v>6</v>
      </c>
      <c r="E7024">
        <v>12</v>
      </c>
      <c r="F7024">
        <v>0</v>
      </c>
      <c r="G7024">
        <v>-2</v>
      </c>
      <c r="H7024">
        <v>56</v>
      </c>
      <c r="I7024">
        <v>0</v>
      </c>
      <c r="J7024">
        <v>2.99</v>
      </c>
      <c r="K7024">
        <v>-5.98</v>
      </c>
    </row>
    <row r="7025" spans="1:11" x14ac:dyDescent="0.2">
      <c r="A7025">
        <v>2610</v>
      </c>
      <c r="B7025">
        <v>5605131</v>
      </c>
      <c r="C7025" t="s">
        <v>10133</v>
      </c>
      <c r="D7025">
        <v>6</v>
      </c>
      <c r="E7025">
        <v>12</v>
      </c>
      <c r="F7025">
        <v>0</v>
      </c>
      <c r="G7025">
        <v>0</v>
      </c>
      <c r="H7025">
        <v>56</v>
      </c>
      <c r="I7025">
        <v>0</v>
      </c>
      <c r="J7025">
        <v>2.99</v>
      </c>
      <c r="K7025">
        <v>0</v>
      </c>
    </row>
    <row r="7026" spans="1:11" x14ac:dyDescent="0.2">
      <c r="A7026">
        <v>2611</v>
      </c>
      <c r="B7026">
        <v>5605132</v>
      </c>
      <c r="C7026" t="s">
        <v>10134</v>
      </c>
      <c r="D7026">
        <v>6</v>
      </c>
      <c r="E7026">
        <v>12</v>
      </c>
      <c r="F7026">
        <v>0</v>
      </c>
      <c r="G7026">
        <v>0</v>
      </c>
      <c r="H7026">
        <v>56</v>
      </c>
      <c r="I7026">
        <v>0</v>
      </c>
      <c r="J7026">
        <v>2.69</v>
      </c>
      <c r="K7026">
        <v>0</v>
      </c>
    </row>
    <row r="7027" spans="1:11" x14ac:dyDescent="0.2">
      <c r="A7027">
        <v>2612</v>
      </c>
      <c r="B7027">
        <v>5605133</v>
      </c>
      <c r="C7027" t="s">
        <v>10135</v>
      </c>
      <c r="D7027">
        <v>6</v>
      </c>
      <c r="E7027">
        <v>12</v>
      </c>
      <c r="F7027">
        <v>0</v>
      </c>
      <c r="G7027">
        <v>0</v>
      </c>
      <c r="H7027">
        <v>56</v>
      </c>
      <c r="I7027">
        <v>0</v>
      </c>
      <c r="J7027">
        <v>2.99</v>
      </c>
      <c r="K7027">
        <v>0</v>
      </c>
    </row>
    <row r="7028" spans="1:11" x14ac:dyDescent="0.2">
      <c r="A7028">
        <v>72228</v>
      </c>
      <c r="B7028">
        <v>5605142</v>
      </c>
      <c r="C7028" t="s">
        <v>10136</v>
      </c>
      <c r="D7028">
        <v>8</v>
      </c>
      <c r="E7028">
        <v>12</v>
      </c>
      <c r="F7028">
        <v>240</v>
      </c>
      <c r="G7028">
        <v>2880</v>
      </c>
      <c r="H7028">
        <v>64</v>
      </c>
      <c r="I7028">
        <v>3.8</v>
      </c>
      <c r="J7028">
        <v>2.4500000000000002</v>
      </c>
      <c r="K7028">
        <v>7056</v>
      </c>
    </row>
    <row r="7029" spans="1:11" x14ac:dyDescent="0.2">
      <c r="A7029">
        <v>72091</v>
      </c>
      <c r="B7029">
        <v>5605146</v>
      </c>
      <c r="C7029" t="s">
        <v>10137</v>
      </c>
      <c r="D7029">
        <v>8</v>
      </c>
      <c r="E7029">
        <v>12</v>
      </c>
      <c r="F7029">
        <v>261</v>
      </c>
      <c r="G7029">
        <v>3132</v>
      </c>
      <c r="H7029">
        <v>88</v>
      </c>
      <c r="I7029">
        <v>3</v>
      </c>
      <c r="J7029">
        <v>1.49</v>
      </c>
      <c r="K7029">
        <v>4666.68</v>
      </c>
    </row>
    <row r="7030" spans="1:11" x14ac:dyDescent="0.2">
      <c r="A7030">
        <v>76025</v>
      </c>
      <c r="B7030">
        <v>5605151</v>
      </c>
      <c r="C7030" t="s">
        <v>10138</v>
      </c>
      <c r="D7030">
        <v>8</v>
      </c>
      <c r="E7030">
        <v>15</v>
      </c>
      <c r="F7030">
        <v>332</v>
      </c>
      <c r="G7030">
        <v>4980</v>
      </c>
      <c r="H7030">
        <v>140</v>
      </c>
      <c r="I7030">
        <v>2.4</v>
      </c>
      <c r="J7030">
        <v>0.89</v>
      </c>
      <c r="K7030">
        <v>4432.2</v>
      </c>
    </row>
    <row r="7031" spans="1:11" x14ac:dyDescent="0.2">
      <c r="A7031">
        <v>26619</v>
      </c>
      <c r="B7031">
        <v>5605152</v>
      </c>
      <c r="C7031" t="s">
        <v>10139</v>
      </c>
      <c r="D7031">
        <v>10</v>
      </c>
      <c r="E7031">
        <v>8</v>
      </c>
      <c r="F7031">
        <v>0</v>
      </c>
      <c r="G7031">
        <v>0</v>
      </c>
      <c r="H7031">
        <v>80</v>
      </c>
      <c r="I7031">
        <v>0</v>
      </c>
      <c r="J7031">
        <v>9.99</v>
      </c>
      <c r="K7031">
        <v>0</v>
      </c>
    </row>
    <row r="7032" spans="1:11" x14ac:dyDescent="0.2">
      <c r="A7032">
        <v>41638</v>
      </c>
      <c r="B7032">
        <v>5605153</v>
      </c>
      <c r="C7032" t="s">
        <v>10140</v>
      </c>
      <c r="D7032">
        <v>10</v>
      </c>
      <c r="E7032">
        <v>8</v>
      </c>
      <c r="F7032">
        <v>0</v>
      </c>
      <c r="G7032">
        <v>0</v>
      </c>
      <c r="H7032">
        <v>80</v>
      </c>
      <c r="I7032">
        <v>0</v>
      </c>
      <c r="J7032">
        <v>4.99</v>
      </c>
      <c r="K7032">
        <v>0</v>
      </c>
    </row>
    <row r="7033" spans="1:11" x14ac:dyDescent="0.2">
      <c r="A7033">
        <v>49605</v>
      </c>
      <c r="B7033">
        <v>5605154</v>
      </c>
      <c r="C7033" t="s">
        <v>10141</v>
      </c>
      <c r="D7033">
        <v>10</v>
      </c>
      <c r="E7033">
        <v>8</v>
      </c>
      <c r="F7033">
        <v>1</v>
      </c>
      <c r="G7033">
        <v>8</v>
      </c>
      <c r="H7033">
        <v>80</v>
      </c>
      <c r="I7033">
        <v>0</v>
      </c>
      <c r="J7033">
        <v>9.99</v>
      </c>
      <c r="K7033">
        <v>79.92</v>
      </c>
    </row>
    <row r="7034" spans="1:11" x14ac:dyDescent="0.2">
      <c r="A7034">
        <v>36619</v>
      </c>
      <c r="B7034">
        <v>5605155</v>
      </c>
      <c r="C7034" t="s">
        <v>10142</v>
      </c>
      <c r="D7034">
        <v>10</v>
      </c>
      <c r="E7034">
        <v>15</v>
      </c>
      <c r="F7034">
        <v>0</v>
      </c>
      <c r="G7034">
        <v>0</v>
      </c>
      <c r="H7034">
        <v>80</v>
      </c>
      <c r="I7034">
        <v>0</v>
      </c>
      <c r="J7034">
        <v>2.89</v>
      </c>
      <c r="K7034">
        <v>0</v>
      </c>
    </row>
    <row r="7035" spans="1:11" x14ac:dyDescent="0.2">
      <c r="A7035">
        <v>41611</v>
      </c>
      <c r="B7035">
        <v>5605156</v>
      </c>
      <c r="C7035" t="s">
        <v>10143</v>
      </c>
      <c r="D7035">
        <v>10</v>
      </c>
      <c r="E7035">
        <v>8</v>
      </c>
      <c r="F7035">
        <v>0</v>
      </c>
      <c r="G7035">
        <v>0</v>
      </c>
      <c r="H7035">
        <v>96</v>
      </c>
      <c r="I7035">
        <v>0</v>
      </c>
      <c r="J7035">
        <v>3.99</v>
      </c>
      <c r="K7035">
        <v>0</v>
      </c>
    </row>
    <row r="7036" spans="1:11" x14ac:dyDescent="0.2">
      <c r="A7036">
        <v>74160</v>
      </c>
      <c r="B7036">
        <v>5605158</v>
      </c>
      <c r="C7036" t="s">
        <v>10144</v>
      </c>
      <c r="D7036">
        <v>8</v>
      </c>
      <c r="E7036">
        <v>20</v>
      </c>
      <c r="F7036">
        <v>240</v>
      </c>
      <c r="G7036">
        <v>4800</v>
      </c>
      <c r="H7036">
        <v>54</v>
      </c>
      <c r="I7036">
        <v>4.4000000000000004</v>
      </c>
      <c r="J7036">
        <v>1.38</v>
      </c>
      <c r="K7036">
        <v>6624</v>
      </c>
    </row>
    <row r="7037" spans="1:11" x14ac:dyDescent="0.2">
      <c r="B7037">
        <v>5605163</v>
      </c>
      <c r="C7037" t="s">
        <v>10145</v>
      </c>
      <c r="D7037">
        <v>11</v>
      </c>
      <c r="E7037">
        <v>11</v>
      </c>
      <c r="F7037">
        <v>0</v>
      </c>
      <c r="G7037">
        <v>0</v>
      </c>
      <c r="H7037">
        <v>55</v>
      </c>
      <c r="I7037">
        <v>0</v>
      </c>
      <c r="J7037">
        <v>2.69</v>
      </c>
      <c r="K7037">
        <v>0</v>
      </c>
    </row>
    <row r="7038" spans="1:11" x14ac:dyDescent="0.2">
      <c r="A7038">
        <v>57584</v>
      </c>
      <c r="B7038">
        <v>5605165</v>
      </c>
      <c r="C7038" t="s">
        <v>10146</v>
      </c>
      <c r="D7038">
        <v>10</v>
      </c>
      <c r="E7038">
        <v>8</v>
      </c>
      <c r="F7038">
        <v>4</v>
      </c>
      <c r="G7038">
        <v>34</v>
      </c>
      <c r="H7038">
        <v>40</v>
      </c>
      <c r="I7038">
        <v>0.1</v>
      </c>
      <c r="J7038">
        <v>1</v>
      </c>
      <c r="K7038">
        <v>34</v>
      </c>
    </row>
    <row r="7039" spans="1:11" x14ac:dyDescent="0.2">
      <c r="B7039">
        <v>5605166</v>
      </c>
      <c r="C7039" t="s">
        <v>10147</v>
      </c>
      <c r="D7039">
        <v>11</v>
      </c>
      <c r="E7039">
        <v>16</v>
      </c>
      <c r="F7039">
        <v>0</v>
      </c>
      <c r="G7039">
        <v>0</v>
      </c>
      <c r="H7039">
        <v>98</v>
      </c>
      <c r="I7039">
        <v>0</v>
      </c>
      <c r="J7039">
        <v>0.5</v>
      </c>
      <c r="K7039">
        <v>0</v>
      </c>
    </row>
    <row r="7040" spans="1:11" x14ac:dyDescent="0.2">
      <c r="A7040">
        <v>76058</v>
      </c>
      <c r="B7040">
        <v>5605168</v>
      </c>
      <c r="C7040" t="s">
        <v>10148</v>
      </c>
      <c r="D7040">
        <v>8</v>
      </c>
      <c r="E7040">
        <v>16</v>
      </c>
      <c r="F7040">
        <v>103</v>
      </c>
      <c r="G7040">
        <v>1648</v>
      </c>
      <c r="H7040">
        <v>56</v>
      </c>
      <c r="I7040">
        <v>1.8</v>
      </c>
      <c r="J7040">
        <v>1.78</v>
      </c>
      <c r="K7040">
        <v>2933.44</v>
      </c>
    </row>
    <row r="7041" spans="1:11" x14ac:dyDescent="0.2">
      <c r="B7041">
        <v>5605169</v>
      </c>
      <c r="C7041" t="s">
        <v>10149</v>
      </c>
      <c r="D7041">
        <v>11</v>
      </c>
      <c r="E7041">
        <v>6</v>
      </c>
      <c r="F7041">
        <v>0</v>
      </c>
      <c r="G7041">
        <v>0</v>
      </c>
      <c r="H7041">
        <v>84</v>
      </c>
      <c r="I7041">
        <v>0</v>
      </c>
      <c r="J7041">
        <v>0.79</v>
      </c>
      <c r="K7041">
        <v>0</v>
      </c>
    </row>
    <row r="7042" spans="1:11" x14ac:dyDescent="0.2">
      <c r="A7042">
        <v>69186</v>
      </c>
      <c r="B7042">
        <v>5605170</v>
      </c>
      <c r="C7042" t="s">
        <v>10150</v>
      </c>
      <c r="D7042">
        <v>8</v>
      </c>
      <c r="E7042">
        <v>6</v>
      </c>
      <c r="F7042">
        <v>2150</v>
      </c>
      <c r="G7042">
        <v>12897</v>
      </c>
      <c r="H7042">
        <v>140</v>
      </c>
      <c r="I7042">
        <v>15.4</v>
      </c>
      <c r="J7042">
        <v>0.89</v>
      </c>
      <c r="K7042">
        <v>11478.33</v>
      </c>
    </row>
    <row r="7043" spans="1:11" x14ac:dyDescent="0.2">
      <c r="A7043">
        <v>57022</v>
      </c>
      <c r="B7043">
        <v>5605174</v>
      </c>
      <c r="C7043" t="s">
        <v>10151</v>
      </c>
      <c r="D7043">
        <v>11</v>
      </c>
      <c r="E7043">
        <v>16</v>
      </c>
      <c r="F7043">
        <v>0</v>
      </c>
      <c r="G7043">
        <v>0</v>
      </c>
      <c r="H7043">
        <v>48</v>
      </c>
      <c r="I7043">
        <v>0</v>
      </c>
      <c r="J7043">
        <v>0.5</v>
      </c>
      <c r="K7043">
        <v>0</v>
      </c>
    </row>
    <row r="7044" spans="1:11" x14ac:dyDescent="0.2">
      <c r="B7044">
        <v>5605178</v>
      </c>
      <c r="C7044" t="s">
        <v>10152</v>
      </c>
      <c r="D7044">
        <v>11</v>
      </c>
      <c r="E7044">
        <v>16</v>
      </c>
      <c r="F7044">
        <v>0</v>
      </c>
      <c r="G7044">
        <v>0</v>
      </c>
      <c r="H7044">
        <v>48</v>
      </c>
      <c r="I7044">
        <v>0</v>
      </c>
      <c r="J7044">
        <v>1.6</v>
      </c>
      <c r="K7044">
        <v>0</v>
      </c>
    </row>
    <row r="7045" spans="1:11" x14ac:dyDescent="0.2">
      <c r="A7045">
        <v>36621</v>
      </c>
      <c r="B7045">
        <v>5605179</v>
      </c>
      <c r="C7045" t="s">
        <v>10153</v>
      </c>
      <c r="D7045">
        <v>10</v>
      </c>
      <c r="E7045">
        <v>6</v>
      </c>
      <c r="F7045">
        <v>3</v>
      </c>
      <c r="G7045">
        <v>16</v>
      </c>
      <c r="H7045">
        <v>80</v>
      </c>
      <c r="I7045">
        <v>0</v>
      </c>
      <c r="J7045">
        <v>18.989999999999998</v>
      </c>
      <c r="K7045">
        <v>303.83999999999997</v>
      </c>
    </row>
    <row r="7046" spans="1:11" x14ac:dyDescent="0.2">
      <c r="A7046">
        <v>65105</v>
      </c>
      <c r="B7046">
        <v>5605180</v>
      </c>
      <c r="C7046" t="s">
        <v>10154</v>
      </c>
      <c r="D7046">
        <v>9</v>
      </c>
      <c r="E7046">
        <v>8</v>
      </c>
      <c r="F7046">
        <v>973</v>
      </c>
      <c r="G7046">
        <v>7780</v>
      </c>
      <c r="H7046">
        <v>96</v>
      </c>
      <c r="I7046">
        <v>10.1</v>
      </c>
      <c r="J7046">
        <v>1.19</v>
      </c>
      <c r="K7046">
        <v>9258.2000000000007</v>
      </c>
    </row>
    <row r="7047" spans="1:11" x14ac:dyDescent="0.2">
      <c r="A7047">
        <v>75047</v>
      </c>
      <c r="B7047">
        <v>5605181</v>
      </c>
      <c r="C7047" t="s">
        <v>10155</v>
      </c>
      <c r="D7047">
        <v>10</v>
      </c>
      <c r="E7047">
        <v>15</v>
      </c>
      <c r="F7047">
        <v>2</v>
      </c>
      <c r="G7047">
        <v>30</v>
      </c>
      <c r="H7047">
        <v>25</v>
      </c>
      <c r="I7047">
        <v>0.1</v>
      </c>
      <c r="J7047">
        <v>4.8899999999999997</v>
      </c>
      <c r="K7047">
        <v>146.69999999999999</v>
      </c>
    </row>
    <row r="7048" spans="1:11" x14ac:dyDescent="0.2">
      <c r="A7048">
        <v>46614</v>
      </c>
      <c r="B7048">
        <v>5605183</v>
      </c>
      <c r="C7048" t="s">
        <v>10156</v>
      </c>
      <c r="D7048">
        <v>10</v>
      </c>
      <c r="E7048">
        <v>16</v>
      </c>
      <c r="F7048">
        <v>3</v>
      </c>
      <c r="G7048">
        <v>50</v>
      </c>
      <c r="H7048">
        <v>48</v>
      </c>
      <c r="I7048">
        <v>0.1</v>
      </c>
      <c r="J7048">
        <v>3.49</v>
      </c>
      <c r="K7048">
        <v>174.5</v>
      </c>
    </row>
    <row r="7049" spans="1:11" x14ac:dyDescent="0.2">
      <c r="A7049">
        <v>75093</v>
      </c>
      <c r="B7049">
        <v>5605184</v>
      </c>
      <c r="C7049" t="s">
        <v>10157</v>
      </c>
      <c r="D7049">
        <v>10</v>
      </c>
      <c r="E7049">
        <v>12</v>
      </c>
      <c r="F7049">
        <v>26</v>
      </c>
      <c r="G7049">
        <v>312</v>
      </c>
      <c r="H7049">
        <v>36</v>
      </c>
      <c r="I7049">
        <v>0.7</v>
      </c>
      <c r="J7049">
        <v>5.49</v>
      </c>
      <c r="K7049">
        <v>1712.88</v>
      </c>
    </row>
    <row r="7050" spans="1:11" x14ac:dyDescent="0.2">
      <c r="B7050">
        <v>5605185</v>
      </c>
      <c r="C7050" t="s">
        <v>10158</v>
      </c>
      <c r="D7050">
        <v>11</v>
      </c>
      <c r="E7050">
        <v>56</v>
      </c>
      <c r="F7050">
        <v>-4</v>
      </c>
      <c r="G7050">
        <v>-224</v>
      </c>
      <c r="H7050">
        <v>4</v>
      </c>
      <c r="I7050">
        <v>-1</v>
      </c>
      <c r="J7050">
        <v>3.99</v>
      </c>
      <c r="K7050">
        <v>-893.76</v>
      </c>
    </row>
    <row r="7051" spans="1:11" x14ac:dyDescent="0.2">
      <c r="A7051">
        <v>49602</v>
      </c>
      <c r="B7051">
        <v>5605186</v>
      </c>
      <c r="C7051" t="s">
        <v>10159</v>
      </c>
      <c r="D7051">
        <v>10</v>
      </c>
      <c r="E7051">
        <v>16</v>
      </c>
      <c r="F7051">
        <v>-9</v>
      </c>
      <c r="G7051">
        <v>-144</v>
      </c>
      <c r="H7051">
        <v>48</v>
      </c>
      <c r="I7051">
        <v>-0.2</v>
      </c>
      <c r="J7051">
        <v>2.59</v>
      </c>
      <c r="K7051">
        <v>-372.96</v>
      </c>
    </row>
    <row r="7052" spans="1:11" x14ac:dyDescent="0.2">
      <c r="A7052">
        <v>47695</v>
      </c>
      <c r="B7052">
        <v>5605187</v>
      </c>
      <c r="C7052" t="s">
        <v>10160</v>
      </c>
      <c r="D7052">
        <v>10</v>
      </c>
      <c r="E7052">
        <v>12</v>
      </c>
      <c r="F7052">
        <v>3</v>
      </c>
      <c r="G7052">
        <v>36</v>
      </c>
      <c r="H7052">
        <v>25</v>
      </c>
      <c r="I7052">
        <v>0.1</v>
      </c>
      <c r="J7052">
        <v>4.99</v>
      </c>
      <c r="K7052">
        <v>179.64</v>
      </c>
    </row>
    <row r="7053" spans="1:11" x14ac:dyDescent="0.2">
      <c r="A7053">
        <v>75019</v>
      </c>
      <c r="B7053">
        <v>5605188</v>
      </c>
      <c r="C7053" t="s">
        <v>10161</v>
      </c>
      <c r="D7053">
        <v>10</v>
      </c>
      <c r="E7053">
        <v>12</v>
      </c>
      <c r="F7053">
        <v>2</v>
      </c>
      <c r="G7053">
        <v>24</v>
      </c>
      <c r="H7053">
        <v>42</v>
      </c>
      <c r="I7053">
        <v>0</v>
      </c>
      <c r="J7053">
        <v>3.99</v>
      </c>
      <c r="K7053">
        <v>95.76</v>
      </c>
    </row>
    <row r="7054" spans="1:11" x14ac:dyDescent="0.2">
      <c r="A7054">
        <v>36514</v>
      </c>
      <c r="B7054">
        <v>5605191</v>
      </c>
      <c r="C7054" t="s">
        <v>10162</v>
      </c>
      <c r="D7054">
        <v>10</v>
      </c>
      <c r="E7054">
        <v>14</v>
      </c>
      <c r="F7054">
        <v>0</v>
      </c>
      <c r="G7054">
        <v>0</v>
      </c>
      <c r="H7054">
        <v>68</v>
      </c>
      <c r="I7054">
        <v>0</v>
      </c>
      <c r="J7054">
        <v>1.19</v>
      </c>
      <c r="K7054">
        <v>0</v>
      </c>
    </row>
    <row r="7055" spans="1:11" x14ac:dyDescent="0.2">
      <c r="A7055">
        <v>3526</v>
      </c>
      <c r="B7055">
        <v>5605193</v>
      </c>
      <c r="C7055" t="s">
        <v>10163</v>
      </c>
      <c r="D7055">
        <v>6</v>
      </c>
      <c r="E7055">
        <v>15</v>
      </c>
      <c r="F7055">
        <v>0</v>
      </c>
      <c r="G7055">
        <v>0</v>
      </c>
      <c r="H7055">
        <v>68</v>
      </c>
      <c r="I7055">
        <v>0</v>
      </c>
      <c r="J7055">
        <v>1.79</v>
      </c>
      <c r="K7055">
        <v>0</v>
      </c>
    </row>
    <row r="7056" spans="1:11" x14ac:dyDescent="0.2">
      <c r="B7056">
        <v>5605196</v>
      </c>
      <c r="C7056" t="s">
        <v>10164</v>
      </c>
      <c r="D7056">
        <v>11</v>
      </c>
      <c r="E7056">
        <v>6</v>
      </c>
      <c r="F7056">
        <v>0</v>
      </c>
      <c r="G7056">
        <v>0</v>
      </c>
      <c r="H7056">
        <v>80</v>
      </c>
      <c r="I7056">
        <v>0</v>
      </c>
      <c r="J7056">
        <v>13</v>
      </c>
      <c r="K7056">
        <v>0</v>
      </c>
    </row>
    <row r="7057" spans="1:12" x14ac:dyDescent="0.2">
      <c r="B7057">
        <v>5605197</v>
      </c>
      <c r="C7057" t="s">
        <v>10165</v>
      </c>
      <c r="D7057">
        <v>11</v>
      </c>
      <c r="E7057">
        <v>6</v>
      </c>
      <c r="F7057">
        <v>0</v>
      </c>
      <c r="G7057">
        <v>0</v>
      </c>
      <c r="H7057">
        <v>64</v>
      </c>
      <c r="I7057">
        <v>0</v>
      </c>
      <c r="J7057">
        <v>16.989999999999998</v>
      </c>
      <c r="K7057">
        <v>0</v>
      </c>
    </row>
    <row r="7058" spans="1:12" x14ac:dyDescent="0.2">
      <c r="B7058">
        <v>5605202</v>
      </c>
      <c r="C7058" t="s">
        <v>10166</v>
      </c>
      <c r="D7058">
        <v>11</v>
      </c>
      <c r="E7058">
        <v>1</v>
      </c>
      <c r="F7058">
        <v>-6</v>
      </c>
      <c r="G7058">
        <v>-6</v>
      </c>
      <c r="H7058">
        <v>160</v>
      </c>
      <c r="I7058">
        <v>0</v>
      </c>
      <c r="J7058">
        <v>5.97</v>
      </c>
      <c r="K7058">
        <v>-35.82</v>
      </c>
    </row>
    <row r="7059" spans="1:12" x14ac:dyDescent="0.2">
      <c r="A7059">
        <v>99568</v>
      </c>
      <c r="B7059">
        <v>5605206</v>
      </c>
      <c r="C7059" t="s">
        <v>10167</v>
      </c>
      <c r="D7059">
        <v>6</v>
      </c>
      <c r="E7059">
        <v>8</v>
      </c>
      <c r="F7059">
        <v>0</v>
      </c>
      <c r="G7059">
        <v>0</v>
      </c>
      <c r="H7059">
        <v>90</v>
      </c>
      <c r="I7059">
        <v>0</v>
      </c>
      <c r="J7059">
        <v>4.1900000000000004</v>
      </c>
      <c r="K7059">
        <v>0</v>
      </c>
    </row>
    <row r="7060" spans="1:12" x14ac:dyDescent="0.2">
      <c r="A7060">
        <v>99076</v>
      </c>
      <c r="B7060">
        <v>5605207</v>
      </c>
      <c r="C7060" t="s">
        <v>10168</v>
      </c>
      <c r="D7060">
        <v>10</v>
      </c>
      <c r="E7060">
        <v>10</v>
      </c>
      <c r="F7060">
        <v>0</v>
      </c>
      <c r="G7060">
        <v>0</v>
      </c>
      <c r="H7060">
        <v>98</v>
      </c>
      <c r="I7060">
        <v>0</v>
      </c>
      <c r="J7060">
        <v>2.59</v>
      </c>
      <c r="K7060">
        <v>0</v>
      </c>
    </row>
    <row r="7061" spans="1:12" x14ac:dyDescent="0.2">
      <c r="A7061">
        <v>82102</v>
      </c>
      <c r="B7061">
        <v>5605209</v>
      </c>
      <c r="C7061" t="s">
        <v>10169</v>
      </c>
      <c r="D7061">
        <v>8</v>
      </c>
      <c r="E7061">
        <v>16</v>
      </c>
      <c r="F7061">
        <v>151</v>
      </c>
      <c r="G7061">
        <v>2416</v>
      </c>
      <c r="H7061">
        <v>48</v>
      </c>
      <c r="I7061">
        <v>3.1</v>
      </c>
      <c r="J7061">
        <v>1.89</v>
      </c>
      <c r="K7061">
        <v>4566.24</v>
      </c>
    </row>
    <row r="7062" spans="1:12" x14ac:dyDescent="0.2">
      <c r="A7062">
        <v>84146</v>
      </c>
      <c r="B7062">
        <v>5605212</v>
      </c>
      <c r="C7062" t="s">
        <v>10170</v>
      </c>
      <c r="D7062">
        <v>8</v>
      </c>
      <c r="E7062">
        <v>4</v>
      </c>
      <c r="F7062">
        <v>193</v>
      </c>
      <c r="G7062">
        <v>772</v>
      </c>
      <c r="H7062">
        <v>120</v>
      </c>
      <c r="I7062">
        <v>1.6</v>
      </c>
      <c r="J7062">
        <v>1.19</v>
      </c>
      <c r="K7062">
        <v>918.68</v>
      </c>
    </row>
    <row r="7063" spans="1:12" x14ac:dyDescent="0.2">
      <c r="B7063">
        <v>5605213</v>
      </c>
      <c r="C7063" t="s">
        <v>10171</v>
      </c>
      <c r="D7063">
        <v>11</v>
      </c>
      <c r="E7063">
        <v>4</v>
      </c>
      <c r="F7063">
        <v>0</v>
      </c>
      <c r="G7063">
        <v>0</v>
      </c>
      <c r="H7063">
        <v>120</v>
      </c>
      <c r="I7063">
        <v>0</v>
      </c>
      <c r="J7063">
        <v>1.39</v>
      </c>
      <c r="K7063">
        <v>0</v>
      </c>
    </row>
    <row r="7064" spans="1:12" x14ac:dyDescent="0.2">
      <c r="A7064">
        <v>84157</v>
      </c>
      <c r="B7064">
        <v>5605218</v>
      </c>
      <c r="C7064" t="s">
        <v>10172</v>
      </c>
      <c r="D7064">
        <v>8</v>
      </c>
      <c r="E7064">
        <v>6</v>
      </c>
      <c r="F7064">
        <v>345</v>
      </c>
      <c r="G7064">
        <v>2070</v>
      </c>
      <c r="H7064">
        <v>150</v>
      </c>
      <c r="I7064">
        <v>2.2999999999999998</v>
      </c>
      <c r="J7064">
        <v>1.62</v>
      </c>
      <c r="K7064">
        <v>3353.4</v>
      </c>
    </row>
    <row r="7065" spans="1:12" x14ac:dyDescent="0.2">
      <c r="A7065">
        <v>1527</v>
      </c>
      <c r="B7065">
        <v>5605220</v>
      </c>
      <c r="C7065" t="s">
        <v>10173</v>
      </c>
      <c r="D7065">
        <v>6</v>
      </c>
      <c r="E7065">
        <v>6</v>
      </c>
      <c r="F7065">
        <v>0</v>
      </c>
      <c r="G7065">
        <v>0</v>
      </c>
      <c r="H7065">
        <v>63</v>
      </c>
      <c r="I7065">
        <v>0</v>
      </c>
      <c r="J7065">
        <v>1.99</v>
      </c>
      <c r="K7065">
        <v>0</v>
      </c>
    </row>
    <row r="7066" spans="1:12" x14ac:dyDescent="0.2">
      <c r="A7066">
        <v>47614</v>
      </c>
      <c r="B7066">
        <v>5605222</v>
      </c>
      <c r="C7066" t="s">
        <v>10174</v>
      </c>
      <c r="D7066">
        <v>10</v>
      </c>
      <c r="E7066">
        <v>12</v>
      </c>
      <c r="F7066">
        <v>3</v>
      </c>
      <c r="G7066">
        <v>36</v>
      </c>
      <c r="H7066">
        <v>112</v>
      </c>
      <c r="I7066">
        <v>0</v>
      </c>
      <c r="J7066">
        <v>2.29</v>
      </c>
      <c r="K7066">
        <v>82.44</v>
      </c>
    </row>
    <row r="7067" spans="1:12" x14ac:dyDescent="0.2">
      <c r="A7067">
        <v>47699</v>
      </c>
      <c r="B7067">
        <v>5605227</v>
      </c>
      <c r="C7067" t="s">
        <v>10175</v>
      </c>
      <c r="D7067">
        <v>10</v>
      </c>
      <c r="E7067">
        <v>15</v>
      </c>
      <c r="F7067">
        <v>-2</v>
      </c>
      <c r="G7067">
        <v>-30</v>
      </c>
      <c r="H7067">
        <v>54</v>
      </c>
      <c r="I7067">
        <v>0</v>
      </c>
      <c r="J7067">
        <v>1.35</v>
      </c>
      <c r="K7067">
        <v>-40.5</v>
      </c>
    </row>
    <row r="7068" spans="1:12" x14ac:dyDescent="0.2">
      <c r="A7068">
        <v>3507</v>
      </c>
      <c r="B7068">
        <v>5605231</v>
      </c>
      <c r="C7068" t="s">
        <v>10176</v>
      </c>
      <c r="D7068">
        <v>6</v>
      </c>
      <c r="E7068">
        <v>8</v>
      </c>
      <c r="F7068">
        <v>3</v>
      </c>
      <c r="G7068">
        <v>24</v>
      </c>
      <c r="H7068">
        <v>108</v>
      </c>
      <c r="I7068">
        <v>0</v>
      </c>
      <c r="J7068">
        <v>5.99</v>
      </c>
      <c r="K7068">
        <v>143.76</v>
      </c>
    </row>
    <row r="7069" spans="1:12" x14ac:dyDescent="0.2">
      <c r="B7069">
        <v>5605233</v>
      </c>
      <c r="C7069" t="s">
        <v>10177</v>
      </c>
      <c r="D7069">
        <v>11</v>
      </c>
      <c r="E7069">
        <v>6</v>
      </c>
      <c r="F7069">
        <v>0</v>
      </c>
      <c r="G7069">
        <v>0</v>
      </c>
      <c r="H7069">
        <v>250</v>
      </c>
      <c r="I7069">
        <v>0</v>
      </c>
      <c r="J7069">
        <v>1.49</v>
      </c>
      <c r="K7069">
        <v>0</v>
      </c>
    </row>
    <row r="7070" spans="1:12" x14ac:dyDescent="0.2">
      <c r="B7070">
        <v>5605235</v>
      </c>
      <c r="C7070" t="s">
        <v>10178</v>
      </c>
      <c r="D7070">
        <v>12</v>
      </c>
      <c r="E7070">
        <v>6</v>
      </c>
      <c r="F7070">
        <v>0</v>
      </c>
      <c r="G7070">
        <v>0</v>
      </c>
      <c r="H7070">
        <v>100</v>
      </c>
      <c r="I7070">
        <v>0</v>
      </c>
      <c r="J7070">
        <v>2</v>
      </c>
      <c r="K7070">
        <v>0</v>
      </c>
      <c r="L7070" t="s">
        <v>3699</v>
      </c>
    </row>
    <row r="7071" spans="1:12" x14ac:dyDescent="0.2">
      <c r="A7071">
        <v>3539</v>
      </c>
      <c r="B7071">
        <v>5605237</v>
      </c>
      <c r="C7071" t="s">
        <v>10179</v>
      </c>
      <c r="D7071">
        <v>6</v>
      </c>
      <c r="E7071">
        <v>6</v>
      </c>
      <c r="F7071">
        <v>3</v>
      </c>
      <c r="G7071">
        <v>18</v>
      </c>
      <c r="H7071">
        <v>84</v>
      </c>
      <c r="I7071">
        <v>0</v>
      </c>
      <c r="J7071">
        <v>1.99</v>
      </c>
      <c r="K7071">
        <v>35.82</v>
      </c>
    </row>
    <row r="7072" spans="1:12" x14ac:dyDescent="0.2">
      <c r="A7072">
        <v>1530</v>
      </c>
      <c r="B7072">
        <v>5605238</v>
      </c>
      <c r="C7072" t="s">
        <v>10180</v>
      </c>
      <c r="D7072">
        <v>6</v>
      </c>
      <c r="E7072">
        <v>6</v>
      </c>
      <c r="F7072">
        <v>0</v>
      </c>
      <c r="G7072">
        <v>0</v>
      </c>
      <c r="H7072">
        <v>72</v>
      </c>
      <c r="I7072">
        <v>0</v>
      </c>
      <c r="J7072">
        <v>2.65</v>
      </c>
      <c r="K7072">
        <v>0</v>
      </c>
    </row>
    <row r="7073" spans="1:11" x14ac:dyDescent="0.2">
      <c r="A7073">
        <v>47510</v>
      </c>
      <c r="B7073">
        <v>5605239</v>
      </c>
      <c r="C7073" t="s">
        <v>10181</v>
      </c>
      <c r="D7073">
        <v>10</v>
      </c>
      <c r="E7073">
        <v>6</v>
      </c>
      <c r="F7073">
        <v>-5</v>
      </c>
      <c r="G7073">
        <v>-30</v>
      </c>
      <c r="H7073">
        <v>70</v>
      </c>
      <c r="I7073">
        <v>-0.1</v>
      </c>
      <c r="J7073">
        <v>3.89</v>
      </c>
      <c r="K7073">
        <v>-116.7</v>
      </c>
    </row>
    <row r="7074" spans="1:11" x14ac:dyDescent="0.2">
      <c r="B7074">
        <v>5605247</v>
      </c>
      <c r="C7074" t="s">
        <v>10182</v>
      </c>
      <c r="D7074">
        <v>11</v>
      </c>
      <c r="E7074">
        <v>4</v>
      </c>
      <c r="F7074">
        <v>0</v>
      </c>
      <c r="G7074">
        <v>0</v>
      </c>
      <c r="H7074">
        <v>40</v>
      </c>
      <c r="I7074">
        <v>0</v>
      </c>
      <c r="J7074">
        <v>2.0499999999999998</v>
      </c>
      <c r="K7074">
        <v>0</v>
      </c>
    </row>
    <row r="7075" spans="1:11" x14ac:dyDescent="0.2">
      <c r="A7075">
        <v>41653</v>
      </c>
      <c r="B7075">
        <v>5605249</v>
      </c>
      <c r="C7075" t="s">
        <v>10183</v>
      </c>
      <c r="D7075">
        <v>10</v>
      </c>
      <c r="E7075">
        <v>12</v>
      </c>
      <c r="F7075">
        <v>0</v>
      </c>
      <c r="G7075">
        <v>0</v>
      </c>
      <c r="H7075">
        <v>126</v>
      </c>
      <c r="I7075">
        <v>0</v>
      </c>
      <c r="J7075">
        <v>1.99</v>
      </c>
      <c r="K7075">
        <v>0</v>
      </c>
    </row>
    <row r="7076" spans="1:11" x14ac:dyDescent="0.2">
      <c r="B7076">
        <v>5605256</v>
      </c>
      <c r="C7076" t="s">
        <v>10184</v>
      </c>
      <c r="D7076">
        <v>11</v>
      </c>
      <c r="E7076">
        <v>6</v>
      </c>
      <c r="F7076">
        <v>0</v>
      </c>
      <c r="G7076">
        <v>0</v>
      </c>
      <c r="H7076">
        <v>192</v>
      </c>
      <c r="I7076">
        <v>0</v>
      </c>
      <c r="J7076">
        <v>1.89</v>
      </c>
      <c r="K7076">
        <v>0</v>
      </c>
    </row>
    <row r="7077" spans="1:11" x14ac:dyDescent="0.2">
      <c r="A7077">
        <v>44627</v>
      </c>
      <c r="B7077">
        <v>5605257</v>
      </c>
      <c r="C7077" t="s">
        <v>10185</v>
      </c>
      <c r="D7077">
        <v>10</v>
      </c>
      <c r="E7077">
        <v>6</v>
      </c>
      <c r="F7077">
        <v>0</v>
      </c>
      <c r="G7077">
        <v>0</v>
      </c>
      <c r="H7077">
        <v>150</v>
      </c>
      <c r="I7077">
        <v>0</v>
      </c>
      <c r="J7077">
        <v>2.4900000000000002</v>
      </c>
      <c r="K7077">
        <v>0</v>
      </c>
    </row>
    <row r="7078" spans="1:11" x14ac:dyDescent="0.2">
      <c r="A7078">
        <v>1506</v>
      </c>
      <c r="B7078">
        <v>5605259</v>
      </c>
      <c r="C7078" t="s">
        <v>10186</v>
      </c>
      <c r="D7078">
        <v>6</v>
      </c>
      <c r="E7078">
        <v>10</v>
      </c>
      <c r="F7078">
        <v>0</v>
      </c>
      <c r="G7078">
        <v>0</v>
      </c>
      <c r="H7078">
        <v>80</v>
      </c>
      <c r="I7078">
        <v>0</v>
      </c>
      <c r="J7078">
        <v>0.89</v>
      </c>
      <c r="K7078">
        <v>0</v>
      </c>
    </row>
    <row r="7079" spans="1:11" x14ac:dyDescent="0.2">
      <c r="A7079">
        <v>1507</v>
      </c>
      <c r="B7079">
        <v>5605260</v>
      </c>
      <c r="C7079" t="s">
        <v>10187</v>
      </c>
      <c r="D7079">
        <v>6</v>
      </c>
      <c r="E7079">
        <v>10</v>
      </c>
      <c r="F7079">
        <v>0</v>
      </c>
      <c r="G7079">
        <v>0</v>
      </c>
      <c r="H7079">
        <v>80</v>
      </c>
      <c r="I7079">
        <v>0</v>
      </c>
      <c r="J7079">
        <v>0.89</v>
      </c>
      <c r="K7079">
        <v>0</v>
      </c>
    </row>
    <row r="7080" spans="1:11" x14ac:dyDescent="0.2">
      <c r="A7080">
        <v>86077</v>
      </c>
      <c r="B7080">
        <v>5605282</v>
      </c>
      <c r="C7080" t="s">
        <v>10188</v>
      </c>
      <c r="D7080">
        <v>8</v>
      </c>
      <c r="E7080">
        <v>32</v>
      </c>
      <c r="F7080">
        <v>108</v>
      </c>
      <c r="G7080">
        <v>3456</v>
      </c>
      <c r="H7080">
        <v>54</v>
      </c>
      <c r="I7080">
        <v>2</v>
      </c>
      <c r="J7080">
        <v>1.79</v>
      </c>
      <c r="K7080">
        <v>6186.24</v>
      </c>
    </row>
    <row r="7081" spans="1:11" x14ac:dyDescent="0.2">
      <c r="A7081">
        <v>86074</v>
      </c>
      <c r="B7081">
        <v>5605283</v>
      </c>
      <c r="C7081" t="s">
        <v>10189</v>
      </c>
      <c r="D7081">
        <v>8</v>
      </c>
      <c r="E7081">
        <v>32</v>
      </c>
      <c r="F7081">
        <v>108</v>
      </c>
      <c r="G7081">
        <v>3456</v>
      </c>
      <c r="H7081">
        <v>54</v>
      </c>
      <c r="I7081">
        <v>2</v>
      </c>
      <c r="J7081">
        <v>1.79</v>
      </c>
      <c r="K7081">
        <v>6186.24</v>
      </c>
    </row>
    <row r="7082" spans="1:11" x14ac:dyDescent="0.2">
      <c r="A7082">
        <v>86071</v>
      </c>
      <c r="B7082">
        <v>5605284</v>
      </c>
      <c r="C7082" t="s">
        <v>10190</v>
      </c>
      <c r="D7082">
        <v>8</v>
      </c>
      <c r="E7082">
        <v>6</v>
      </c>
      <c r="F7082">
        <v>198</v>
      </c>
      <c r="G7082">
        <v>1188</v>
      </c>
      <c r="H7082">
        <v>66</v>
      </c>
      <c r="I7082">
        <v>3</v>
      </c>
      <c r="J7082">
        <v>3.79</v>
      </c>
      <c r="K7082">
        <v>4502.5200000000004</v>
      </c>
    </row>
    <row r="7083" spans="1:11" x14ac:dyDescent="0.2">
      <c r="A7083">
        <v>86076</v>
      </c>
      <c r="B7083">
        <v>5605285</v>
      </c>
      <c r="C7083" t="s">
        <v>10191</v>
      </c>
      <c r="D7083">
        <v>8</v>
      </c>
      <c r="E7083">
        <v>12</v>
      </c>
      <c r="F7083">
        <v>180</v>
      </c>
      <c r="G7083">
        <v>2160</v>
      </c>
      <c r="H7083">
        <v>90</v>
      </c>
      <c r="I7083">
        <v>2</v>
      </c>
      <c r="J7083">
        <v>2.4900000000000002</v>
      </c>
      <c r="K7083">
        <v>5378.4</v>
      </c>
    </row>
    <row r="7084" spans="1:11" x14ac:dyDescent="0.2">
      <c r="A7084">
        <v>86075</v>
      </c>
      <c r="B7084">
        <v>5605286</v>
      </c>
      <c r="C7084" t="s">
        <v>10192</v>
      </c>
      <c r="D7084">
        <v>8</v>
      </c>
      <c r="E7084">
        <v>9</v>
      </c>
      <c r="F7084">
        <v>216</v>
      </c>
      <c r="G7084">
        <v>1944</v>
      </c>
      <c r="H7084">
        <v>108</v>
      </c>
      <c r="I7084">
        <v>2</v>
      </c>
      <c r="J7084">
        <v>2.4900000000000002</v>
      </c>
      <c r="K7084">
        <v>4840.5600000000004</v>
      </c>
    </row>
    <row r="7085" spans="1:11" x14ac:dyDescent="0.2">
      <c r="B7085">
        <v>5605287</v>
      </c>
      <c r="C7085" t="s">
        <v>10193</v>
      </c>
      <c r="D7085">
        <v>11</v>
      </c>
      <c r="E7085">
        <v>8</v>
      </c>
      <c r="F7085">
        <v>0</v>
      </c>
      <c r="G7085">
        <v>0</v>
      </c>
      <c r="H7085">
        <v>30</v>
      </c>
      <c r="I7085">
        <v>0</v>
      </c>
      <c r="J7085">
        <v>8.99</v>
      </c>
      <c r="K7085">
        <v>0</v>
      </c>
    </row>
    <row r="7086" spans="1:11" x14ac:dyDescent="0.2">
      <c r="A7086">
        <v>86072</v>
      </c>
      <c r="B7086">
        <v>5605288</v>
      </c>
      <c r="C7086" t="s">
        <v>10194</v>
      </c>
      <c r="D7086">
        <v>8</v>
      </c>
      <c r="E7086">
        <v>6</v>
      </c>
      <c r="F7086">
        <v>180</v>
      </c>
      <c r="G7086">
        <v>1080</v>
      </c>
      <c r="H7086">
        <v>60</v>
      </c>
      <c r="I7086">
        <v>3</v>
      </c>
      <c r="J7086">
        <v>3.49</v>
      </c>
      <c r="K7086">
        <v>3769.2</v>
      </c>
    </row>
    <row r="7087" spans="1:11" x14ac:dyDescent="0.2">
      <c r="B7087">
        <v>5605289</v>
      </c>
      <c r="C7087" t="s">
        <v>10195</v>
      </c>
      <c r="D7087">
        <v>11</v>
      </c>
      <c r="E7087">
        <v>6</v>
      </c>
      <c r="F7087">
        <v>0</v>
      </c>
      <c r="G7087">
        <v>0</v>
      </c>
      <c r="H7087">
        <v>36</v>
      </c>
      <c r="I7087">
        <v>0</v>
      </c>
      <c r="J7087">
        <v>9.99</v>
      </c>
      <c r="K7087">
        <v>0</v>
      </c>
    </row>
    <row r="7088" spans="1:11" x14ac:dyDescent="0.2">
      <c r="B7088">
        <v>5605290</v>
      </c>
      <c r="C7088" t="s">
        <v>10196</v>
      </c>
      <c r="D7088">
        <v>11</v>
      </c>
      <c r="E7088">
        <v>6</v>
      </c>
      <c r="F7088">
        <v>0</v>
      </c>
      <c r="G7088">
        <v>0</v>
      </c>
      <c r="H7088">
        <v>135</v>
      </c>
      <c r="I7088">
        <v>0</v>
      </c>
      <c r="J7088">
        <v>2.99</v>
      </c>
      <c r="K7088">
        <v>0</v>
      </c>
    </row>
    <row r="7089" spans="1:11" x14ac:dyDescent="0.2">
      <c r="A7089">
        <v>99369</v>
      </c>
      <c r="B7089">
        <v>5605291</v>
      </c>
      <c r="C7089" t="s">
        <v>10197</v>
      </c>
      <c r="D7089">
        <v>10</v>
      </c>
      <c r="E7089">
        <v>6</v>
      </c>
      <c r="F7089">
        <v>0</v>
      </c>
      <c r="G7089">
        <v>0</v>
      </c>
      <c r="H7089">
        <v>42</v>
      </c>
      <c r="I7089">
        <v>0</v>
      </c>
      <c r="J7089">
        <v>3.69</v>
      </c>
      <c r="K7089">
        <v>0</v>
      </c>
    </row>
    <row r="7090" spans="1:11" x14ac:dyDescent="0.2">
      <c r="A7090">
        <v>86082</v>
      </c>
      <c r="B7090">
        <v>5605292</v>
      </c>
      <c r="C7090" t="s">
        <v>10198</v>
      </c>
      <c r="D7090">
        <v>9</v>
      </c>
      <c r="E7090">
        <v>6</v>
      </c>
      <c r="F7090">
        <v>135</v>
      </c>
      <c r="G7090">
        <v>810</v>
      </c>
      <c r="H7090">
        <v>135</v>
      </c>
      <c r="I7090">
        <v>1</v>
      </c>
      <c r="J7090">
        <v>2.4900000000000002</v>
      </c>
      <c r="K7090">
        <v>2016.9</v>
      </c>
    </row>
    <row r="7091" spans="1:11" x14ac:dyDescent="0.2">
      <c r="A7091">
        <v>84237</v>
      </c>
      <c r="B7091">
        <v>5605293</v>
      </c>
      <c r="C7091" t="s">
        <v>10199</v>
      </c>
      <c r="D7091">
        <v>8</v>
      </c>
      <c r="E7091">
        <v>4</v>
      </c>
      <c r="F7091">
        <v>367</v>
      </c>
      <c r="G7091">
        <v>1469</v>
      </c>
      <c r="H7091">
        <v>60</v>
      </c>
      <c r="I7091">
        <v>6.1</v>
      </c>
      <c r="J7091">
        <v>2.89</v>
      </c>
      <c r="K7091">
        <v>4245.41</v>
      </c>
    </row>
    <row r="7092" spans="1:11" x14ac:dyDescent="0.2">
      <c r="B7092">
        <v>5605296</v>
      </c>
      <c r="C7092" t="s">
        <v>10200</v>
      </c>
      <c r="D7092">
        <v>11</v>
      </c>
      <c r="E7092">
        <v>4</v>
      </c>
      <c r="F7092">
        <v>0</v>
      </c>
      <c r="G7092">
        <v>0</v>
      </c>
      <c r="H7092">
        <v>48</v>
      </c>
      <c r="I7092">
        <v>0</v>
      </c>
      <c r="J7092">
        <v>2.69</v>
      </c>
      <c r="K7092">
        <v>0</v>
      </c>
    </row>
    <row r="7093" spans="1:11" x14ac:dyDescent="0.2">
      <c r="B7093">
        <v>5605299</v>
      </c>
      <c r="C7093" t="s">
        <v>10201</v>
      </c>
      <c r="D7093">
        <v>11</v>
      </c>
      <c r="E7093">
        <v>4</v>
      </c>
      <c r="F7093">
        <v>-1</v>
      </c>
      <c r="G7093">
        <v>-4</v>
      </c>
      <c r="H7093">
        <v>50</v>
      </c>
      <c r="I7093">
        <v>0</v>
      </c>
      <c r="J7093">
        <v>3.29</v>
      </c>
      <c r="K7093">
        <v>-13.16</v>
      </c>
    </row>
    <row r="7094" spans="1:11" x14ac:dyDescent="0.2">
      <c r="A7094">
        <v>45636</v>
      </c>
      <c r="B7094">
        <v>5605307</v>
      </c>
      <c r="C7094" t="s">
        <v>10202</v>
      </c>
      <c r="D7094">
        <v>10</v>
      </c>
      <c r="E7094">
        <v>8</v>
      </c>
      <c r="F7094">
        <v>-1</v>
      </c>
      <c r="G7094">
        <v>-8</v>
      </c>
      <c r="H7094">
        <v>168</v>
      </c>
      <c r="I7094">
        <v>0</v>
      </c>
      <c r="J7094">
        <v>1.99</v>
      </c>
      <c r="K7094">
        <v>-15.92</v>
      </c>
    </row>
    <row r="7095" spans="1:11" x14ac:dyDescent="0.2">
      <c r="A7095">
        <v>3513</v>
      </c>
      <c r="B7095">
        <v>5605309</v>
      </c>
      <c r="C7095" t="s">
        <v>10203</v>
      </c>
      <c r="D7095">
        <v>6</v>
      </c>
      <c r="E7095">
        <v>12</v>
      </c>
      <c r="F7095">
        <v>0</v>
      </c>
      <c r="G7095">
        <v>0</v>
      </c>
      <c r="H7095">
        <v>80</v>
      </c>
      <c r="I7095">
        <v>0</v>
      </c>
      <c r="J7095">
        <v>1.49</v>
      </c>
      <c r="K7095">
        <v>0</v>
      </c>
    </row>
    <row r="7096" spans="1:11" x14ac:dyDescent="0.2">
      <c r="A7096">
        <v>36515</v>
      </c>
      <c r="B7096">
        <v>5605310</v>
      </c>
      <c r="C7096" t="s">
        <v>10204</v>
      </c>
      <c r="D7096">
        <v>10</v>
      </c>
      <c r="E7096">
        <v>12</v>
      </c>
      <c r="F7096">
        <v>0</v>
      </c>
      <c r="G7096">
        <v>0</v>
      </c>
      <c r="H7096">
        <v>64</v>
      </c>
      <c r="I7096">
        <v>0</v>
      </c>
      <c r="J7096">
        <v>1.69</v>
      </c>
      <c r="K7096">
        <v>0</v>
      </c>
    </row>
    <row r="7097" spans="1:11" x14ac:dyDescent="0.2">
      <c r="A7097">
        <v>86073</v>
      </c>
      <c r="B7097">
        <v>5605312</v>
      </c>
      <c r="C7097" t="s">
        <v>10205</v>
      </c>
      <c r="D7097">
        <v>8</v>
      </c>
      <c r="E7097">
        <v>12</v>
      </c>
      <c r="F7097">
        <v>140</v>
      </c>
      <c r="G7097">
        <v>1680</v>
      </c>
      <c r="H7097">
        <v>70</v>
      </c>
      <c r="I7097">
        <v>2</v>
      </c>
      <c r="J7097">
        <v>3.29</v>
      </c>
      <c r="K7097">
        <v>5527.2</v>
      </c>
    </row>
    <row r="7098" spans="1:11" x14ac:dyDescent="0.2">
      <c r="A7098">
        <v>38514</v>
      </c>
      <c r="B7098">
        <v>5605313</v>
      </c>
      <c r="C7098" t="s">
        <v>10206</v>
      </c>
      <c r="D7098">
        <v>6</v>
      </c>
      <c r="E7098">
        <v>8</v>
      </c>
      <c r="F7098">
        <v>0</v>
      </c>
      <c r="G7098">
        <v>0</v>
      </c>
      <c r="H7098">
        <v>72</v>
      </c>
      <c r="I7098">
        <v>0</v>
      </c>
      <c r="J7098">
        <v>4.6900000000000004</v>
      </c>
      <c r="K7098">
        <v>0</v>
      </c>
    </row>
    <row r="7099" spans="1:11" x14ac:dyDescent="0.2">
      <c r="A7099">
        <v>51509</v>
      </c>
      <c r="B7099">
        <v>5605314</v>
      </c>
      <c r="C7099" t="s">
        <v>10207</v>
      </c>
      <c r="D7099">
        <v>10</v>
      </c>
      <c r="E7099">
        <v>4</v>
      </c>
      <c r="F7099">
        <v>6</v>
      </c>
      <c r="G7099">
        <v>24</v>
      </c>
      <c r="H7099">
        <v>120</v>
      </c>
      <c r="I7099">
        <v>0.1</v>
      </c>
      <c r="J7099">
        <v>2.99</v>
      </c>
      <c r="K7099">
        <v>71.760000000000005</v>
      </c>
    </row>
    <row r="7100" spans="1:11" x14ac:dyDescent="0.2">
      <c r="A7100">
        <v>72157</v>
      </c>
      <c r="B7100">
        <v>5605317</v>
      </c>
      <c r="C7100" t="s">
        <v>10208</v>
      </c>
      <c r="D7100">
        <v>8</v>
      </c>
      <c r="E7100">
        <v>10</v>
      </c>
      <c r="F7100">
        <v>506</v>
      </c>
      <c r="G7100">
        <v>5062</v>
      </c>
      <c r="H7100">
        <v>75</v>
      </c>
      <c r="I7100">
        <v>6.7</v>
      </c>
      <c r="J7100">
        <v>1.79</v>
      </c>
      <c r="K7100">
        <v>9060.98</v>
      </c>
    </row>
    <row r="7101" spans="1:11" x14ac:dyDescent="0.2">
      <c r="A7101">
        <v>57281</v>
      </c>
      <c r="B7101">
        <v>5605318</v>
      </c>
      <c r="C7101" t="s">
        <v>10209</v>
      </c>
      <c r="D7101">
        <v>11</v>
      </c>
      <c r="E7101">
        <v>6</v>
      </c>
      <c r="F7101">
        <v>0</v>
      </c>
      <c r="G7101">
        <v>0</v>
      </c>
      <c r="H7101">
        <v>130</v>
      </c>
      <c r="I7101">
        <v>0</v>
      </c>
      <c r="J7101">
        <v>2.79</v>
      </c>
      <c r="K7101">
        <v>0</v>
      </c>
    </row>
    <row r="7102" spans="1:11" x14ac:dyDescent="0.2">
      <c r="A7102">
        <v>57223</v>
      </c>
      <c r="B7102">
        <v>5605319</v>
      </c>
      <c r="C7102" t="s">
        <v>10210</v>
      </c>
      <c r="D7102">
        <v>12</v>
      </c>
      <c r="E7102">
        <v>6</v>
      </c>
      <c r="F7102">
        <v>0</v>
      </c>
      <c r="G7102">
        <v>0</v>
      </c>
      <c r="H7102">
        <v>130</v>
      </c>
      <c r="I7102">
        <v>0</v>
      </c>
      <c r="J7102">
        <v>2.5</v>
      </c>
      <c r="K7102">
        <v>0</v>
      </c>
    </row>
    <row r="7103" spans="1:11" x14ac:dyDescent="0.2">
      <c r="B7103">
        <v>5605320</v>
      </c>
      <c r="C7103" t="s">
        <v>10211</v>
      </c>
      <c r="D7103">
        <v>12</v>
      </c>
      <c r="E7103">
        <v>9.9</v>
      </c>
      <c r="F7103">
        <v>-16</v>
      </c>
      <c r="G7103">
        <v>-158</v>
      </c>
      <c r="H7103">
        <v>80</v>
      </c>
      <c r="I7103">
        <v>-0.2</v>
      </c>
      <c r="J7103">
        <v>6.6</v>
      </c>
      <c r="K7103">
        <v>-1045.44</v>
      </c>
    </row>
    <row r="7104" spans="1:11" x14ac:dyDescent="0.2">
      <c r="A7104">
        <v>81157</v>
      </c>
      <c r="B7104">
        <v>5605320</v>
      </c>
      <c r="C7104" t="s">
        <v>10211</v>
      </c>
      <c r="D7104">
        <v>9</v>
      </c>
      <c r="E7104">
        <v>10</v>
      </c>
      <c r="F7104">
        <v>241</v>
      </c>
      <c r="G7104">
        <v>2410</v>
      </c>
      <c r="H7104">
        <v>80</v>
      </c>
      <c r="I7104">
        <v>3</v>
      </c>
      <c r="J7104">
        <v>6.6</v>
      </c>
      <c r="K7104">
        <v>15906</v>
      </c>
    </row>
    <row r="7105" spans="1:11" x14ac:dyDescent="0.2">
      <c r="A7105">
        <v>89052</v>
      </c>
      <c r="B7105">
        <v>5605322</v>
      </c>
      <c r="C7105" t="s">
        <v>10212</v>
      </c>
      <c r="D7105">
        <v>8</v>
      </c>
      <c r="E7105">
        <v>8</v>
      </c>
      <c r="F7105">
        <v>133</v>
      </c>
      <c r="G7105">
        <v>1064</v>
      </c>
      <c r="H7105">
        <v>133</v>
      </c>
      <c r="I7105">
        <v>1</v>
      </c>
      <c r="J7105">
        <v>4.5199999999999996</v>
      </c>
      <c r="K7105">
        <v>4809.28</v>
      </c>
    </row>
    <row r="7106" spans="1:11" x14ac:dyDescent="0.2">
      <c r="A7106">
        <v>99458</v>
      </c>
      <c r="B7106">
        <v>5605323</v>
      </c>
      <c r="C7106" t="s">
        <v>10213</v>
      </c>
      <c r="D7106">
        <v>10</v>
      </c>
      <c r="E7106">
        <v>6</v>
      </c>
      <c r="F7106">
        <v>0</v>
      </c>
      <c r="G7106">
        <v>0</v>
      </c>
      <c r="H7106">
        <v>81</v>
      </c>
      <c r="I7106">
        <v>0</v>
      </c>
      <c r="J7106">
        <v>5.69</v>
      </c>
      <c r="K7106">
        <v>0</v>
      </c>
    </row>
    <row r="7107" spans="1:11" x14ac:dyDescent="0.2">
      <c r="A7107">
        <v>99661</v>
      </c>
      <c r="B7107">
        <v>5605324</v>
      </c>
      <c r="C7107" t="s">
        <v>10214</v>
      </c>
      <c r="D7107">
        <v>6</v>
      </c>
      <c r="E7107">
        <v>8</v>
      </c>
      <c r="F7107">
        <v>0</v>
      </c>
      <c r="G7107">
        <v>0</v>
      </c>
      <c r="H7107">
        <v>72</v>
      </c>
      <c r="I7107">
        <v>0</v>
      </c>
      <c r="J7107">
        <v>2.4900000000000002</v>
      </c>
      <c r="K7107">
        <v>0</v>
      </c>
    </row>
    <row r="7108" spans="1:11" x14ac:dyDescent="0.2">
      <c r="A7108">
        <v>87046</v>
      </c>
      <c r="B7108">
        <v>5605325</v>
      </c>
      <c r="C7108" t="s">
        <v>10215</v>
      </c>
      <c r="D7108">
        <v>8</v>
      </c>
      <c r="E7108">
        <v>8</v>
      </c>
      <c r="F7108">
        <v>72</v>
      </c>
      <c r="G7108">
        <v>576</v>
      </c>
      <c r="H7108">
        <v>72</v>
      </c>
      <c r="I7108">
        <v>1</v>
      </c>
      <c r="J7108">
        <v>3.89</v>
      </c>
      <c r="K7108">
        <v>2240.64</v>
      </c>
    </row>
    <row r="7109" spans="1:11" x14ac:dyDescent="0.2">
      <c r="A7109">
        <v>89058</v>
      </c>
      <c r="B7109">
        <v>5605326</v>
      </c>
      <c r="C7109" t="s">
        <v>10216</v>
      </c>
      <c r="D7109">
        <v>8</v>
      </c>
      <c r="E7109">
        <v>6</v>
      </c>
      <c r="F7109">
        <v>0</v>
      </c>
      <c r="G7109">
        <v>0</v>
      </c>
      <c r="H7109">
        <v>126</v>
      </c>
      <c r="I7109">
        <v>0</v>
      </c>
      <c r="J7109">
        <v>5.49</v>
      </c>
      <c r="K7109">
        <v>0</v>
      </c>
    </row>
    <row r="7110" spans="1:11" x14ac:dyDescent="0.2">
      <c r="A7110">
        <v>89053</v>
      </c>
      <c r="B7110">
        <v>5605327</v>
      </c>
      <c r="C7110" t="s">
        <v>10195</v>
      </c>
      <c r="D7110">
        <v>8</v>
      </c>
      <c r="E7110">
        <v>6</v>
      </c>
      <c r="F7110">
        <v>126</v>
      </c>
      <c r="G7110">
        <v>756</v>
      </c>
      <c r="H7110">
        <v>126</v>
      </c>
      <c r="I7110">
        <v>1</v>
      </c>
      <c r="J7110">
        <v>4.99</v>
      </c>
      <c r="K7110">
        <v>3772.44</v>
      </c>
    </row>
    <row r="7111" spans="1:11" x14ac:dyDescent="0.2">
      <c r="A7111">
        <v>47511</v>
      </c>
      <c r="B7111">
        <v>5605332</v>
      </c>
      <c r="C7111" t="s">
        <v>10217</v>
      </c>
      <c r="D7111">
        <v>10</v>
      </c>
      <c r="E7111">
        <v>10</v>
      </c>
      <c r="F7111">
        <v>2</v>
      </c>
      <c r="G7111">
        <v>20</v>
      </c>
      <c r="H7111">
        <v>96</v>
      </c>
      <c r="I7111">
        <v>0</v>
      </c>
      <c r="J7111">
        <v>2.89</v>
      </c>
      <c r="K7111">
        <v>57.8</v>
      </c>
    </row>
    <row r="7112" spans="1:11" x14ac:dyDescent="0.2">
      <c r="A7112">
        <v>62127</v>
      </c>
      <c r="B7112">
        <v>5605336</v>
      </c>
      <c r="C7112" t="s">
        <v>10218</v>
      </c>
      <c r="D7112">
        <v>8</v>
      </c>
      <c r="E7112">
        <v>6</v>
      </c>
      <c r="F7112">
        <v>424</v>
      </c>
      <c r="G7112">
        <v>2544</v>
      </c>
      <c r="H7112">
        <v>80</v>
      </c>
      <c r="I7112">
        <v>5.3</v>
      </c>
      <c r="J7112">
        <v>15.99</v>
      </c>
      <c r="K7112">
        <v>40678.559999999998</v>
      </c>
    </row>
    <row r="7113" spans="1:11" x14ac:dyDescent="0.2">
      <c r="A7113">
        <v>99212</v>
      </c>
      <c r="B7113">
        <v>5605338</v>
      </c>
      <c r="C7113" t="s">
        <v>10219</v>
      </c>
      <c r="D7113">
        <v>10</v>
      </c>
      <c r="E7113">
        <v>8</v>
      </c>
      <c r="F7113">
        <v>0</v>
      </c>
      <c r="G7113">
        <v>0</v>
      </c>
      <c r="H7113">
        <v>12</v>
      </c>
      <c r="I7113">
        <v>0</v>
      </c>
      <c r="J7113">
        <v>3.59</v>
      </c>
      <c r="K7113">
        <v>0</v>
      </c>
    </row>
    <row r="7114" spans="1:11" x14ac:dyDescent="0.2">
      <c r="A7114">
        <v>83149</v>
      </c>
      <c r="B7114">
        <v>5605339</v>
      </c>
      <c r="C7114" t="s">
        <v>10220</v>
      </c>
      <c r="D7114">
        <v>8</v>
      </c>
      <c r="E7114">
        <v>6</v>
      </c>
      <c r="F7114">
        <v>454</v>
      </c>
      <c r="G7114">
        <v>2724</v>
      </c>
      <c r="H7114">
        <v>80</v>
      </c>
      <c r="I7114">
        <v>5.7</v>
      </c>
      <c r="J7114">
        <v>1.79</v>
      </c>
      <c r="K7114">
        <v>4875.96</v>
      </c>
    </row>
    <row r="7115" spans="1:11" x14ac:dyDescent="0.2">
      <c r="A7115">
        <v>43528</v>
      </c>
      <c r="B7115">
        <v>5605340</v>
      </c>
      <c r="C7115" t="s">
        <v>10221</v>
      </c>
      <c r="D7115">
        <v>10</v>
      </c>
      <c r="E7115">
        <v>6</v>
      </c>
      <c r="F7115">
        <v>3</v>
      </c>
      <c r="G7115">
        <v>18</v>
      </c>
      <c r="H7115">
        <v>64</v>
      </c>
      <c r="I7115">
        <v>0</v>
      </c>
      <c r="J7115">
        <v>2.39</v>
      </c>
      <c r="K7115">
        <v>43.02</v>
      </c>
    </row>
    <row r="7116" spans="1:11" x14ac:dyDescent="0.2">
      <c r="A7116">
        <v>41520</v>
      </c>
      <c r="B7116">
        <v>5605341</v>
      </c>
      <c r="C7116" t="s">
        <v>10222</v>
      </c>
      <c r="D7116">
        <v>10</v>
      </c>
      <c r="E7116">
        <v>6</v>
      </c>
      <c r="F7116">
        <v>0</v>
      </c>
      <c r="G7116">
        <v>0</v>
      </c>
      <c r="H7116">
        <v>64</v>
      </c>
      <c r="I7116">
        <v>0</v>
      </c>
      <c r="J7116">
        <v>2.4900000000000002</v>
      </c>
      <c r="K7116">
        <v>0</v>
      </c>
    </row>
    <row r="7117" spans="1:11" x14ac:dyDescent="0.2">
      <c r="A7117">
        <v>26518</v>
      </c>
      <c r="B7117">
        <v>5605343</v>
      </c>
      <c r="C7117" t="s">
        <v>10223</v>
      </c>
      <c r="D7117">
        <v>10</v>
      </c>
      <c r="E7117">
        <v>6</v>
      </c>
      <c r="F7117">
        <v>0</v>
      </c>
      <c r="G7117">
        <v>0</v>
      </c>
      <c r="H7117">
        <v>64</v>
      </c>
      <c r="I7117">
        <v>0</v>
      </c>
      <c r="J7117">
        <v>2.59</v>
      </c>
      <c r="K7117">
        <v>0</v>
      </c>
    </row>
    <row r="7118" spans="1:11" x14ac:dyDescent="0.2">
      <c r="B7118">
        <v>5605346</v>
      </c>
      <c r="C7118" t="s">
        <v>10224</v>
      </c>
      <c r="D7118">
        <v>11</v>
      </c>
      <c r="E7118">
        <v>1</v>
      </c>
      <c r="F7118">
        <v>0</v>
      </c>
      <c r="G7118">
        <v>0</v>
      </c>
      <c r="H7118">
        <v>640</v>
      </c>
      <c r="I7118">
        <v>0</v>
      </c>
      <c r="J7118">
        <v>2.99</v>
      </c>
      <c r="K7118">
        <v>0</v>
      </c>
    </row>
    <row r="7119" spans="1:11" x14ac:dyDescent="0.2">
      <c r="A7119">
        <v>47512</v>
      </c>
      <c r="B7119">
        <v>5605347</v>
      </c>
      <c r="C7119" t="s">
        <v>10225</v>
      </c>
      <c r="D7119">
        <v>10</v>
      </c>
      <c r="E7119">
        <v>16</v>
      </c>
      <c r="F7119">
        <v>0</v>
      </c>
      <c r="G7119">
        <v>-1</v>
      </c>
      <c r="H7119">
        <v>25</v>
      </c>
      <c r="I7119">
        <v>0</v>
      </c>
      <c r="J7119">
        <v>1.99</v>
      </c>
      <c r="K7119">
        <v>-1.99</v>
      </c>
    </row>
    <row r="7120" spans="1:11" x14ac:dyDescent="0.2">
      <c r="A7120">
        <v>45510</v>
      </c>
      <c r="B7120">
        <v>5605348</v>
      </c>
      <c r="C7120" t="s">
        <v>10226</v>
      </c>
      <c r="D7120">
        <v>10</v>
      </c>
      <c r="E7120">
        <v>8</v>
      </c>
      <c r="F7120">
        <v>0</v>
      </c>
      <c r="G7120">
        <v>0</v>
      </c>
      <c r="H7120">
        <v>90</v>
      </c>
      <c r="I7120">
        <v>0</v>
      </c>
      <c r="J7120">
        <v>2.4900000000000002</v>
      </c>
      <c r="K7120">
        <v>0</v>
      </c>
    </row>
    <row r="7121" spans="1:11" x14ac:dyDescent="0.2">
      <c r="A7121">
        <v>49511</v>
      </c>
      <c r="B7121">
        <v>5605349</v>
      </c>
      <c r="C7121" t="s">
        <v>10227</v>
      </c>
      <c r="D7121">
        <v>10</v>
      </c>
      <c r="E7121">
        <v>4</v>
      </c>
      <c r="F7121">
        <v>8</v>
      </c>
      <c r="G7121">
        <v>32</v>
      </c>
      <c r="H7121">
        <v>200</v>
      </c>
      <c r="I7121">
        <v>0</v>
      </c>
      <c r="J7121">
        <v>1.99</v>
      </c>
      <c r="K7121">
        <v>63.68</v>
      </c>
    </row>
    <row r="7122" spans="1:11" x14ac:dyDescent="0.2">
      <c r="A7122">
        <v>48656</v>
      </c>
      <c r="B7122">
        <v>5605350</v>
      </c>
      <c r="C7122" t="s">
        <v>10228</v>
      </c>
      <c r="D7122">
        <v>10</v>
      </c>
      <c r="E7122">
        <v>6</v>
      </c>
      <c r="F7122">
        <v>4</v>
      </c>
      <c r="G7122">
        <v>24</v>
      </c>
      <c r="H7122">
        <v>192</v>
      </c>
      <c r="I7122">
        <v>0</v>
      </c>
      <c r="J7122">
        <v>1.79</v>
      </c>
      <c r="K7122">
        <v>42.96</v>
      </c>
    </row>
    <row r="7123" spans="1:11" x14ac:dyDescent="0.2">
      <c r="A7123">
        <v>30508</v>
      </c>
      <c r="B7123">
        <v>5605352</v>
      </c>
      <c r="C7123" t="s">
        <v>10229</v>
      </c>
      <c r="D7123">
        <v>10</v>
      </c>
      <c r="E7123">
        <v>6</v>
      </c>
      <c r="F7123">
        <v>0</v>
      </c>
      <c r="G7123">
        <v>0</v>
      </c>
      <c r="H7123">
        <v>192</v>
      </c>
      <c r="I7123">
        <v>0</v>
      </c>
      <c r="J7123">
        <v>1.99</v>
      </c>
      <c r="K7123">
        <v>0</v>
      </c>
    </row>
    <row r="7124" spans="1:11" x14ac:dyDescent="0.2">
      <c r="B7124">
        <v>5605353</v>
      </c>
      <c r="C7124" t="s">
        <v>10230</v>
      </c>
      <c r="D7124">
        <v>11</v>
      </c>
      <c r="E7124">
        <v>6</v>
      </c>
      <c r="F7124">
        <v>0</v>
      </c>
      <c r="G7124">
        <v>0</v>
      </c>
      <c r="H7124">
        <v>192</v>
      </c>
      <c r="I7124">
        <v>0</v>
      </c>
      <c r="J7124">
        <v>1.99</v>
      </c>
      <c r="K7124">
        <v>0</v>
      </c>
    </row>
    <row r="7125" spans="1:11" x14ac:dyDescent="0.2">
      <c r="A7125">
        <v>30509</v>
      </c>
      <c r="B7125">
        <v>5605355</v>
      </c>
      <c r="C7125" t="s">
        <v>10231</v>
      </c>
      <c r="D7125">
        <v>10</v>
      </c>
      <c r="E7125">
        <v>6</v>
      </c>
      <c r="F7125">
        <v>0</v>
      </c>
      <c r="G7125">
        <v>0</v>
      </c>
      <c r="H7125">
        <v>192</v>
      </c>
      <c r="I7125">
        <v>0</v>
      </c>
      <c r="J7125">
        <v>1.99</v>
      </c>
      <c r="K7125">
        <v>0</v>
      </c>
    </row>
    <row r="7126" spans="1:11" x14ac:dyDescent="0.2">
      <c r="A7126">
        <v>99071</v>
      </c>
      <c r="B7126">
        <v>5605356</v>
      </c>
      <c r="C7126" t="s">
        <v>10232</v>
      </c>
      <c r="D7126">
        <v>11</v>
      </c>
      <c r="E7126">
        <v>10</v>
      </c>
      <c r="F7126">
        <v>0</v>
      </c>
      <c r="G7126">
        <v>0</v>
      </c>
      <c r="H7126">
        <v>135</v>
      </c>
      <c r="I7126">
        <v>0</v>
      </c>
      <c r="J7126">
        <v>3.99</v>
      </c>
      <c r="K7126">
        <v>0</v>
      </c>
    </row>
    <row r="7127" spans="1:11" x14ac:dyDescent="0.2">
      <c r="A7127">
        <v>51510</v>
      </c>
      <c r="B7127">
        <v>5605358</v>
      </c>
      <c r="C7127" t="s">
        <v>4096</v>
      </c>
      <c r="D7127">
        <v>10</v>
      </c>
      <c r="E7127">
        <v>8</v>
      </c>
      <c r="F7127">
        <v>3</v>
      </c>
      <c r="G7127">
        <v>24</v>
      </c>
      <c r="H7127">
        <v>96</v>
      </c>
      <c r="I7127">
        <v>0</v>
      </c>
      <c r="J7127">
        <v>11.99</v>
      </c>
      <c r="K7127">
        <v>287.76</v>
      </c>
    </row>
    <row r="7128" spans="1:11" x14ac:dyDescent="0.2">
      <c r="B7128">
        <v>5605363</v>
      </c>
      <c r="C7128" t="s">
        <v>10233</v>
      </c>
      <c r="D7128">
        <v>11</v>
      </c>
      <c r="E7128">
        <v>1</v>
      </c>
      <c r="F7128">
        <v>4</v>
      </c>
      <c r="G7128">
        <v>4</v>
      </c>
      <c r="H7128">
        <v>384</v>
      </c>
      <c r="I7128">
        <v>0</v>
      </c>
      <c r="J7128">
        <v>7.35</v>
      </c>
      <c r="K7128">
        <v>29.4</v>
      </c>
    </row>
    <row r="7129" spans="1:11" x14ac:dyDescent="0.2">
      <c r="A7129">
        <v>69217</v>
      </c>
      <c r="B7129">
        <v>5605364</v>
      </c>
      <c r="C7129" t="s">
        <v>10234</v>
      </c>
      <c r="D7129">
        <v>8</v>
      </c>
      <c r="E7129">
        <v>6</v>
      </c>
      <c r="F7129">
        <v>597</v>
      </c>
      <c r="G7129">
        <v>3582</v>
      </c>
      <c r="H7129">
        <v>192</v>
      </c>
      <c r="I7129">
        <v>3.1</v>
      </c>
      <c r="J7129">
        <v>1.39</v>
      </c>
      <c r="K7129">
        <v>4978.9799999999996</v>
      </c>
    </row>
    <row r="7130" spans="1:11" x14ac:dyDescent="0.2">
      <c r="A7130">
        <v>69215</v>
      </c>
      <c r="B7130">
        <v>5605365</v>
      </c>
      <c r="C7130" t="s">
        <v>10235</v>
      </c>
      <c r="D7130">
        <v>8</v>
      </c>
      <c r="E7130">
        <v>6</v>
      </c>
      <c r="F7130">
        <v>518</v>
      </c>
      <c r="G7130">
        <v>3108</v>
      </c>
      <c r="H7130">
        <v>192</v>
      </c>
      <c r="I7130">
        <v>2.7</v>
      </c>
      <c r="J7130">
        <v>1.65</v>
      </c>
      <c r="K7130">
        <v>5128.2</v>
      </c>
    </row>
    <row r="7131" spans="1:11" x14ac:dyDescent="0.2">
      <c r="A7131">
        <v>51611</v>
      </c>
      <c r="B7131">
        <v>5605367</v>
      </c>
      <c r="C7131" t="s">
        <v>10236</v>
      </c>
      <c r="D7131">
        <v>10</v>
      </c>
      <c r="E7131">
        <v>6</v>
      </c>
      <c r="F7131">
        <v>7</v>
      </c>
      <c r="G7131">
        <v>42</v>
      </c>
      <c r="H7131">
        <v>120</v>
      </c>
      <c r="I7131">
        <v>0.1</v>
      </c>
      <c r="J7131">
        <v>3.79</v>
      </c>
      <c r="K7131">
        <v>159.18</v>
      </c>
    </row>
    <row r="7132" spans="1:11" x14ac:dyDescent="0.2">
      <c r="A7132">
        <v>45512</v>
      </c>
      <c r="B7132">
        <v>5605373</v>
      </c>
      <c r="C7132" t="s">
        <v>10237</v>
      </c>
      <c r="D7132">
        <v>10</v>
      </c>
      <c r="E7132">
        <v>6</v>
      </c>
      <c r="F7132">
        <v>-4</v>
      </c>
      <c r="G7132">
        <v>-24</v>
      </c>
      <c r="H7132">
        <v>96</v>
      </c>
      <c r="I7132">
        <v>0</v>
      </c>
      <c r="J7132">
        <v>3.89</v>
      </c>
      <c r="K7132">
        <v>-93.36</v>
      </c>
    </row>
    <row r="7133" spans="1:11" x14ac:dyDescent="0.2">
      <c r="A7133">
        <v>46517</v>
      </c>
      <c r="B7133">
        <v>5605374</v>
      </c>
      <c r="C7133" t="s">
        <v>10238</v>
      </c>
      <c r="D7133">
        <v>10</v>
      </c>
      <c r="E7133">
        <v>6</v>
      </c>
      <c r="F7133">
        <v>0</v>
      </c>
      <c r="G7133">
        <v>0</v>
      </c>
      <c r="H7133">
        <v>90</v>
      </c>
      <c r="I7133">
        <v>0</v>
      </c>
      <c r="J7133">
        <v>1.99</v>
      </c>
      <c r="K7133">
        <v>0</v>
      </c>
    </row>
    <row r="7134" spans="1:11" x14ac:dyDescent="0.2">
      <c r="A7134">
        <v>45513</v>
      </c>
      <c r="B7134">
        <v>5605380</v>
      </c>
      <c r="C7134" t="s">
        <v>10239</v>
      </c>
      <c r="D7134">
        <v>10</v>
      </c>
      <c r="E7134">
        <v>16</v>
      </c>
      <c r="F7134">
        <v>-3</v>
      </c>
      <c r="G7134">
        <v>-48</v>
      </c>
      <c r="H7134">
        <v>80</v>
      </c>
      <c r="I7134">
        <v>0</v>
      </c>
      <c r="J7134">
        <v>1.89</v>
      </c>
      <c r="K7134">
        <v>-90.72</v>
      </c>
    </row>
    <row r="7135" spans="1:11" x14ac:dyDescent="0.2">
      <c r="A7135">
        <v>86043</v>
      </c>
      <c r="B7135">
        <v>5605383</v>
      </c>
      <c r="C7135" t="s">
        <v>10240</v>
      </c>
      <c r="D7135">
        <v>8</v>
      </c>
      <c r="E7135">
        <v>70</v>
      </c>
      <c r="F7135">
        <v>240</v>
      </c>
      <c r="G7135">
        <v>16800</v>
      </c>
      <c r="H7135">
        <v>48</v>
      </c>
      <c r="I7135">
        <v>5</v>
      </c>
      <c r="J7135">
        <v>0.49</v>
      </c>
      <c r="K7135">
        <v>8232</v>
      </c>
    </row>
    <row r="7136" spans="1:11" x14ac:dyDescent="0.2">
      <c r="A7136">
        <v>57454</v>
      </c>
      <c r="B7136">
        <v>5605384</v>
      </c>
      <c r="C7136" t="s">
        <v>10241</v>
      </c>
      <c r="D7136">
        <v>10</v>
      </c>
      <c r="E7136">
        <v>8</v>
      </c>
      <c r="F7136">
        <v>0</v>
      </c>
      <c r="G7136">
        <v>0</v>
      </c>
      <c r="H7136">
        <v>104</v>
      </c>
      <c r="I7136">
        <v>0</v>
      </c>
      <c r="J7136">
        <v>1.8</v>
      </c>
      <c r="K7136">
        <v>0</v>
      </c>
    </row>
    <row r="7137" spans="1:12" x14ac:dyDescent="0.2">
      <c r="A7137">
        <v>38619</v>
      </c>
      <c r="B7137">
        <v>5605385</v>
      </c>
      <c r="C7137" t="s">
        <v>10242</v>
      </c>
      <c r="D7137">
        <v>10</v>
      </c>
      <c r="E7137">
        <v>6</v>
      </c>
      <c r="F7137">
        <v>2</v>
      </c>
      <c r="G7137">
        <v>12</v>
      </c>
      <c r="H7137">
        <v>248</v>
      </c>
      <c r="I7137">
        <v>0</v>
      </c>
      <c r="J7137">
        <v>1.29</v>
      </c>
      <c r="K7137">
        <v>15.48</v>
      </c>
    </row>
    <row r="7138" spans="1:12" x14ac:dyDescent="0.2">
      <c r="A7138">
        <v>57262</v>
      </c>
      <c r="B7138">
        <v>5605387</v>
      </c>
      <c r="C7138" t="s">
        <v>10243</v>
      </c>
      <c r="D7138">
        <v>11</v>
      </c>
      <c r="E7138">
        <v>6</v>
      </c>
      <c r="F7138">
        <v>0</v>
      </c>
      <c r="G7138">
        <v>0</v>
      </c>
      <c r="H7138">
        <v>248</v>
      </c>
      <c r="I7138">
        <v>0</v>
      </c>
      <c r="J7138">
        <v>1.99</v>
      </c>
      <c r="K7138">
        <v>0</v>
      </c>
      <c r="L7138" t="s">
        <v>3699</v>
      </c>
    </row>
    <row r="7139" spans="1:12" x14ac:dyDescent="0.2">
      <c r="A7139">
        <v>72219</v>
      </c>
      <c r="B7139">
        <v>5605392</v>
      </c>
      <c r="C7139" t="s">
        <v>10244</v>
      </c>
      <c r="D7139">
        <v>8</v>
      </c>
      <c r="E7139">
        <v>16</v>
      </c>
      <c r="F7139">
        <v>735</v>
      </c>
      <c r="G7139">
        <v>11752</v>
      </c>
      <c r="H7139">
        <v>72</v>
      </c>
      <c r="I7139">
        <v>10.199999999999999</v>
      </c>
      <c r="J7139">
        <v>2.19</v>
      </c>
      <c r="K7139">
        <v>25736.880000000001</v>
      </c>
    </row>
    <row r="7140" spans="1:12" x14ac:dyDescent="0.2">
      <c r="B7140">
        <v>5605394</v>
      </c>
      <c r="C7140" t="s">
        <v>10245</v>
      </c>
      <c r="D7140">
        <v>6</v>
      </c>
      <c r="E7140">
        <v>1</v>
      </c>
      <c r="F7140">
        <v>-2</v>
      </c>
      <c r="G7140">
        <v>-2</v>
      </c>
      <c r="H7140">
        <v>576</v>
      </c>
      <c r="I7140">
        <v>0</v>
      </c>
      <c r="J7140">
        <v>2.99</v>
      </c>
      <c r="K7140">
        <v>-5.98</v>
      </c>
    </row>
    <row r="7141" spans="1:12" x14ac:dyDescent="0.2">
      <c r="B7141">
        <v>5605395</v>
      </c>
      <c r="C7141" t="s">
        <v>10246</v>
      </c>
      <c r="D7141">
        <v>11</v>
      </c>
      <c r="E7141">
        <v>1</v>
      </c>
      <c r="F7141">
        <v>16</v>
      </c>
      <c r="G7141">
        <v>16</v>
      </c>
      <c r="H7141">
        <v>576</v>
      </c>
      <c r="I7141">
        <v>0</v>
      </c>
      <c r="J7141">
        <v>4.99</v>
      </c>
      <c r="K7141">
        <v>79.84</v>
      </c>
    </row>
    <row r="7142" spans="1:12" x14ac:dyDescent="0.2">
      <c r="A7142">
        <v>99007</v>
      </c>
      <c r="B7142">
        <v>5605398</v>
      </c>
      <c r="C7142" t="s">
        <v>10247</v>
      </c>
      <c r="D7142">
        <v>10</v>
      </c>
      <c r="E7142">
        <v>12</v>
      </c>
      <c r="F7142">
        <v>0</v>
      </c>
      <c r="G7142">
        <v>0</v>
      </c>
      <c r="H7142">
        <v>104</v>
      </c>
      <c r="I7142">
        <v>0</v>
      </c>
      <c r="J7142">
        <v>3.19</v>
      </c>
      <c r="K7142">
        <v>0</v>
      </c>
    </row>
    <row r="7143" spans="1:12" x14ac:dyDescent="0.2">
      <c r="A7143">
        <v>99207</v>
      </c>
      <c r="B7143">
        <v>5605399</v>
      </c>
      <c r="C7143" t="s">
        <v>10248</v>
      </c>
      <c r="D7143">
        <v>10</v>
      </c>
      <c r="E7143">
        <v>6</v>
      </c>
      <c r="F7143">
        <v>0</v>
      </c>
      <c r="G7143">
        <v>0</v>
      </c>
      <c r="H7143">
        <v>56</v>
      </c>
      <c r="I7143">
        <v>0</v>
      </c>
      <c r="J7143">
        <v>5.19</v>
      </c>
      <c r="K7143">
        <v>0</v>
      </c>
    </row>
    <row r="7144" spans="1:12" x14ac:dyDescent="0.2">
      <c r="A7144">
        <v>99753</v>
      </c>
      <c r="B7144">
        <v>5605400</v>
      </c>
      <c r="C7144" t="s">
        <v>10249</v>
      </c>
      <c r="D7144">
        <v>10</v>
      </c>
      <c r="E7144">
        <v>12</v>
      </c>
      <c r="F7144">
        <v>0</v>
      </c>
      <c r="G7144">
        <v>0</v>
      </c>
      <c r="H7144">
        <v>56</v>
      </c>
      <c r="I7144">
        <v>0</v>
      </c>
      <c r="J7144">
        <v>6.59</v>
      </c>
      <c r="K7144">
        <v>0</v>
      </c>
    </row>
    <row r="7145" spans="1:12" x14ac:dyDescent="0.2">
      <c r="A7145">
        <v>89054</v>
      </c>
      <c r="B7145">
        <v>5605404</v>
      </c>
      <c r="C7145" t="s">
        <v>10250</v>
      </c>
      <c r="D7145">
        <v>8</v>
      </c>
      <c r="E7145">
        <v>12</v>
      </c>
      <c r="F7145">
        <v>208</v>
      </c>
      <c r="G7145">
        <v>2496</v>
      </c>
      <c r="H7145">
        <v>104</v>
      </c>
      <c r="I7145">
        <v>2</v>
      </c>
      <c r="J7145">
        <v>3.29</v>
      </c>
      <c r="K7145">
        <v>8211.84</v>
      </c>
    </row>
    <row r="7146" spans="1:12" x14ac:dyDescent="0.2">
      <c r="A7146">
        <v>46631</v>
      </c>
      <c r="B7146">
        <v>5605410</v>
      </c>
      <c r="C7146" t="s">
        <v>10251</v>
      </c>
      <c r="D7146">
        <v>10</v>
      </c>
      <c r="E7146">
        <v>12</v>
      </c>
      <c r="F7146">
        <v>2</v>
      </c>
      <c r="G7146">
        <v>24</v>
      </c>
      <c r="H7146">
        <v>168</v>
      </c>
      <c r="I7146">
        <v>0</v>
      </c>
      <c r="J7146">
        <v>3.69</v>
      </c>
      <c r="K7146">
        <v>88.56</v>
      </c>
    </row>
    <row r="7147" spans="1:12" x14ac:dyDescent="0.2">
      <c r="A7147">
        <v>46642</v>
      </c>
      <c r="B7147">
        <v>5605415</v>
      </c>
      <c r="C7147" t="s">
        <v>10252</v>
      </c>
      <c r="D7147">
        <v>10</v>
      </c>
      <c r="E7147">
        <v>12</v>
      </c>
      <c r="F7147">
        <v>0</v>
      </c>
      <c r="G7147">
        <v>0</v>
      </c>
      <c r="H7147">
        <v>168</v>
      </c>
      <c r="I7147">
        <v>0</v>
      </c>
      <c r="J7147">
        <v>3.69</v>
      </c>
      <c r="K7147">
        <v>0</v>
      </c>
    </row>
    <row r="7148" spans="1:12" x14ac:dyDescent="0.2">
      <c r="A7148">
        <v>73267</v>
      </c>
      <c r="B7148">
        <v>5605420</v>
      </c>
      <c r="C7148" t="s">
        <v>10253</v>
      </c>
      <c r="D7148">
        <v>10</v>
      </c>
      <c r="E7148">
        <v>12</v>
      </c>
      <c r="F7148">
        <v>16</v>
      </c>
      <c r="G7148">
        <v>192</v>
      </c>
      <c r="H7148">
        <v>168</v>
      </c>
      <c r="I7148">
        <v>0.1</v>
      </c>
      <c r="J7148">
        <v>3.69</v>
      </c>
      <c r="K7148">
        <v>708.48</v>
      </c>
    </row>
    <row r="7149" spans="1:12" x14ac:dyDescent="0.2">
      <c r="A7149">
        <v>73272</v>
      </c>
      <c r="B7149">
        <v>5605425</v>
      </c>
      <c r="C7149" t="s">
        <v>10254</v>
      </c>
      <c r="D7149">
        <v>10</v>
      </c>
      <c r="E7149">
        <v>12</v>
      </c>
      <c r="F7149">
        <v>1</v>
      </c>
      <c r="G7149">
        <v>12</v>
      </c>
      <c r="H7149">
        <v>168</v>
      </c>
      <c r="I7149">
        <v>0</v>
      </c>
      <c r="J7149">
        <v>3.69</v>
      </c>
      <c r="K7149">
        <v>44.28</v>
      </c>
    </row>
    <row r="7150" spans="1:12" x14ac:dyDescent="0.2">
      <c r="A7150">
        <v>85138</v>
      </c>
      <c r="B7150">
        <v>5605431</v>
      </c>
      <c r="C7150" t="s">
        <v>10255</v>
      </c>
      <c r="D7150">
        <v>10</v>
      </c>
      <c r="E7150">
        <v>10</v>
      </c>
      <c r="F7150">
        <v>0</v>
      </c>
      <c r="G7150">
        <v>0</v>
      </c>
      <c r="H7150">
        <v>135</v>
      </c>
      <c r="I7150">
        <v>0</v>
      </c>
      <c r="J7150">
        <v>1.19</v>
      </c>
      <c r="K7150">
        <v>0</v>
      </c>
    </row>
    <row r="7151" spans="1:12" x14ac:dyDescent="0.2">
      <c r="A7151">
        <v>44525</v>
      </c>
      <c r="B7151">
        <v>5605437</v>
      </c>
      <c r="C7151" t="s">
        <v>10256</v>
      </c>
      <c r="D7151">
        <v>6</v>
      </c>
      <c r="E7151">
        <v>6</v>
      </c>
      <c r="F7151">
        <v>0</v>
      </c>
      <c r="G7151">
        <v>0</v>
      </c>
      <c r="H7151">
        <v>120</v>
      </c>
      <c r="I7151">
        <v>0</v>
      </c>
      <c r="J7151">
        <v>1.49</v>
      </c>
      <c r="K7151">
        <v>0</v>
      </c>
    </row>
    <row r="7152" spans="1:12" x14ac:dyDescent="0.2">
      <c r="A7152">
        <v>47513</v>
      </c>
      <c r="B7152">
        <v>5605438</v>
      </c>
      <c r="C7152" t="s">
        <v>10257</v>
      </c>
      <c r="D7152">
        <v>10</v>
      </c>
      <c r="E7152">
        <v>6</v>
      </c>
      <c r="F7152">
        <v>-5</v>
      </c>
      <c r="G7152">
        <v>-30</v>
      </c>
      <c r="H7152">
        <v>126</v>
      </c>
      <c r="I7152">
        <v>0</v>
      </c>
      <c r="J7152">
        <v>2.4900000000000002</v>
      </c>
      <c r="K7152">
        <v>-74.7</v>
      </c>
    </row>
    <row r="7153" spans="1:11" x14ac:dyDescent="0.2">
      <c r="B7153">
        <v>5605464</v>
      </c>
      <c r="C7153" t="s">
        <v>10258</v>
      </c>
      <c r="D7153">
        <v>11</v>
      </c>
      <c r="E7153">
        <v>1</v>
      </c>
      <c r="F7153">
        <v>0</v>
      </c>
      <c r="G7153">
        <v>0</v>
      </c>
      <c r="H7153">
        <v>384</v>
      </c>
      <c r="I7153">
        <v>0</v>
      </c>
      <c r="J7153">
        <v>4.49</v>
      </c>
      <c r="K7153">
        <v>0</v>
      </c>
    </row>
    <row r="7154" spans="1:11" x14ac:dyDescent="0.2">
      <c r="A7154">
        <v>57297</v>
      </c>
      <c r="B7154">
        <v>5605470</v>
      </c>
      <c r="C7154" t="s">
        <v>10259</v>
      </c>
      <c r="D7154">
        <v>11</v>
      </c>
      <c r="E7154">
        <v>12</v>
      </c>
      <c r="F7154">
        <v>0</v>
      </c>
      <c r="G7154">
        <v>0</v>
      </c>
      <c r="H7154">
        <v>72</v>
      </c>
      <c r="I7154">
        <v>0</v>
      </c>
      <c r="J7154">
        <v>2</v>
      </c>
      <c r="K7154">
        <v>0</v>
      </c>
    </row>
    <row r="7155" spans="1:11" x14ac:dyDescent="0.2">
      <c r="A7155">
        <v>85109</v>
      </c>
      <c r="B7155">
        <v>5605471</v>
      </c>
      <c r="C7155" t="s">
        <v>10260</v>
      </c>
      <c r="D7155">
        <v>10</v>
      </c>
      <c r="E7155">
        <v>4</v>
      </c>
      <c r="F7155">
        <v>0</v>
      </c>
      <c r="G7155">
        <v>0</v>
      </c>
      <c r="H7155">
        <v>120</v>
      </c>
      <c r="I7155">
        <v>0</v>
      </c>
      <c r="J7155">
        <v>3.99</v>
      </c>
      <c r="K7155">
        <v>0</v>
      </c>
    </row>
    <row r="7156" spans="1:11" x14ac:dyDescent="0.2">
      <c r="A7156">
        <v>85104</v>
      </c>
      <c r="B7156">
        <v>5605472</v>
      </c>
      <c r="C7156" t="s">
        <v>10261</v>
      </c>
      <c r="D7156">
        <v>10</v>
      </c>
      <c r="E7156">
        <v>4</v>
      </c>
      <c r="F7156">
        <v>0</v>
      </c>
      <c r="G7156">
        <v>0</v>
      </c>
      <c r="H7156">
        <v>120</v>
      </c>
      <c r="I7156">
        <v>0</v>
      </c>
      <c r="J7156">
        <v>3.99</v>
      </c>
      <c r="K7156">
        <v>0</v>
      </c>
    </row>
    <row r="7157" spans="1:11" x14ac:dyDescent="0.2">
      <c r="A7157">
        <v>85145</v>
      </c>
      <c r="B7157">
        <v>5605473</v>
      </c>
      <c r="C7157" t="s">
        <v>10262</v>
      </c>
      <c r="D7157">
        <v>10</v>
      </c>
      <c r="E7157">
        <v>4</v>
      </c>
      <c r="F7157">
        <v>0</v>
      </c>
      <c r="G7157">
        <v>0</v>
      </c>
      <c r="H7157">
        <v>120</v>
      </c>
      <c r="I7157">
        <v>0</v>
      </c>
      <c r="J7157">
        <v>3.99</v>
      </c>
      <c r="K7157">
        <v>0</v>
      </c>
    </row>
    <row r="7158" spans="1:11" x14ac:dyDescent="0.2">
      <c r="B7158">
        <v>5605486</v>
      </c>
      <c r="C7158" t="s">
        <v>10263</v>
      </c>
      <c r="D7158">
        <v>11</v>
      </c>
      <c r="E7158">
        <v>6</v>
      </c>
      <c r="F7158">
        <v>0</v>
      </c>
      <c r="G7158">
        <v>0</v>
      </c>
      <c r="H7158">
        <v>80</v>
      </c>
      <c r="I7158">
        <v>0</v>
      </c>
      <c r="J7158">
        <v>14.99</v>
      </c>
      <c r="K7158">
        <v>0</v>
      </c>
    </row>
    <row r="7159" spans="1:11" x14ac:dyDescent="0.2">
      <c r="A7159">
        <v>86050</v>
      </c>
      <c r="B7159">
        <v>5605487</v>
      </c>
      <c r="C7159" t="s">
        <v>10264</v>
      </c>
      <c r="D7159">
        <v>8</v>
      </c>
      <c r="E7159">
        <v>48</v>
      </c>
      <c r="F7159">
        <v>0</v>
      </c>
      <c r="G7159">
        <v>0</v>
      </c>
      <c r="H7159">
        <v>48</v>
      </c>
      <c r="I7159">
        <v>0</v>
      </c>
      <c r="J7159">
        <v>0.79</v>
      </c>
      <c r="K7159">
        <v>0</v>
      </c>
    </row>
    <row r="7160" spans="1:11" x14ac:dyDescent="0.2">
      <c r="A7160">
        <v>99634</v>
      </c>
      <c r="B7160">
        <v>5605488</v>
      </c>
      <c r="C7160" t="s">
        <v>10265</v>
      </c>
      <c r="D7160">
        <v>6</v>
      </c>
      <c r="E7160">
        <v>8</v>
      </c>
      <c r="F7160">
        <v>0</v>
      </c>
      <c r="G7160">
        <v>0</v>
      </c>
      <c r="H7160">
        <v>135</v>
      </c>
      <c r="I7160">
        <v>0</v>
      </c>
      <c r="J7160">
        <v>3.69</v>
      </c>
      <c r="K7160">
        <v>0</v>
      </c>
    </row>
    <row r="7161" spans="1:11" x14ac:dyDescent="0.2">
      <c r="A7161">
        <v>99208</v>
      </c>
      <c r="B7161">
        <v>5605489</v>
      </c>
      <c r="C7161" t="s">
        <v>10266</v>
      </c>
      <c r="D7161">
        <v>10</v>
      </c>
      <c r="E7161">
        <v>8</v>
      </c>
      <c r="F7161">
        <v>0</v>
      </c>
      <c r="G7161">
        <v>0</v>
      </c>
      <c r="H7161">
        <v>135</v>
      </c>
      <c r="I7161">
        <v>0</v>
      </c>
      <c r="J7161">
        <v>3.69</v>
      </c>
      <c r="K7161">
        <v>0</v>
      </c>
    </row>
    <row r="7162" spans="1:11" x14ac:dyDescent="0.2">
      <c r="B7162">
        <v>5605491</v>
      </c>
      <c r="C7162" t="s">
        <v>10267</v>
      </c>
      <c r="D7162">
        <v>10</v>
      </c>
      <c r="E7162">
        <v>132</v>
      </c>
      <c r="F7162">
        <v>0</v>
      </c>
      <c r="G7162">
        <v>0</v>
      </c>
      <c r="H7162">
        <v>1</v>
      </c>
      <c r="I7162">
        <v>0</v>
      </c>
      <c r="J7162">
        <v>1.89</v>
      </c>
      <c r="K7162">
        <v>0</v>
      </c>
    </row>
    <row r="7163" spans="1:11" x14ac:dyDescent="0.2">
      <c r="A7163">
        <v>66274</v>
      </c>
      <c r="B7163">
        <v>5605496</v>
      </c>
      <c r="C7163" t="s">
        <v>10268</v>
      </c>
      <c r="D7163">
        <v>8</v>
      </c>
      <c r="E7163">
        <v>27</v>
      </c>
      <c r="F7163">
        <v>117</v>
      </c>
      <c r="G7163">
        <v>3158</v>
      </c>
      <c r="H7163">
        <v>36</v>
      </c>
      <c r="I7163">
        <v>3.2</v>
      </c>
      <c r="J7163">
        <v>1.99</v>
      </c>
      <c r="K7163">
        <v>6284.42</v>
      </c>
    </row>
    <row r="7164" spans="1:11" x14ac:dyDescent="0.2">
      <c r="A7164">
        <v>51518</v>
      </c>
      <c r="B7164">
        <v>5605500</v>
      </c>
      <c r="C7164" t="s">
        <v>10269</v>
      </c>
      <c r="D7164">
        <v>10</v>
      </c>
      <c r="E7164">
        <v>4</v>
      </c>
      <c r="F7164">
        <v>192</v>
      </c>
      <c r="G7164">
        <v>768</v>
      </c>
      <c r="H7164">
        <v>96</v>
      </c>
      <c r="I7164">
        <v>2</v>
      </c>
      <c r="J7164">
        <v>7.99</v>
      </c>
      <c r="K7164">
        <v>6136.32</v>
      </c>
    </row>
    <row r="7165" spans="1:11" x14ac:dyDescent="0.2">
      <c r="B7165">
        <v>5605501</v>
      </c>
      <c r="C7165" t="s">
        <v>10270</v>
      </c>
      <c r="D7165">
        <v>11</v>
      </c>
      <c r="E7165">
        <v>6</v>
      </c>
      <c r="F7165">
        <v>37</v>
      </c>
      <c r="G7165">
        <v>222</v>
      </c>
      <c r="H7165">
        <v>100</v>
      </c>
      <c r="I7165">
        <v>0.4</v>
      </c>
      <c r="J7165">
        <v>3.59</v>
      </c>
      <c r="K7165">
        <v>796.98</v>
      </c>
    </row>
    <row r="7166" spans="1:11" x14ac:dyDescent="0.2">
      <c r="A7166">
        <v>74171</v>
      </c>
      <c r="B7166">
        <v>5605502</v>
      </c>
      <c r="C7166" t="s">
        <v>10271</v>
      </c>
      <c r="D7166">
        <v>8</v>
      </c>
      <c r="E7166">
        <v>8</v>
      </c>
      <c r="F7166">
        <v>276</v>
      </c>
      <c r="G7166">
        <v>2206</v>
      </c>
      <c r="H7166">
        <v>56</v>
      </c>
      <c r="I7166">
        <v>4.9000000000000004</v>
      </c>
      <c r="J7166">
        <v>1.81</v>
      </c>
      <c r="K7166">
        <v>3992.86</v>
      </c>
    </row>
    <row r="7167" spans="1:11" x14ac:dyDescent="0.2">
      <c r="A7167">
        <v>2502</v>
      </c>
      <c r="B7167">
        <v>5605503</v>
      </c>
      <c r="C7167" t="s">
        <v>10272</v>
      </c>
      <c r="D7167">
        <v>6</v>
      </c>
      <c r="E7167">
        <v>6</v>
      </c>
      <c r="F7167">
        <v>0</v>
      </c>
      <c r="G7167">
        <v>0</v>
      </c>
      <c r="H7167">
        <v>105</v>
      </c>
      <c r="I7167">
        <v>0</v>
      </c>
      <c r="J7167">
        <v>1.29</v>
      </c>
      <c r="K7167">
        <v>0</v>
      </c>
    </row>
    <row r="7168" spans="1:11" x14ac:dyDescent="0.2">
      <c r="A7168">
        <v>91108</v>
      </c>
      <c r="B7168">
        <v>5605507</v>
      </c>
      <c r="C7168" t="s">
        <v>10273</v>
      </c>
      <c r="D7168">
        <v>8</v>
      </c>
      <c r="E7168">
        <v>1</v>
      </c>
      <c r="F7168">
        <v>455</v>
      </c>
      <c r="G7168">
        <v>455</v>
      </c>
      <c r="H7168">
        <v>720</v>
      </c>
      <c r="I7168">
        <v>0.6</v>
      </c>
      <c r="J7168">
        <v>2.95</v>
      </c>
      <c r="K7168">
        <v>1342.25</v>
      </c>
    </row>
    <row r="7169" spans="1:11" x14ac:dyDescent="0.2">
      <c r="A7169">
        <v>69193</v>
      </c>
      <c r="B7169">
        <v>5605510</v>
      </c>
      <c r="C7169" t="s">
        <v>10274</v>
      </c>
      <c r="D7169">
        <v>8</v>
      </c>
      <c r="E7169">
        <v>6</v>
      </c>
      <c r="F7169">
        <v>1712</v>
      </c>
      <c r="G7169">
        <v>10269</v>
      </c>
      <c r="H7169">
        <v>100</v>
      </c>
      <c r="I7169">
        <v>17.100000000000001</v>
      </c>
      <c r="J7169">
        <v>1.1299999999999999</v>
      </c>
      <c r="K7169">
        <v>11603.97</v>
      </c>
    </row>
    <row r="7170" spans="1:11" x14ac:dyDescent="0.2">
      <c r="B7170">
        <v>5605514</v>
      </c>
      <c r="C7170" t="s">
        <v>10275</v>
      </c>
      <c r="D7170">
        <v>6</v>
      </c>
      <c r="E7170">
        <v>1</v>
      </c>
      <c r="F7170">
        <v>0</v>
      </c>
      <c r="G7170">
        <v>0</v>
      </c>
      <c r="H7170">
        <v>480</v>
      </c>
      <c r="I7170">
        <v>0</v>
      </c>
      <c r="J7170">
        <v>3.99</v>
      </c>
      <c r="K7170">
        <v>0</v>
      </c>
    </row>
    <row r="7171" spans="1:11" x14ac:dyDescent="0.2">
      <c r="A7171">
        <v>99889</v>
      </c>
      <c r="B7171">
        <v>5605521</v>
      </c>
      <c r="C7171" t="s">
        <v>10276</v>
      </c>
      <c r="D7171">
        <v>10</v>
      </c>
      <c r="E7171">
        <v>6</v>
      </c>
      <c r="F7171">
        <v>0</v>
      </c>
      <c r="G7171">
        <v>0</v>
      </c>
      <c r="H7171">
        <v>117</v>
      </c>
      <c r="I7171">
        <v>0</v>
      </c>
      <c r="J7171">
        <v>7.39</v>
      </c>
      <c r="K7171">
        <v>0</v>
      </c>
    </row>
    <row r="7172" spans="1:11" x14ac:dyDescent="0.2">
      <c r="A7172">
        <v>99349</v>
      </c>
      <c r="B7172">
        <v>5605523</v>
      </c>
      <c r="C7172" t="s">
        <v>10277</v>
      </c>
      <c r="D7172">
        <v>10</v>
      </c>
      <c r="E7172">
        <v>12</v>
      </c>
      <c r="F7172">
        <v>0</v>
      </c>
      <c r="G7172">
        <v>0</v>
      </c>
      <c r="H7172">
        <v>88</v>
      </c>
      <c r="I7172">
        <v>0</v>
      </c>
      <c r="J7172">
        <v>4.25</v>
      </c>
      <c r="K7172">
        <v>0</v>
      </c>
    </row>
    <row r="7173" spans="1:11" x14ac:dyDescent="0.2">
      <c r="A7173">
        <v>38522</v>
      </c>
      <c r="B7173">
        <v>5605527</v>
      </c>
      <c r="C7173" t="s">
        <v>10278</v>
      </c>
      <c r="D7173">
        <v>10</v>
      </c>
      <c r="E7173">
        <v>4</v>
      </c>
      <c r="F7173">
        <v>-5</v>
      </c>
      <c r="G7173">
        <v>-20</v>
      </c>
      <c r="H7173">
        <v>72</v>
      </c>
      <c r="I7173">
        <v>-0.1</v>
      </c>
      <c r="J7173">
        <v>3.69</v>
      </c>
      <c r="K7173">
        <v>-73.8</v>
      </c>
    </row>
    <row r="7174" spans="1:11" x14ac:dyDescent="0.2">
      <c r="A7174">
        <v>38523</v>
      </c>
      <c r="B7174">
        <v>5605528</v>
      </c>
      <c r="C7174" t="s">
        <v>10279</v>
      </c>
      <c r="D7174">
        <v>10</v>
      </c>
      <c r="E7174">
        <v>4</v>
      </c>
      <c r="F7174">
        <v>-5</v>
      </c>
      <c r="G7174">
        <v>-20</v>
      </c>
      <c r="H7174">
        <v>72</v>
      </c>
      <c r="I7174">
        <v>-0.1</v>
      </c>
      <c r="J7174">
        <v>3.49</v>
      </c>
      <c r="K7174">
        <v>-69.8</v>
      </c>
    </row>
    <row r="7175" spans="1:11" x14ac:dyDescent="0.2">
      <c r="A7175">
        <v>57621</v>
      </c>
      <c r="B7175">
        <v>5605534</v>
      </c>
      <c r="C7175" t="s">
        <v>10280</v>
      </c>
      <c r="D7175">
        <v>10</v>
      </c>
      <c r="E7175">
        <v>6</v>
      </c>
      <c r="F7175">
        <v>2</v>
      </c>
      <c r="G7175">
        <v>11</v>
      </c>
      <c r="H7175">
        <v>180</v>
      </c>
      <c r="I7175">
        <v>0</v>
      </c>
      <c r="J7175">
        <v>2.79</v>
      </c>
      <c r="K7175">
        <v>30.69</v>
      </c>
    </row>
    <row r="7176" spans="1:11" x14ac:dyDescent="0.2">
      <c r="A7176">
        <v>81058</v>
      </c>
      <c r="B7176">
        <v>5605535</v>
      </c>
      <c r="C7176" t="s">
        <v>10281</v>
      </c>
      <c r="D7176">
        <v>8</v>
      </c>
      <c r="E7176">
        <v>15</v>
      </c>
      <c r="F7176">
        <v>569</v>
      </c>
      <c r="G7176">
        <v>8535</v>
      </c>
      <c r="H7176">
        <v>80</v>
      </c>
      <c r="I7176">
        <v>7.1</v>
      </c>
      <c r="J7176">
        <v>1.35</v>
      </c>
      <c r="K7176">
        <v>11522.25</v>
      </c>
    </row>
    <row r="7177" spans="1:11" x14ac:dyDescent="0.2">
      <c r="A7177">
        <v>62120</v>
      </c>
      <c r="B7177">
        <v>5605539</v>
      </c>
      <c r="C7177" t="s">
        <v>10282</v>
      </c>
      <c r="D7177">
        <v>8</v>
      </c>
      <c r="E7177">
        <v>6</v>
      </c>
      <c r="F7177">
        <v>194</v>
      </c>
      <c r="G7177">
        <v>1164</v>
      </c>
      <c r="H7177">
        <v>100</v>
      </c>
      <c r="I7177">
        <v>1.9</v>
      </c>
      <c r="J7177">
        <v>9.99</v>
      </c>
      <c r="K7177">
        <v>11628.36</v>
      </c>
    </row>
    <row r="7178" spans="1:11" x14ac:dyDescent="0.2">
      <c r="B7178">
        <v>5605541</v>
      </c>
      <c r="C7178" t="s">
        <v>10283</v>
      </c>
      <c r="D7178">
        <v>10</v>
      </c>
      <c r="E7178">
        <v>6</v>
      </c>
      <c r="F7178">
        <v>0</v>
      </c>
      <c r="G7178">
        <v>0</v>
      </c>
      <c r="H7178">
        <v>100</v>
      </c>
      <c r="I7178">
        <v>0</v>
      </c>
      <c r="J7178">
        <v>14.95</v>
      </c>
      <c r="K7178">
        <v>0</v>
      </c>
    </row>
    <row r="7179" spans="1:11" x14ac:dyDescent="0.2">
      <c r="B7179">
        <v>5605542</v>
      </c>
      <c r="C7179" t="s">
        <v>10284</v>
      </c>
      <c r="D7179">
        <v>10</v>
      </c>
      <c r="E7179">
        <v>6</v>
      </c>
      <c r="F7179">
        <v>0</v>
      </c>
      <c r="G7179">
        <v>0</v>
      </c>
      <c r="H7179">
        <v>80</v>
      </c>
      <c r="I7179">
        <v>0</v>
      </c>
      <c r="J7179">
        <v>16.989999999999998</v>
      </c>
      <c r="K7179">
        <v>0</v>
      </c>
    </row>
    <row r="7180" spans="1:11" x14ac:dyDescent="0.2">
      <c r="B7180">
        <v>5605543</v>
      </c>
      <c r="C7180" t="s">
        <v>10285</v>
      </c>
      <c r="D7180">
        <v>6</v>
      </c>
      <c r="E7180">
        <v>15</v>
      </c>
      <c r="F7180">
        <v>0</v>
      </c>
      <c r="G7180">
        <v>0</v>
      </c>
      <c r="H7180">
        <v>96</v>
      </c>
      <c r="I7180">
        <v>0</v>
      </c>
      <c r="J7180">
        <v>1.36</v>
      </c>
      <c r="K7180">
        <v>0</v>
      </c>
    </row>
    <row r="7181" spans="1:11" x14ac:dyDescent="0.2">
      <c r="B7181">
        <v>5605544</v>
      </c>
      <c r="C7181" t="s">
        <v>10286</v>
      </c>
      <c r="D7181">
        <v>11</v>
      </c>
      <c r="E7181">
        <v>6</v>
      </c>
      <c r="F7181">
        <v>0</v>
      </c>
      <c r="G7181">
        <v>0</v>
      </c>
      <c r="H7181">
        <v>60</v>
      </c>
      <c r="I7181">
        <v>0</v>
      </c>
      <c r="J7181">
        <v>1.49</v>
      </c>
      <c r="K7181">
        <v>0</v>
      </c>
    </row>
    <row r="7182" spans="1:11" x14ac:dyDescent="0.2">
      <c r="A7182">
        <v>43529</v>
      </c>
      <c r="B7182">
        <v>5605548</v>
      </c>
      <c r="C7182" t="s">
        <v>10287</v>
      </c>
      <c r="D7182">
        <v>10</v>
      </c>
      <c r="E7182">
        <v>6</v>
      </c>
      <c r="F7182">
        <v>3</v>
      </c>
      <c r="G7182">
        <v>18</v>
      </c>
      <c r="H7182">
        <v>601</v>
      </c>
      <c r="I7182">
        <v>0</v>
      </c>
      <c r="J7182">
        <v>5.49</v>
      </c>
      <c r="K7182">
        <v>98.82</v>
      </c>
    </row>
    <row r="7183" spans="1:11" x14ac:dyDescent="0.2">
      <c r="A7183">
        <v>43530</v>
      </c>
      <c r="B7183">
        <v>5605549</v>
      </c>
      <c r="C7183" t="s">
        <v>10288</v>
      </c>
      <c r="D7183">
        <v>10</v>
      </c>
      <c r="E7183">
        <v>12</v>
      </c>
      <c r="F7183">
        <v>3</v>
      </c>
      <c r="G7183">
        <v>36</v>
      </c>
      <c r="H7183">
        <v>60</v>
      </c>
      <c r="I7183">
        <v>0.1</v>
      </c>
      <c r="J7183">
        <v>4.8499999999999996</v>
      </c>
      <c r="K7183">
        <v>174.6</v>
      </c>
    </row>
    <row r="7184" spans="1:11" x14ac:dyDescent="0.2">
      <c r="A7184">
        <v>33502</v>
      </c>
      <c r="B7184">
        <v>5605559</v>
      </c>
      <c r="C7184" t="s">
        <v>10289</v>
      </c>
      <c r="D7184">
        <v>6</v>
      </c>
      <c r="E7184">
        <v>50</v>
      </c>
      <c r="F7184">
        <v>0</v>
      </c>
      <c r="G7184">
        <v>0</v>
      </c>
      <c r="H7184">
        <v>64</v>
      </c>
      <c r="I7184">
        <v>0</v>
      </c>
      <c r="J7184">
        <v>0.65</v>
      </c>
      <c r="K7184">
        <v>0</v>
      </c>
    </row>
    <row r="7185" spans="1:12" x14ac:dyDescent="0.2">
      <c r="B7185">
        <v>5605560</v>
      </c>
      <c r="C7185" t="s">
        <v>10290</v>
      </c>
      <c r="D7185">
        <v>12</v>
      </c>
      <c r="E7185">
        <v>6</v>
      </c>
      <c r="F7185">
        <v>0</v>
      </c>
      <c r="G7185">
        <v>0</v>
      </c>
      <c r="H7185">
        <v>100</v>
      </c>
      <c r="I7185">
        <v>0</v>
      </c>
      <c r="J7185">
        <v>2</v>
      </c>
      <c r="K7185">
        <v>0</v>
      </c>
      <c r="L7185" t="s">
        <v>3699</v>
      </c>
    </row>
    <row r="7186" spans="1:12" x14ac:dyDescent="0.2">
      <c r="B7186">
        <v>5605560</v>
      </c>
      <c r="C7186" t="s">
        <v>10290</v>
      </c>
      <c r="D7186">
        <v>12</v>
      </c>
      <c r="E7186">
        <v>99</v>
      </c>
      <c r="F7186">
        <v>0</v>
      </c>
      <c r="G7186">
        <v>0</v>
      </c>
      <c r="H7186">
        <v>99</v>
      </c>
      <c r="I7186">
        <v>0</v>
      </c>
      <c r="J7186">
        <v>2</v>
      </c>
      <c r="K7186">
        <v>0</v>
      </c>
      <c r="L7186" t="s">
        <v>3699</v>
      </c>
    </row>
    <row r="7187" spans="1:12" x14ac:dyDescent="0.2">
      <c r="B7187">
        <v>5605561</v>
      </c>
      <c r="C7187" t="s">
        <v>10291</v>
      </c>
      <c r="D7187">
        <v>11</v>
      </c>
      <c r="E7187">
        <v>8</v>
      </c>
      <c r="F7187">
        <v>0</v>
      </c>
      <c r="G7187">
        <v>0</v>
      </c>
      <c r="H7187">
        <v>70</v>
      </c>
      <c r="I7187">
        <v>0</v>
      </c>
      <c r="J7187">
        <v>2.29</v>
      </c>
      <c r="K7187">
        <v>0</v>
      </c>
    </row>
    <row r="7188" spans="1:12" x14ac:dyDescent="0.2">
      <c r="A7188">
        <v>35529</v>
      </c>
      <c r="B7188">
        <v>5605562</v>
      </c>
      <c r="C7188" t="s">
        <v>10292</v>
      </c>
      <c r="D7188">
        <v>10</v>
      </c>
      <c r="E7188">
        <v>8</v>
      </c>
      <c r="F7188">
        <v>0</v>
      </c>
      <c r="G7188">
        <v>0</v>
      </c>
      <c r="H7188">
        <v>70</v>
      </c>
      <c r="I7188">
        <v>0</v>
      </c>
      <c r="J7188">
        <v>1.99</v>
      </c>
      <c r="K7188">
        <v>0</v>
      </c>
    </row>
    <row r="7189" spans="1:12" x14ac:dyDescent="0.2">
      <c r="B7189">
        <v>5605567</v>
      </c>
      <c r="C7189" t="s">
        <v>10293</v>
      </c>
      <c r="D7189">
        <v>11</v>
      </c>
      <c r="E7189">
        <v>1</v>
      </c>
      <c r="F7189">
        <v>-1</v>
      </c>
      <c r="G7189">
        <v>-1</v>
      </c>
      <c r="H7189">
        <v>288</v>
      </c>
      <c r="I7189">
        <v>0</v>
      </c>
      <c r="J7189">
        <v>9.99</v>
      </c>
      <c r="K7189">
        <v>-9.99</v>
      </c>
    </row>
    <row r="7190" spans="1:12" x14ac:dyDescent="0.2">
      <c r="B7190">
        <v>5605569</v>
      </c>
      <c r="C7190" t="s">
        <v>10294</v>
      </c>
      <c r="D7190">
        <v>6</v>
      </c>
      <c r="E7190">
        <v>1</v>
      </c>
      <c r="F7190">
        <v>-9</v>
      </c>
      <c r="G7190">
        <v>-9</v>
      </c>
      <c r="H7190">
        <v>320</v>
      </c>
      <c r="I7190">
        <v>0</v>
      </c>
      <c r="J7190">
        <v>9.4499999999999993</v>
      </c>
      <c r="K7190">
        <v>-85.05</v>
      </c>
      <c r="L7190" t="s">
        <v>3699</v>
      </c>
    </row>
    <row r="7191" spans="1:12" x14ac:dyDescent="0.2">
      <c r="A7191">
        <v>89056</v>
      </c>
      <c r="B7191">
        <v>5605573</v>
      </c>
      <c r="C7191" t="s">
        <v>10295</v>
      </c>
      <c r="D7191">
        <v>8</v>
      </c>
      <c r="E7191">
        <v>12</v>
      </c>
      <c r="F7191">
        <v>72</v>
      </c>
      <c r="G7191">
        <v>864</v>
      </c>
      <c r="H7191">
        <v>72</v>
      </c>
      <c r="I7191">
        <v>1</v>
      </c>
      <c r="J7191">
        <v>2.58</v>
      </c>
      <c r="K7191">
        <v>2229.12</v>
      </c>
    </row>
    <row r="7192" spans="1:12" x14ac:dyDescent="0.2">
      <c r="A7192">
        <v>72204</v>
      </c>
      <c r="B7192">
        <v>5605574</v>
      </c>
      <c r="C7192" t="s">
        <v>10296</v>
      </c>
      <c r="D7192">
        <v>8</v>
      </c>
      <c r="E7192">
        <v>12</v>
      </c>
      <c r="F7192">
        <v>745</v>
      </c>
      <c r="G7192">
        <v>8939</v>
      </c>
      <c r="H7192">
        <v>108</v>
      </c>
      <c r="I7192">
        <v>6.9</v>
      </c>
      <c r="J7192">
        <v>1.05</v>
      </c>
      <c r="K7192">
        <v>9385.9500000000007</v>
      </c>
    </row>
    <row r="7193" spans="1:12" x14ac:dyDescent="0.2">
      <c r="A7193">
        <v>85147</v>
      </c>
      <c r="B7193">
        <v>5605575</v>
      </c>
      <c r="C7193" t="s">
        <v>10297</v>
      </c>
      <c r="D7193">
        <v>10</v>
      </c>
      <c r="E7193">
        <v>4</v>
      </c>
      <c r="F7193">
        <v>0</v>
      </c>
      <c r="G7193">
        <v>0</v>
      </c>
      <c r="H7193">
        <v>72</v>
      </c>
      <c r="I7193">
        <v>0</v>
      </c>
      <c r="J7193">
        <v>3.49</v>
      </c>
      <c r="K7193">
        <v>0</v>
      </c>
    </row>
    <row r="7194" spans="1:12" x14ac:dyDescent="0.2">
      <c r="B7194">
        <v>5605577</v>
      </c>
      <c r="C7194" t="s">
        <v>10298</v>
      </c>
      <c r="D7194">
        <v>11</v>
      </c>
      <c r="E7194">
        <v>6</v>
      </c>
      <c r="F7194">
        <v>0</v>
      </c>
      <c r="G7194">
        <v>0</v>
      </c>
      <c r="H7194">
        <v>77</v>
      </c>
      <c r="I7194">
        <v>0</v>
      </c>
      <c r="J7194">
        <v>2.29</v>
      </c>
      <c r="K7194">
        <v>0</v>
      </c>
    </row>
    <row r="7195" spans="1:12" x14ac:dyDescent="0.2">
      <c r="B7195">
        <v>5605579</v>
      </c>
      <c r="C7195" t="s">
        <v>10299</v>
      </c>
      <c r="D7195">
        <v>11</v>
      </c>
      <c r="E7195">
        <v>6</v>
      </c>
      <c r="F7195">
        <v>0</v>
      </c>
      <c r="G7195">
        <v>0</v>
      </c>
      <c r="H7195">
        <v>90</v>
      </c>
      <c r="I7195">
        <v>0</v>
      </c>
      <c r="J7195">
        <v>1.89</v>
      </c>
      <c r="K7195">
        <v>0</v>
      </c>
    </row>
    <row r="7196" spans="1:12" x14ac:dyDescent="0.2">
      <c r="B7196">
        <v>5605583</v>
      </c>
      <c r="C7196" t="s">
        <v>10300</v>
      </c>
      <c r="D7196">
        <v>6</v>
      </c>
      <c r="E7196">
        <v>1</v>
      </c>
      <c r="F7196">
        <v>-166</v>
      </c>
      <c r="G7196">
        <v>-166</v>
      </c>
      <c r="H7196">
        <v>256</v>
      </c>
      <c r="I7196">
        <v>-0.6</v>
      </c>
      <c r="J7196">
        <v>5.99</v>
      </c>
      <c r="K7196">
        <v>-991.35</v>
      </c>
    </row>
    <row r="7197" spans="1:12" x14ac:dyDescent="0.2">
      <c r="A7197">
        <v>81188</v>
      </c>
      <c r="B7197">
        <v>5605586</v>
      </c>
      <c r="C7197" t="s">
        <v>10301</v>
      </c>
      <c r="D7197">
        <v>8</v>
      </c>
      <c r="E7197">
        <v>10</v>
      </c>
      <c r="F7197">
        <v>703</v>
      </c>
      <c r="G7197">
        <v>7030</v>
      </c>
      <c r="H7197">
        <v>54</v>
      </c>
      <c r="I7197">
        <v>13</v>
      </c>
      <c r="J7197">
        <v>6.09</v>
      </c>
      <c r="K7197">
        <v>42812.7</v>
      </c>
    </row>
    <row r="7198" spans="1:12" x14ac:dyDescent="0.2">
      <c r="A7198">
        <v>52628</v>
      </c>
      <c r="B7198">
        <v>5605587</v>
      </c>
      <c r="C7198" t="s">
        <v>10302</v>
      </c>
      <c r="D7198">
        <v>6</v>
      </c>
      <c r="E7198">
        <v>6</v>
      </c>
      <c r="F7198">
        <v>1280</v>
      </c>
      <c r="G7198">
        <v>7680</v>
      </c>
      <c r="H7198">
        <v>80</v>
      </c>
      <c r="I7198">
        <v>16</v>
      </c>
      <c r="J7198">
        <v>14.99</v>
      </c>
      <c r="K7198">
        <v>115123.2</v>
      </c>
    </row>
    <row r="7199" spans="1:12" x14ac:dyDescent="0.2">
      <c r="A7199">
        <v>41629</v>
      </c>
      <c r="B7199">
        <v>5605588</v>
      </c>
      <c r="C7199" t="s">
        <v>10303</v>
      </c>
      <c r="D7199">
        <v>10</v>
      </c>
      <c r="E7199">
        <v>12</v>
      </c>
      <c r="F7199">
        <v>-1</v>
      </c>
      <c r="G7199">
        <v>-12</v>
      </c>
      <c r="H7199">
        <v>108</v>
      </c>
      <c r="I7199">
        <v>0</v>
      </c>
      <c r="J7199">
        <v>1.59</v>
      </c>
      <c r="K7199">
        <v>-19.079999999999998</v>
      </c>
    </row>
    <row r="7200" spans="1:12" x14ac:dyDescent="0.2">
      <c r="A7200">
        <v>41630</v>
      </c>
      <c r="B7200">
        <v>5605589</v>
      </c>
      <c r="C7200" t="s">
        <v>10304</v>
      </c>
      <c r="D7200">
        <v>10</v>
      </c>
      <c r="E7200">
        <v>12</v>
      </c>
      <c r="F7200">
        <v>0</v>
      </c>
      <c r="G7200">
        <v>0</v>
      </c>
      <c r="H7200">
        <v>108</v>
      </c>
      <c r="I7200">
        <v>0</v>
      </c>
      <c r="J7200">
        <v>1.79</v>
      </c>
      <c r="K7200">
        <v>0</v>
      </c>
    </row>
    <row r="7201" spans="1:11" x14ac:dyDescent="0.2">
      <c r="A7201">
        <v>57391</v>
      </c>
      <c r="B7201">
        <v>5605604</v>
      </c>
      <c r="C7201" t="s">
        <v>10305</v>
      </c>
      <c r="D7201">
        <v>10</v>
      </c>
      <c r="E7201">
        <v>21</v>
      </c>
      <c r="F7201">
        <v>0</v>
      </c>
      <c r="G7201">
        <v>0</v>
      </c>
      <c r="H7201">
        <v>72</v>
      </c>
      <c r="I7201">
        <v>0</v>
      </c>
      <c r="J7201">
        <v>1</v>
      </c>
      <c r="K7201">
        <v>0</v>
      </c>
    </row>
    <row r="7202" spans="1:11" x14ac:dyDescent="0.2">
      <c r="A7202">
        <v>57550</v>
      </c>
      <c r="B7202">
        <v>5605606</v>
      </c>
      <c r="C7202" t="s">
        <v>10306</v>
      </c>
      <c r="D7202">
        <v>10</v>
      </c>
      <c r="E7202">
        <v>21</v>
      </c>
      <c r="F7202">
        <v>6</v>
      </c>
      <c r="G7202">
        <v>122</v>
      </c>
      <c r="H7202">
        <v>72</v>
      </c>
      <c r="I7202">
        <v>0.1</v>
      </c>
      <c r="J7202">
        <v>1.49</v>
      </c>
      <c r="K7202">
        <v>181.78</v>
      </c>
    </row>
    <row r="7203" spans="1:11" x14ac:dyDescent="0.2">
      <c r="A7203">
        <v>72234</v>
      </c>
      <c r="B7203">
        <v>5605610</v>
      </c>
      <c r="C7203" t="s">
        <v>10307</v>
      </c>
      <c r="D7203">
        <v>8</v>
      </c>
      <c r="E7203">
        <v>6</v>
      </c>
      <c r="F7203">
        <v>158</v>
      </c>
      <c r="G7203">
        <v>948</v>
      </c>
      <c r="H7203">
        <v>75</v>
      </c>
      <c r="I7203">
        <v>2.1</v>
      </c>
      <c r="J7203">
        <v>3.29</v>
      </c>
      <c r="K7203">
        <v>3118.92</v>
      </c>
    </row>
    <row r="7204" spans="1:11" x14ac:dyDescent="0.2">
      <c r="B7204">
        <v>5605611</v>
      </c>
      <c r="C7204" t="s">
        <v>3968</v>
      </c>
      <c r="D7204">
        <v>11</v>
      </c>
      <c r="E7204">
        <v>1</v>
      </c>
      <c r="F7204">
        <v>224</v>
      </c>
      <c r="G7204">
        <v>224</v>
      </c>
      <c r="H7204">
        <v>128</v>
      </c>
      <c r="I7204">
        <v>1.8</v>
      </c>
      <c r="J7204">
        <v>10.48</v>
      </c>
      <c r="K7204">
        <v>2347.52</v>
      </c>
    </row>
    <row r="7205" spans="1:11" x14ac:dyDescent="0.2">
      <c r="A7205">
        <v>57551</v>
      </c>
      <c r="B7205">
        <v>5605615</v>
      </c>
      <c r="C7205" t="s">
        <v>10308</v>
      </c>
      <c r="D7205">
        <v>10</v>
      </c>
      <c r="E7205">
        <v>12</v>
      </c>
      <c r="F7205">
        <v>5</v>
      </c>
      <c r="G7205">
        <v>55</v>
      </c>
      <c r="H7205">
        <v>105</v>
      </c>
      <c r="I7205">
        <v>0</v>
      </c>
      <c r="J7205">
        <v>1.39</v>
      </c>
      <c r="K7205">
        <v>76.45</v>
      </c>
    </row>
    <row r="7206" spans="1:11" x14ac:dyDescent="0.2">
      <c r="A7206">
        <v>57455</v>
      </c>
      <c r="B7206">
        <v>5605616</v>
      </c>
      <c r="C7206" t="s">
        <v>10309</v>
      </c>
      <c r="D7206">
        <v>10</v>
      </c>
      <c r="E7206">
        <v>12</v>
      </c>
      <c r="F7206">
        <v>0</v>
      </c>
      <c r="G7206">
        <v>0</v>
      </c>
      <c r="H7206">
        <v>108</v>
      </c>
      <c r="I7206">
        <v>0</v>
      </c>
      <c r="J7206">
        <v>1.59</v>
      </c>
      <c r="K7206">
        <v>0</v>
      </c>
    </row>
    <row r="7207" spans="1:11" x14ac:dyDescent="0.2">
      <c r="A7207">
        <v>57239</v>
      </c>
      <c r="B7207">
        <v>5605618</v>
      </c>
      <c r="C7207" t="s">
        <v>10310</v>
      </c>
      <c r="D7207">
        <v>10</v>
      </c>
      <c r="E7207">
        <v>6</v>
      </c>
      <c r="F7207">
        <v>0</v>
      </c>
      <c r="G7207">
        <v>0</v>
      </c>
      <c r="H7207">
        <v>36</v>
      </c>
      <c r="I7207">
        <v>0</v>
      </c>
      <c r="J7207">
        <v>4.99</v>
      </c>
      <c r="K7207">
        <v>0</v>
      </c>
    </row>
    <row r="7208" spans="1:11" x14ac:dyDescent="0.2">
      <c r="A7208">
        <v>57552</v>
      </c>
      <c r="B7208">
        <v>5605619</v>
      </c>
      <c r="C7208" t="s">
        <v>10311</v>
      </c>
      <c r="D7208">
        <v>6</v>
      </c>
      <c r="E7208">
        <v>4</v>
      </c>
      <c r="F7208">
        <v>0</v>
      </c>
      <c r="G7208">
        <v>0</v>
      </c>
      <c r="H7208">
        <v>70</v>
      </c>
      <c r="I7208">
        <v>0</v>
      </c>
      <c r="J7208">
        <v>4.29</v>
      </c>
      <c r="K7208">
        <v>0</v>
      </c>
    </row>
    <row r="7209" spans="1:11" x14ac:dyDescent="0.2">
      <c r="B7209">
        <v>5605621</v>
      </c>
      <c r="C7209" t="s">
        <v>10312</v>
      </c>
      <c r="D7209">
        <v>11</v>
      </c>
      <c r="E7209">
        <v>1</v>
      </c>
      <c r="F7209">
        <v>0</v>
      </c>
      <c r="G7209">
        <v>0</v>
      </c>
      <c r="H7209">
        <v>576</v>
      </c>
      <c r="I7209">
        <v>0</v>
      </c>
      <c r="J7209">
        <v>2.4900000000000002</v>
      </c>
      <c r="K7209">
        <v>0</v>
      </c>
    </row>
    <row r="7210" spans="1:11" x14ac:dyDescent="0.2">
      <c r="A7210">
        <v>31518</v>
      </c>
      <c r="B7210">
        <v>5605623</v>
      </c>
      <c r="C7210" t="s">
        <v>10313</v>
      </c>
      <c r="D7210">
        <v>10</v>
      </c>
      <c r="E7210">
        <v>6</v>
      </c>
      <c r="F7210">
        <v>0</v>
      </c>
      <c r="G7210">
        <v>0</v>
      </c>
      <c r="H7210">
        <v>72</v>
      </c>
      <c r="I7210">
        <v>0</v>
      </c>
      <c r="J7210">
        <v>2.99</v>
      </c>
      <c r="K7210">
        <v>0</v>
      </c>
    </row>
    <row r="7211" spans="1:11" x14ac:dyDescent="0.2">
      <c r="B7211">
        <v>5605624</v>
      </c>
      <c r="C7211" t="s">
        <v>10314</v>
      </c>
      <c r="D7211">
        <v>11</v>
      </c>
      <c r="E7211">
        <v>6</v>
      </c>
      <c r="F7211">
        <v>0</v>
      </c>
      <c r="G7211">
        <v>0</v>
      </c>
      <c r="H7211">
        <v>72</v>
      </c>
      <c r="I7211">
        <v>0</v>
      </c>
      <c r="J7211">
        <v>5.49</v>
      </c>
      <c r="K7211">
        <v>0</v>
      </c>
    </row>
    <row r="7212" spans="1:11" x14ac:dyDescent="0.2">
      <c r="B7212">
        <v>5605625</v>
      </c>
      <c r="C7212" t="s">
        <v>10315</v>
      </c>
      <c r="D7212">
        <v>11</v>
      </c>
      <c r="E7212">
        <v>1</v>
      </c>
      <c r="F7212">
        <v>25</v>
      </c>
      <c r="G7212">
        <v>25</v>
      </c>
      <c r="H7212">
        <v>384</v>
      </c>
      <c r="I7212">
        <v>0.1</v>
      </c>
      <c r="J7212">
        <v>13.99</v>
      </c>
      <c r="K7212">
        <v>349.75</v>
      </c>
    </row>
    <row r="7213" spans="1:11" x14ac:dyDescent="0.2">
      <c r="B7213">
        <v>5605631</v>
      </c>
      <c r="C7213" t="s">
        <v>10316</v>
      </c>
      <c r="D7213">
        <v>11</v>
      </c>
      <c r="E7213">
        <v>1</v>
      </c>
      <c r="F7213">
        <v>0</v>
      </c>
      <c r="G7213">
        <v>0</v>
      </c>
      <c r="H7213">
        <v>320</v>
      </c>
      <c r="I7213">
        <v>0</v>
      </c>
      <c r="J7213">
        <v>14.99</v>
      </c>
      <c r="K7213">
        <v>0</v>
      </c>
    </row>
    <row r="7214" spans="1:11" x14ac:dyDescent="0.2">
      <c r="B7214">
        <v>5605633</v>
      </c>
      <c r="C7214" t="s">
        <v>10317</v>
      </c>
      <c r="D7214">
        <v>10</v>
      </c>
      <c r="E7214">
        <v>6</v>
      </c>
      <c r="F7214">
        <v>-56</v>
      </c>
      <c r="G7214">
        <v>-336</v>
      </c>
      <c r="H7214">
        <v>280</v>
      </c>
      <c r="I7214">
        <v>-0.2</v>
      </c>
      <c r="J7214">
        <v>1.99</v>
      </c>
      <c r="K7214">
        <v>-668.64</v>
      </c>
    </row>
    <row r="7215" spans="1:11" x14ac:dyDescent="0.2">
      <c r="B7215">
        <v>5605641</v>
      </c>
      <c r="C7215" t="s">
        <v>10318</v>
      </c>
      <c r="D7215">
        <v>11</v>
      </c>
      <c r="E7215">
        <v>6</v>
      </c>
      <c r="F7215">
        <v>0</v>
      </c>
      <c r="G7215">
        <v>0</v>
      </c>
      <c r="H7215">
        <v>105</v>
      </c>
      <c r="I7215">
        <v>0</v>
      </c>
      <c r="J7215">
        <v>4.49</v>
      </c>
      <c r="K7215">
        <v>0</v>
      </c>
    </row>
    <row r="7216" spans="1:11" x14ac:dyDescent="0.2">
      <c r="B7216">
        <v>5605642</v>
      </c>
      <c r="C7216" t="s">
        <v>10319</v>
      </c>
      <c r="D7216">
        <v>11</v>
      </c>
      <c r="E7216">
        <v>6</v>
      </c>
      <c r="F7216">
        <v>0</v>
      </c>
      <c r="G7216">
        <v>0</v>
      </c>
      <c r="H7216">
        <v>100</v>
      </c>
      <c r="I7216">
        <v>0</v>
      </c>
      <c r="J7216">
        <v>4</v>
      </c>
      <c r="K7216">
        <v>0</v>
      </c>
    </row>
    <row r="7217" spans="1:11" x14ac:dyDescent="0.2">
      <c r="A7217">
        <v>86027</v>
      </c>
      <c r="B7217">
        <v>5605644</v>
      </c>
      <c r="C7217" t="s">
        <v>10320</v>
      </c>
      <c r="D7217">
        <v>8</v>
      </c>
      <c r="E7217">
        <v>26</v>
      </c>
      <c r="F7217">
        <v>72</v>
      </c>
      <c r="G7217">
        <v>1872</v>
      </c>
      <c r="H7217">
        <v>24</v>
      </c>
      <c r="I7217">
        <v>3</v>
      </c>
      <c r="J7217">
        <v>1.29</v>
      </c>
      <c r="K7217">
        <v>2414.88</v>
      </c>
    </row>
    <row r="7218" spans="1:11" x14ac:dyDescent="0.2">
      <c r="A7218">
        <v>99710</v>
      </c>
      <c r="B7218">
        <v>5605645</v>
      </c>
      <c r="C7218" t="s">
        <v>10321</v>
      </c>
      <c r="D7218">
        <v>10</v>
      </c>
      <c r="E7218">
        <v>70</v>
      </c>
      <c r="F7218">
        <v>0</v>
      </c>
      <c r="G7218">
        <v>0</v>
      </c>
      <c r="H7218">
        <v>48</v>
      </c>
      <c r="I7218">
        <v>0</v>
      </c>
      <c r="J7218">
        <v>0.49</v>
      </c>
      <c r="K7218">
        <v>0</v>
      </c>
    </row>
    <row r="7219" spans="1:11" x14ac:dyDescent="0.2">
      <c r="A7219">
        <v>86021</v>
      </c>
      <c r="B7219">
        <v>5605646</v>
      </c>
      <c r="C7219" t="s">
        <v>10322</v>
      </c>
      <c r="D7219">
        <v>8</v>
      </c>
      <c r="E7219">
        <v>12</v>
      </c>
      <c r="F7219">
        <v>288</v>
      </c>
      <c r="G7219">
        <v>3456</v>
      </c>
      <c r="H7219">
        <v>24</v>
      </c>
      <c r="I7219">
        <v>12</v>
      </c>
      <c r="J7219">
        <v>1.85</v>
      </c>
      <c r="K7219">
        <v>6393.6</v>
      </c>
    </row>
    <row r="7220" spans="1:11" x14ac:dyDescent="0.2">
      <c r="A7220">
        <v>4637</v>
      </c>
      <c r="B7220">
        <v>5605652</v>
      </c>
      <c r="C7220" t="s">
        <v>10323</v>
      </c>
      <c r="D7220">
        <v>6</v>
      </c>
      <c r="E7220">
        <v>6</v>
      </c>
      <c r="F7220">
        <v>0</v>
      </c>
      <c r="G7220">
        <v>0</v>
      </c>
      <c r="H7220">
        <v>105</v>
      </c>
      <c r="I7220">
        <v>0</v>
      </c>
      <c r="J7220">
        <v>1.89</v>
      </c>
      <c r="K7220">
        <v>0</v>
      </c>
    </row>
    <row r="7221" spans="1:11" x14ac:dyDescent="0.2">
      <c r="A7221">
        <v>4638</v>
      </c>
      <c r="B7221">
        <v>5605653</v>
      </c>
      <c r="C7221" t="s">
        <v>10324</v>
      </c>
      <c r="D7221">
        <v>6</v>
      </c>
      <c r="E7221">
        <v>8</v>
      </c>
      <c r="F7221">
        <v>0</v>
      </c>
      <c r="G7221">
        <v>0</v>
      </c>
      <c r="H7221">
        <v>60</v>
      </c>
      <c r="I7221">
        <v>0</v>
      </c>
      <c r="J7221">
        <v>2.4900000000000002</v>
      </c>
      <c r="K7221">
        <v>0</v>
      </c>
    </row>
    <row r="7222" spans="1:11" x14ac:dyDescent="0.2">
      <c r="A7222">
        <v>4639</v>
      </c>
      <c r="B7222">
        <v>5605654</v>
      </c>
      <c r="C7222" t="s">
        <v>10325</v>
      </c>
      <c r="D7222">
        <v>6</v>
      </c>
      <c r="E7222">
        <v>8</v>
      </c>
      <c r="F7222">
        <v>0</v>
      </c>
      <c r="G7222">
        <v>0</v>
      </c>
      <c r="H7222">
        <v>60</v>
      </c>
      <c r="I7222">
        <v>0</v>
      </c>
      <c r="J7222">
        <v>2.4900000000000002</v>
      </c>
      <c r="K7222">
        <v>0</v>
      </c>
    </row>
    <row r="7223" spans="1:11" x14ac:dyDescent="0.2">
      <c r="A7223">
        <v>30645</v>
      </c>
      <c r="B7223">
        <v>5605655</v>
      </c>
      <c r="C7223" t="s">
        <v>10326</v>
      </c>
      <c r="D7223">
        <v>10</v>
      </c>
      <c r="E7223">
        <v>6</v>
      </c>
      <c r="F7223">
        <v>0</v>
      </c>
      <c r="G7223">
        <v>0</v>
      </c>
      <c r="H7223">
        <v>105</v>
      </c>
      <c r="I7223">
        <v>0</v>
      </c>
      <c r="J7223">
        <v>1</v>
      </c>
      <c r="K7223">
        <v>0</v>
      </c>
    </row>
    <row r="7224" spans="1:11" x14ac:dyDescent="0.2">
      <c r="A7224">
        <v>41608</v>
      </c>
      <c r="B7224">
        <v>5605656</v>
      </c>
      <c r="C7224" t="s">
        <v>10327</v>
      </c>
      <c r="D7224">
        <v>10</v>
      </c>
      <c r="E7224">
        <v>20</v>
      </c>
      <c r="F7224">
        <v>0</v>
      </c>
      <c r="G7224">
        <v>0</v>
      </c>
      <c r="H7224">
        <v>64</v>
      </c>
      <c r="I7224">
        <v>0</v>
      </c>
      <c r="J7224">
        <v>2.79</v>
      </c>
      <c r="K7224">
        <v>0</v>
      </c>
    </row>
    <row r="7225" spans="1:11" x14ac:dyDescent="0.2">
      <c r="A7225">
        <v>30502</v>
      </c>
      <c r="B7225">
        <v>5605657</v>
      </c>
      <c r="C7225" t="s">
        <v>10328</v>
      </c>
      <c r="D7225">
        <v>10</v>
      </c>
      <c r="E7225">
        <v>12</v>
      </c>
      <c r="F7225">
        <v>0</v>
      </c>
      <c r="G7225">
        <v>0</v>
      </c>
      <c r="H7225">
        <v>84</v>
      </c>
      <c r="I7225">
        <v>0</v>
      </c>
      <c r="J7225">
        <v>1.49</v>
      </c>
      <c r="K7225">
        <v>0</v>
      </c>
    </row>
    <row r="7226" spans="1:11" x14ac:dyDescent="0.2">
      <c r="A7226">
        <v>35570</v>
      </c>
      <c r="B7226">
        <v>5605661</v>
      </c>
      <c r="C7226" t="s">
        <v>10329</v>
      </c>
      <c r="D7226">
        <v>6</v>
      </c>
      <c r="E7226">
        <v>1</v>
      </c>
      <c r="F7226">
        <v>0</v>
      </c>
      <c r="G7226">
        <v>0</v>
      </c>
      <c r="H7226">
        <v>68</v>
      </c>
      <c r="I7226">
        <v>0</v>
      </c>
      <c r="J7226">
        <v>3</v>
      </c>
      <c r="K7226">
        <v>0</v>
      </c>
    </row>
    <row r="7227" spans="1:11" x14ac:dyDescent="0.2">
      <c r="A7227">
        <v>57622</v>
      </c>
      <c r="B7227">
        <v>5605665</v>
      </c>
      <c r="C7227" t="s">
        <v>10330</v>
      </c>
      <c r="D7227">
        <v>10</v>
      </c>
      <c r="E7227">
        <v>6</v>
      </c>
      <c r="F7227">
        <v>0</v>
      </c>
      <c r="G7227">
        <v>0</v>
      </c>
      <c r="H7227">
        <v>252</v>
      </c>
      <c r="I7227">
        <v>0</v>
      </c>
      <c r="J7227">
        <v>1.69</v>
      </c>
      <c r="K7227">
        <v>0</v>
      </c>
    </row>
    <row r="7228" spans="1:11" x14ac:dyDescent="0.2">
      <c r="A7228">
        <v>72195</v>
      </c>
      <c r="B7228">
        <v>5605666</v>
      </c>
      <c r="C7228" t="s">
        <v>10331</v>
      </c>
      <c r="D7228">
        <v>8</v>
      </c>
      <c r="E7228">
        <v>8</v>
      </c>
      <c r="F7228">
        <v>232</v>
      </c>
      <c r="G7228">
        <v>1856</v>
      </c>
      <c r="H7228">
        <v>132</v>
      </c>
      <c r="I7228">
        <v>1.8</v>
      </c>
      <c r="J7228">
        <v>2.99</v>
      </c>
      <c r="K7228">
        <v>5549.44</v>
      </c>
    </row>
    <row r="7229" spans="1:11" x14ac:dyDescent="0.2">
      <c r="A7229">
        <v>34512</v>
      </c>
      <c r="B7229">
        <v>5605667</v>
      </c>
      <c r="C7229" t="s">
        <v>10332</v>
      </c>
      <c r="D7229">
        <v>10</v>
      </c>
      <c r="E7229">
        <v>6</v>
      </c>
      <c r="F7229">
        <v>0</v>
      </c>
      <c r="G7229">
        <v>0</v>
      </c>
      <c r="H7229">
        <v>112</v>
      </c>
      <c r="I7229">
        <v>0</v>
      </c>
      <c r="J7229">
        <v>1.79</v>
      </c>
      <c r="K7229">
        <v>0</v>
      </c>
    </row>
    <row r="7230" spans="1:11" x14ac:dyDescent="0.2">
      <c r="B7230">
        <v>5605675</v>
      </c>
      <c r="C7230" t="s">
        <v>10333</v>
      </c>
      <c r="D7230">
        <v>11</v>
      </c>
      <c r="E7230">
        <v>4</v>
      </c>
      <c r="F7230">
        <v>0</v>
      </c>
      <c r="G7230">
        <v>0</v>
      </c>
      <c r="H7230">
        <v>90</v>
      </c>
      <c r="I7230">
        <v>0</v>
      </c>
      <c r="J7230">
        <v>2.19</v>
      </c>
      <c r="K7230">
        <v>0</v>
      </c>
    </row>
    <row r="7231" spans="1:11" x14ac:dyDescent="0.2">
      <c r="A7231">
        <v>86028</v>
      </c>
      <c r="B7231">
        <v>5605676</v>
      </c>
      <c r="C7231" t="s">
        <v>10334</v>
      </c>
      <c r="D7231">
        <v>8</v>
      </c>
      <c r="E7231">
        <v>96</v>
      </c>
      <c r="F7231">
        <v>144</v>
      </c>
      <c r="G7231">
        <v>13824</v>
      </c>
      <c r="H7231">
        <v>24</v>
      </c>
      <c r="I7231">
        <v>6</v>
      </c>
      <c r="J7231">
        <v>0.45</v>
      </c>
      <c r="K7231">
        <v>6220.8</v>
      </c>
    </row>
    <row r="7232" spans="1:11" x14ac:dyDescent="0.2">
      <c r="A7232">
        <v>72164</v>
      </c>
      <c r="B7232">
        <v>5605678</v>
      </c>
      <c r="C7232" t="s">
        <v>10335</v>
      </c>
      <c r="D7232">
        <v>8</v>
      </c>
      <c r="E7232">
        <v>8</v>
      </c>
      <c r="F7232">
        <v>566</v>
      </c>
      <c r="G7232">
        <v>4526</v>
      </c>
      <c r="H7232">
        <v>100</v>
      </c>
      <c r="I7232">
        <v>5.7</v>
      </c>
      <c r="J7232">
        <v>1.89</v>
      </c>
      <c r="K7232">
        <v>8554.14</v>
      </c>
    </row>
    <row r="7233" spans="1:11" x14ac:dyDescent="0.2">
      <c r="A7233">
        <v>57023</v>
      </c>
      <c r="B7233">
        <v>5605679</v>
      </c>
      <c r="C7233" t="s">
        <v>10336</v>
      </c>
      <c r="D7233">
        <v>11</v>
      </c>
      <c r="E7233">
        <v>6</v>
      </c>
      <c r="F7233">
        <v>0</v>
      </c>
      <c r="G7233">
        <v>0</v>
      </c>
      <c r="H7233">
        <v>90</v>
      </c>
      <c r="I7233">
        <v>0</v>
      </c>
      <c r="J7233">
        <v>1</v>
      </c>
      <c r="K7233">
        <v>0</v>
      </c>
    </row>
    <row r="7234" spans="1:11" x14ac:dyDescent="0.2">
      <c r="A7234">
        <v>1521</v>
      </c>
      <c r="B7234">
        <v>5605684</v>
      </c>
      <c r="C7234" t="s">
        <v>10337</v>
      </c>
      <c r="D7234">
        <v>6</v>
      </c>
      <c r="E7234">
        <v>6</v>
      </c>
      <c r="F7234">
        <v>0</v>
      </c>
      <c r="G7234">
        <v>0</v>
      </c>
      <c r="H7234">
        <v>112</v>
      </c>
      <c r="I7234">
        <v>0</v>
      </c>
      <c r="J7234">
        <v>2.4900000000000002</v>
      </c>
      <c r="K7234">
        <v>0</v>
      </c>
    </row>
    <row r="7235" spans="1:11" x14ac:dyDescent="0.2">
      <c r="A7235">
        <v>1522</v>
      </c>
      <c r="B7235">
        <v>5605685</v>
      </c>
      <c r="C7235" t="s">
        <v>10338</v>
      </c>
      <c r="D7235">
        <v>6</v>
      </c>
      <c r="E7235">
        <v>6</v>
      </c>
      <c r="F7235">
        <v>0</v>
      </c>
      <c r="G7235">
        <v>0</v>
      </c>
      <c r="H7235">
        <v>112</v>
      </c>
      <c r="I7235">
        <v>0</v>
      </c>
      <c r="J7235">
        <v>2.4900000000000002</v>
      </c>
      <c r="K7235">
        <v>0</v>
      </c>
    </row>
    <row r="7236" spans="1:11" x14ac:dyDescent="0.2">
      <c r="A7236">
        <v>66212</v>
      </c>
      <c r="B7236">
        <v>5605691</v>
      </c>
      <c r="C7236" t="s">
        <v>10339</v>
      </c>
      <c r="D7236">
        <v>8</v>
      </c>
      <c r="E7236">
        <v>20</v>
      </c>
      <c r="F7236">
        <v>120</v>
      </c>
      <c r="G7236">
        <v>2404</v>
      </c>
      <c r="H7236">
        <v>24</v>
      </c>
      <c r="I7236">
        <v>5</v>
      </c>
      <c r="J7236">
        <v>1.05</v>
      </c>
      <c r="K7236">
        <v>2524.1999999999998</v>
      </c>
    </row>
    <row r="7237" spans="1:11" x14ac:dyDescent="0.2">
      <c r="A7237">
        <v>84061</v>
      </c>
      <c r="B7237">
        <v>5605696</v>
      </c>
      <c r="C7237" t="s">
        <v>10340</v>
      </c>
      <c r="D7237">
        <v>8</v>
      </c>
      <c r="E7237">
        <v>6</v>
      </c>
      <c r="F7237">
        <v>266</v>
      </c>
      <c r="G7237">
        <v>1598</v>
      </c>
      <c r="H7237">
        <v>60</v>
      </c>
      <c r="I7237">
        <v>4.4000000000000004</v>
      </c>
      <c r="J7237">
        <v>1.99</v>
      </c>
      <c r="K7237">
        <v>3180.02</v>
      </c>
    </row>
    <row r="7238" spans="1:11" x14ac:dyDescent="0.2">
      <c r="A7238">
        <v>52612</v>
      </c>
      <c r="B7238">
        <v>5605699</v>
      </c>
      <c r="C7238" t="s">
        <v>10341</v>
      </c>
      <c r="D7238">
        <v>6</v>
      </c>
      <c r="E7238">
        <v>6</v>
      </c>
      <c r="F7238">
        <v>210</v>
      </c>
      <c r="G7238">
        <v>1260</v>
      </c>
      <c r="H7238">
        <v>105</v>
      </c>
      <c r="I7238">
        <v>2</v>
      </c>
      <c r="J7238">
        <v>2.99</v>
      </c>
      <c r="K7238">
        <v>3767.4</v>
      </c>
    </row>
    <row r="7239" spans="1:11" x14ac:dyDescent="0.2">
      <c r="B7239">
        <v>5605703</v>
      </c>
      <c r="C7239" t="s">
        <v>10342</v>
      </c>
      <c r="D7239">
        <v>11</v>
      </c>
      <c r="E7239">
        <v>1</v>
      </c>
      <c r="F7239">
        <v>0</v>
      </c>
      <c r="G7239">
        <v>0</v>
      </c>
      <c r="H7239">
        <v>288</v>
      </c>
      <c r="I7239">
        <v>0</v>
      </c>
      <c r="J7239">
        <v>9.99</v>
      </c>
      <c r="K7239">
        <v>0</v>
      </c>
    </row>
    <row r="7240" spans="1:11" x14ac:dyDescent="0.2">
      <c r="A7240">
        <v>52630</v>
      </c>
      <c r="B7240">
        <v>5605704</v>
      </c>
      <c r="C7240" t="s">
        <v>10343</v>
      </c>
      <c r="D7240">
        <v>6</v>
      </c>
      <c r="E7240">
        <v>8</v>
      </c>
      <c r="F7240">
        <v>3</v>
      </c>
      <c r="G7240">
        <v>24</v>
      </c>
      <c r="H7240">
        <v>20</v>
      </c>
      <c r="I7240">
        <v>0.2</v>
      </c>
      <c r="J7240">
        <v>1.99</v>
      </c>
      <c r="K7240">
        <v>47.76</v>
      </c>
    </row>
    <row r="7241" spans="1:11" x14ac:dyDescent="0.2">
      <c r="A7241">
        <v>66182</v>
      </c>
      <c r="B7241">
        <v>5605706</v>
      </c>
      <c r="C7241" t="s">
        <v>10344</v>
      </c>
      <c r="D7241">
        <v>8</v>
      </c>
      <c r="E7241">
        <v>18</v>
      </c>
      <c r="F7241">
        <v>428</v>
      </c>
      <c r="G7241">
        <v>7704</v>
      </c>
      <c r="H7241">
        <v>24</v>
      </c>
      <c r="I7241">
        <v>17.8</v>
      </c>
      <c r="J7241">
        <v>0.79</v>
      </c>
      <c r="K7241">
        <v>6086.16</v>
      </c>
    </row>
    <row r="7242" spans="1:11" x14ac:dyDescent="0.2">
      <c r="A7242">
        <v>40507</v>
      </c>
      <c r="B7242">
        <v>5605708</v>
      </c>
      <c r="C7242" t="s">
        <v>10345</v>
      </c>
      <c r="D7242">
        <v>10</v>
      </c>
      <c r="E7242">
        <v>4</v>
      </c>
      <c r="F7242">
        <v>3</v>
      </c>
      <c r="G7242">
        <v>12</v>
      </c>
      <c r="H7242">
        <v>120</v>
      </c>
      <c r="I7242">
        <v>0</v>
      </c>
      <c r="J7242">
        <v>2.99</v>
      </c>
      <c r="K7242">
        <v>35.880000000000003</v>
      </c>
    </row>
    <row r="7243" spans="1:11" x14ac:dyDescent="0.2">
      <c r="A7243">
        <v>35530</v>
      </c>
      <c r="B7243">
        <v>5605714</v>
      </c>
      <c r="C7243" t="s">
        <v>10346</v>
      </c>
      <c r="D7243">
        <v>10</v>
      </c>
      <c r="E7243">
        <v>6</v>
      </c>
      <c r="F7243">
        <v>0</v>
      </c>
      <c r="G7243">
        <v>0</v>
      </c>
      <c r="H7243">
        <v>80</v>
      </c>
      <c r="I7243">
        <v>0</v>
      </c>
      <c r="J7243">
        <v>2.69</v>
      </c>
      <c r="K7243">
        <v>0</v>
      </c>
    </row>
    <row r="7244" spans="1:11" x14ac:dyDescent="0.2">
      <c r="A7244">
        <v>43644</v>
      </c>
      <c r="B7244">
        <v>5605731</v>
      </c>
      <c r="C7244" t="s">
        <v>10347</v>
      </c>
      <c r="D7244">
        <v>10</v>
      </c>
      <c r="E7244">
        <v>6</v>
      </c>
      <c r="F7244">
        <v>1</v>
      </c>
      <c r="G7244">
        <v>6</v>
      </c>
      <c r="H7244">
        <v>105</v>
      </c>
      <c r="I7244">
        <v>0</v>
      </c>
      <c r="J7244">
        <v>2</v>
      </c>
      <c r="K7244">
        <v>12</v>
      </c>
    </row>
    <row r="7245" spans="1:11" x14ac:dyDescent="0.2">
      <c r="A7245">
        <v>4640</v>
      </c>
      <c r="B7245">
        <v>5605732</v>
      </c>
      <c r="C7245" t="s">
        <v>10348</v>
      </c>
      <c r="D7245">
        <v>6</v>
      </c>
      <c r="E7245">
        <v>6</v>
      </c>
      <c r="F7245">
        <v>0</v>
      </c>
      <c r="G7245">
        <v>0</v>
      </c>
      <c r="H7245">
        <v>105</v>
      </c>
      <c r="I7245">
        <v>0</v>
      </c>
      <c r="J7245">
        <v>2.29</v>
      </c>
      <c r="K7245">
        <v>0</v>
      </c>
    </row>
    <row r="7246" spans="1:11" x14ac:dyDescent="0.2">
      <c r="B7246">
        <v>5605733</v>
      </c>
      <c r="C7246" t="s">
        <v>10349</v>
      </c>
      <c r="D7246">
        <v>11</v>
      </c>
      <c r="E7246">
        <v>9</v>
      </c>
      <c r="F7246">
        <v>0</v>
      </c>
      <c r="G7246">
        <v>0</v>
      </c>
      <c r="H7246">
        <v>75</v>
      </c>
      <c r="I7246">
        <v>0</v>
      </c>
      <c r="J7246">
        <v>1</v>
      </c>
      <c r="K7246">
        <v>0</v>
      </c>
    </row>
    <row r="7247" spans="1:11" x14ac:dyDescent="0.2">
      <c r="A7247">
        <v>30633</v>
      </c>
      <c r="B7247">
        <v>5605734</v>
      </c>
      <c r="C7247" t="s">
        <v>10350</v>
      </c>
      <c r="D7247">
        <v>10</v>
      </c>
      <c r="E7247">
        <v>9</v>
      </c>
      <c r="F7247">
        <v>0</v>
      </c>
      <c r="G7247">
        <v>0</v>
      </c>
      <c r="H7247">
        <v>75</v>
      </c>
      <c r="I7247">
        <v>0</v>
      </c>
      <c r="J7247">
        <v>3.29</v>
      </c>
      <c r="K7247">
        <v>0</v>
      </c>
    </row>
    <row r="7248" spans="1:11" x14ac:dyDescent="0.2">
      <c r="A7248">
        <v>1518</v>
      </c>
      <c r="B7248">
        <v>5605736</v>
      </c>
      <c r="C7248" t="s">
        <v>10351</v>
      </c>
      <c r="D7248">
        <v>6</v>
      </c>
      <c r="E7248">
        <v>4</v>
      </c>
      <c r="F7248">
        <v>1</v>
      </c>
      <c r="G7248">
        <v>4</v>
      </c>
      <c r="H7248">
        <v>108</v>
      </c>
      <c r="I7248">
        <v>0</v>
      </c>
      <c r="J7248">
        <v>3.99</v>
      </c>
      <c r="K7248">
        <v>15.96</v>
      </c>
    </row>
    <row r="7249" spans="1:11" x14ac:dyDescent="0.2">
      <c r="A7249">
        <v>1519</v>
      </c>
      <c r="B7249">
        <v>5605737</v>
      </c>
      <c r="C7249" t="s">
        <v>10352</v>
      </c>
      <c r="D7249">
        <v>6</v>
      </c>
      <c r="E7249">
        <v>4</v>
      </c>
      <c r="F7249">
        <v>12</v>
      </c>
      <c r="G7249">
        <v>48</v>
      </c>
      <c r="H7249">
        <v>80</v>
      </c>
      <c r="I7249">
        <v>0.2</v>
      </c>
      <c r="J7249">
        <v>5.99</v>
      </c>
      <c r="K7249">
        <v>287.52</v>
      </c>
    </row>
    <row r="7250" spans="1:11" x14ac:dyDescent="0.2">
      <c r="A7250">
        <v>31519</v>
      </c>
      <c r="B7250">
        <v>5605738</v>
      </c>
      <c r="C7250" t="s">
        <v>10353</v>
      </c>
      <c r="D7250">
        <v>10</v>
      </c>
      <c r="E7250">
        <v>8</v>
      </c>
      <c r="F7250">
        <v>0</v>
      </c>
      <c r="G7250">
        <v>0</v>
      </c>
      <c r="H7250">
        <v>128</v>
      </c>
      <c r="I7250">
        <v>0</v>
      </c>
      <c r="J7250">
        <v>2.4900000000000002</v>
      </c>
      <c r="K7250">
        <v>0</v>
      </c>
    </row>
    <row r="7251" spans="1:11" x14ac:dyDescent="0.2">
      <c r="A7251">
        <v>1520</v>
      </c>
      <c r="B7251">
        <v>5605739</v>
      </c>
      <c r="C7251" t="s">
        <v>10354</v>
      </c>
      <c r="D7251">
        <v>6</v>
      </c>
      <c r="E7251">
        <v>4</v>
      </c>
      <c r="F7251">
        <v>-4</v>
      </c>
      <c r="G7251">
        <v>-16</v>
      </c>
      <c r="H7251">
        <v>108</v>
      </c>
      <c r="I7251">
        <v>0</v>
      </c>
      <c r="J7251">
        <v>3.99</v>
      </c>
      <c r="K7251">
        <v>-63.84</v>
      </c>
    </row>
    <row r="7252" spans="1:11" x14ac:dyDescent="0.2">
      <c r="B7252">
        <v>5605740</v>
      </c>
      <c r="C7252" t="s">
        <v>10355</v>
      </c>
      <c r="D7252">
        <v>11</v>
      </c>
      <c r="E7252">
        <v>1</v>
      </c>
      <c r="F7252">
        <v>0</v>
      </c>
      <c r="G7252">
        <v>0</v>
      </c>
      <c r="H7252">
        <v>384</v>
      </c>
      <c r="I7252">
        <v>0</v>
      </c>
      <c r="J7252">
        <v>12.99</v>
      </c>
      <c r="K7252">
        <v>0</v>
      </c>
    </row>
    <row r="7253" spans="1:11" x14ac:dyDescent="0.2">
      <c r="B7253">
        <v>5605741</v>
      </c>
      <c r="C7253" t="s">
        <v>10356</v>
      </c>
      <c r="D7253">
        <v>11</v>
      </c>
      <c r="E7253">
        <v>12</v>
      </c>
      <c r="F7253">
        <v>0</v>
      </c>
      <c r="G7253">
        <v>0</v>
      </c>
      <c r="H7253">
        <v>98</v>
      </c>
      <c r="I7253">
        <v>0</v>
      </c>
      <c r="J7253">
        <v>0.5</v>
      </c>
      <c r="K7253">
        <v>0</v>
      </c>
    </row>
    <row r="7254" spans="1:11" x14ac:dyDescent="0.2">
      <c r="B7254">
        <v>5605742</v>
      </c>
      <c r="C7254" t="s">
        <v>10357</v>
      </c>
      <c r="D7254">
        <v>11</v>
      </c>
      <c r="E7254">
        <v>12</v>
      </c>
      <c r="F7254">
        <v>0</v>
      </c>
      <c r="G7254">
        <v>0</v>
      </c>
      <c r="H7254">
        <v>98</v>
      </c>
      <c r="I7254">
        <v>0</v>
      </c>
      <c r="J7254">
        <v>1.89</v>
      </c>
      <c r="K7254">
        <v>0</v>
      </c>
    </row>
    <row r="7255" spans="1:11" x14ac:dyDescent="0.2">
      <c r="B7255">
        <v>5605743</v>
      </c>
      <c r="C7255" t="s">
        <v>10358</v>
      </c>
      <c r="D7255">
        <v>11</v>
      </c>
      <c r="E7255">
        <v>12</v>
      </c>
      <c r="F7255">
        <v>0</v>
      </c>
      <c r="G7255">
        <v>0</v>
      </c>
      <c r="H7255">
        <v>98</v>
      </c>
      <c r="I7255">
        <v>0</v>
      </c>
      <c r="J7255">
        <v>0.5</v>
      </c>
      <c r="K7255">
        <v>0</v>
      </c>
    </row>
    <row r="7256" spans="1:11" x14ac:dyDescent="0.2">
      <c r="B7256">
        <v>5605744</v>
      </c>
      <c r="C7256" t="s">
        <v>10359</v>
      </c>
      <c r="D7256">
        <v>11</v>
      </c>
      <c r="E7256">
        <v>12</v>
      </c>
      <c r="F7256">
        <v>0</v>
      </c>
      <c r="G7256">
        <v>0</v>
      </c>
      <c r="H7256">
        <v>98</v>
      </c>
      <c r="I7256">
        <v>0</v>
      </c>
      <c r="J7256">
        <v>0.5</v>
      </c>
      <c r="K7256">
        <v>0</v>
      </c>
    </row>
    <row r="7257" spans="1:11" x14ac:dyDescent="0.2">
      <c r="B7257">
        <v>5605745</v>
      </c>
      <c r="C7257" t="s">
        <v>10360</v>
      </c>
      <c r="D7257">
        <v>11</v>
      </c>
      <c r="E7257">
        <v>12</v>
      </c>
      <c r="F7257">
        <v>0</v>
      </c>
      <c r="G7257">
        <v>0</v>
      </c>
      <c r="H7257">
        <v>98</v>
      </c>
      <c r="I7257">
        <v>0</v>
      </c>
      <c r="J7257">
        <v>0.5</v>
      </c>
      <c r="K7257">
        <v>0</v>
      </c>
    </row>
    <row r="7258" spans="1:11" x14ac:dyDescent="0.2">
      <c r="B7258">
        <v>5605746</v>
      </c>
      <c r="C7258" t="s">
        <v>10361</v>
      </c>
      <c r="D7258">
        <v>11</v>
      </c>
      <c r="E7258">
        <v>12</v>
      </c>
      <c r="F7258">
        <v>0</v>
      </c>
      <c r="G7258">
        <v>0</v>
      </c>
      <c r="H7258">
        <v>120</v>
      </c>
      <c r="I7258">
        <v>0</v>
      </c>
      <c r="J7258">
        <v>1.19</v>
      </c>
      <c r="K7258">
        <v>0</v>
      </c>
    </row>
    <row r="7259" spans="1:11" x14ac:dyDescent="0.2">
      <c r="A7259">
        <v>29520</v>
      </c>
      <c r="B7259">
        <v>5605748</v>
      </c>
      <c r="C7259" t="s">
        <v>10362</v>
      </c>
      <c r="D7259">
        <v>10</v>
      </c>
      <c r="E7259">
        <v>6</v>
      </c>
      <c r="F7259">
        <v>0</v>
      </c>
      <c r="G7259">
        <v>0</v>
      </c>
      <c r="H7259">
        <v>288</v>
      </c>
      <c r="I7259">
        <v>0</v>
      </c>
      <c r="J7259">
        <v>1.79</v>
      </c>
      <c r="K7259">
        <v>0</v>
      </c>
    </row>
    <row r="7260" spans="1:11" x14ac:dyDescent="0.2">
      <c r="A7260">
        <v>26519</v>
      </c>
      <c r="B7260">
        <v>5605749</v>
      </c>
      <c r="C7260" t="s">
        <v>10363</v>
      </c>
      <c r="D7260">
        <v>10</v>
      </c>
      <c r="E7260">
        <v>6</v>
      </c>
      <c r="F7260">
        <v>0</v>
      </c>
      <c r="G7260">
        <v>0</v>
      </c>
      <c r="H7260">
        <v>288</v>
      </c>
      <c r="I7260">
        <v>0</v>
      </c>
      <c r="J7260">
        <v>1.79</v>
      </c>
      <c r="K7260">
        <v>0</v>
      </c>
    </row>
    <row r="7261" spans="1:11" x14ac:dyDescent="0.2">
      <c r="B7261">
        <v>5605750</v>
      </c>
      <c r="C7261" t="s">
        <v>10364</v>
      </c>
      <c r="D7261">
        <v>11</v>
      </c>
      <c r="E7261">
        <v>6</v>
      </c>
      <c r="F7261">
        <v>0</v>
      </c>
      <c r="G7261">
        <v>0</v>
      </c>
      <c r="H7261">
        <v>80</v>
      </c>
      <c r="I7261">
        <v>0</v>
      </c>
      <c r="J7261">
        <v>12</v>
      </c>
      <c r="K7261">
        <v>0</v>
      </c>
    </row>
    <row r="7262" spans="1:11" x14ac:dyDescent="0.2">
      <c r="B7262">
        <v>5605760</v>
      </c>
      <c r="C7262" t="s">
        <v>10365</v>
      </c>
      <c r="D7262">
        <v>11</v>
      </c>
      <c r="E7262">
        <v>6</v>
      </c>
      <c r="F7262">
        <v>0</v>
      </c>
      <c r="G7262">
        <v>0</v>
      </c>
      <c r="H7262">
        <v>160</v>
      </c>
      <c r="I7262">
        <v>0</v>
      </c>
      <c r="J7262">
        <v>2.4900000000000002</v>
      </c>
      <c r="K7262">
        <v>0</v>
      </c>
    </row>
    <row r="7263" spans="1:11" x14ac:dyDescent="0.2">
      <c r="A7263">
        <v>85140</v>
      </c>
      <c r="B7263">
        <v>5605761</v>
      </c>
      <c r="C7263" t="s">
        <v>10366</v>
      </c>
      <c r="D7263">
        <v>10</v>
      </c>
      <c r="E7263">
        <v>4</v>
      </c>
      <c r="F7263">
        <v>0</v>
      </c>
      <c r="G7263">
        <v>0</v>
      </c>
      <c r="H7263">
        <v>96</v>
      </c>
      <c r="I7263">
        <v>0</v>
      </c>
      <c r="J7263">
        <v>3.99</v>
      </c>
      <c r="K7263">
        <v>0</v>
      </c>
    </row>
    <row r="7264" spans="1:11" x14ac:dyDescent="0.2">
      <c r="A7264">
        <v>32509</v>
      </c>
      <c r="B7264">
        <v>5605762</v>
      </c>
      <c r="C7264" t="s">
        <v>10367</v>
      </c>
      <c r="D7264">
        <v>10</v>
      </c>
      <c r="E7264">
        <v>8</v>
      </c>
      <c r="F7264">
        <v>0</v>
      </c>
      <c r="G7264">
        <v>0</v>
      </c>
      <c r="H7264">
        <v>60</v>
      </c>
      <c r="I7264">
        <v>0</v>
      </c>
      <c r="J7264">
        <v>3.49</v>
      </c>
      <c r="K7264">
        <v>0</v>
      </c>
    </row>
    <row r="7265" spans="1:12" x14ac:dyDescent="0.2">
      <c r="A7265">
        <v>32510</v>
      </c>
      <c r="B7265">
        <v>5605763</v>
      </c>
      <c r="C7265" t="s">
        <v>10368</v>
      </c>
      <c r="D7265">
        <v>10</v>
      </c>
      <c r="E7265">
        <v>8</v>
      </c>
      <c r="F7265">
        <v>0</v>
      </c>
      <c r="G7265">
        <v>0</v>
      </c>
      <c r="H7265">
        <v>60</v>
      </c>
      <c r="I7265">
        <v>0</v>
      </c>
      <c r="J7265">
        <v>3.49</v>
      </c>
      <c r="K7265">
        <v>0</v>
      </c>
    </row>
    <row r="7266" spans="1:12" x14ac:dyDescent="0.2">
      <c r="B7266">
        <v>5605764</v>
      </c>
      <c r="C7266" t="s">
        <v>10369</v>
      </c>
      <c r="D7266">
        <v>12</v>
      </c>
      <c r="E7266">
        <v>12</v>
      </c>
      <c r="F7266">
        <v>0</v>
      </c>
      <c r="G7266">
        <v>0</v>
      </c>
      <c r="H7266">
        <v>112</v>
      </c>
      <c r="I7266">
        <v>0</v>
      </c>
      <c r="J7266">
        <v>0.5</v>
      </c>
      <c r="K7266">
        <v>0</v>
      </c>
      <c r="L7266" t="s">
        <v>3699</v>
      </c>
    </row>
    <row r="7267" spans="1:12" x14ac:dyDescent="0.2">
      <c r="A7267">
        <v>45658</v>
      </c>
      <c r="B7267">
        <v>5605766</v>
      </c>
      <c r="C7267" t="s">
        <v>10370</v>
      </c>
      <c r="D7267">
        <v>10</v>
      </c>
      <c r="E7267">
        <v>90</v>
      </c>
      <c r="F7267">
        <v>-1</v>
      </c>
      <c r="G7267">
        <v>-90</v>
      </c>
      <c r="H7267">
        <v>4</v>
      </c>
      <c r="I7267">
        <v>-0.3</v>
      </c>
      <c r="J7267">
        <v>2.99</v>
      </c>
      <c r="K7267">
        <v>-269.10000000000002</v>
      </c>
    </row>
    <row r="7268" spans="1:12" x14ac:dyDescent="0.2">
      <c r="A7268">
        <v>43642</v>
      </c>
      <c r="B7268">
        <v>5605769</v>
      </c>
      <c r="C7268" t="s">
        <v>10371</v>
      </c>
      <c r="D7268">
        <v>10</v>
      </c>
      <c r="E7268">
        <v>6</v>
      </c>
      <c r="F7268">
        <v>0</v>
      </c>
      <c r="G7268">
        <v>0</v>
      </c>
      <c r="H7268">
        <v>63</v>
      </c>
      <c r="I7268">
        <v>0</v>
      </c>
      <c r="J7268">
        <v>1.39</v>
      </c>
      <c r="K7268">
        <v>0</v>
      </c>
    </row>
    <row r="7269" spans="1:12" x14ac:dyDescent="0.2">
      <c r="B7269">
        <v>5605771</v>
      </c>
      <c r="C7269" t="s">
        <v>10372</v>
      </c>
      <c r="D7269">
        <v>11</v>
      </c>
      <c r="E7269">
        <v>8</v>
      </c>
      <c r="F7269">
        <v>4</v>
      </c>
      <c r="G7269">
        <v>32</v>
      </c>
      <c r="H7269">
        <v>120</v>
      </c>
      <c r="I7269">
        <v>0</v>
      </c>
      <c r="J7269">
        <v>0.99</v>
      </c>
      <c r="K7269">
        <v>31.68</v>
      </c>
    </row>
    <row r="7270" spans="1:12" x14ac:dyDescent="0.2">
      <c r="A7270">
        <v>28524</v>
      </c>
      <c r="B7270">
        <v>5605777</v>
      </c>
      <c r="C7270" t="s">
        <v>10373</v>
      </c>
      <c r="D7270">
        <v>10</v>
      </c>
      <c r="E7270">
        <v>4</v>
      </c>
      <c r="F7270">
        <v>0</v>
      </c>
      <c r="G7270">
        <v>0</v>
      </c>
      <c r="H7270">
        <v>77</v>
      </c>
      <c r="I7270">
        <v>0</v>
      </c>
      <c r="J7270">
        <v>5.99</v>
      </c>
      <c r="K7270">
        <v>0</v>
      </c>
    </row>
    <row r="7271" spans="1:12" x14ac:dyDescent="0.2">
      <c r="A7271">
        <v>29521</v>
      </c>
      <c r="B7271">
        <v>5605778</v>
      </c>
      <c r="C7271" t="s">
        <v>10374</v>
      </c>
      <c r="D7271">
        <v>10</v>
      </c>
      <c r="E7271">
        <v>4</v>
      </c>
      <c r="F7271">
        <v>0</v>
      </c>
      <c r="G7271">
        <v>0</v>
      </c>
      <c r="H7271">
        <v>77</v>
      </c>
      <c r="I7271">
        <v>0</v>
      </c>
      <c r="J7271">
        <v>4.99</v>
      </c>
      <c r="K7271">
        <v>0</v>
      </c>
    </row>
    <row r="7272" spans="1:12" x14ac:dyDescent="0.2">
      <c r="A7272">
        <v>28523</v>
      </c>
      <c r="B7272">
        <v>5605779</v>
      </c>
      <c r="C7272" t="s">
        <v>10375</v>
      </c>
      <c r="D7272">
        <v>10</v>
      </c>
      <c r="E7272">
        <v>4</v>
      </c>
      <c r="F7272">
        <v>0</v>
      </c>
      <c r="G7272">
        <v>0</v>
      </c>
      <c r="H7272">
        <v>77</v>
      </c>
      <c r="I7272">
        <v>0</v>
      </c>
      <c r="J7272">
        <v>5.49</v>
      </c>
      <c r="K7272">
        <v>0</v>
      </c>
    </row>
    <row r="7273" spans="1:12" x14ac:dyDescent="0.2">
      <c r="B7273">
        <v>5605780</v>
      </c>
      <c r="C7273" t="s">
        <v>10376</v>
      </c>
      <c r="D7273">
        <v>11</v>
      </c>
      <c r="E7273">
        <v>4</v>
      </c>
      <c r="F7273">
        <v>0</v>
      </c>
      <c r="G7273">
        <v>0</v>
      </c>
      <c r="H7273">
        <v>66</v>
      </c>
      <c r="I7273">
        <v>0</v>
      </c>
      <c r="J7273">
        <v>4.99</v>
      </c>
      <c r="K7273">
        <v>0</v>
      </c>
    </row>
    <row r="7274" spans="1:12" x14ac:dyDescent="0.2">
      <c r="B7274">
        <v>5605785</v>
      </c>
      <c r="C7274" t="s">
        <v>10377</v>
      </c>
      <c r="D7274">
        <v>6</v>
      </c>
      <c r="E7274">
        <v>15</v>
      </c>
      <c r="F7274">
        <v>0</v>
      </c>
      <c r="G7274">
        <v>0</v>
      </c>
      <c r="H7274">
        <v>60</v>
      </c>
      <c r="I7274">
        <v>0</v>
      </c>
      <c r="J7274">
        <v>1.49</v>
      </c>
      <c r="K7274">
        <v>0</v>
      </c>
    </row>
    <row r="7275" spans="1:12" x14ac:dyDescent="0.2">
      <c r="A7275">
        <v>43531</v>
      </c>
      <c r="B7275">
        <v>5605786</v>
      </c>
      <c r="C7275" t="s">
        <v>10378</v>
      </c>
      <c r="D7275">
        <v>10</v>
      </c>
      <c r="E7275">
        <v>5</v>
      </c>
      <c r="F7275">
        <v>-21</v>
      </c>
      <c r="G7275">
        <v>-105</v>
      </c>
      <c r="H7275">
        <v>112</v>
      </c>
      <c r="I7275">
        <v>-0.2</v>
      </c>
      <c r="J7275">
        <v>3.99</v>
      </c>
      <c r="K7275">
        <v>-418.95</v>
      </c>
    </row>
    <row r="7276" spans="1:12" x14ac:dyDescent="0.2">
      <c r="B7276">
        <v>5605787</v>
      </c>
      <c r="C7276" t="s">
        <v>10379</v>
      </c>
      <c r="D7276">
        <v>11</v>
      </c>
      <c r="E7276">
        <v>5</v>
      </c>
      <c r="F7276">
        <v>0</v>
      </c>
      <c r="G7276">
        <v>0</v>
      </c>
      <c r="H7276">
        <v>112</v>
      </c>
      <c r="I7276">
        <v>0</v>
      </c>
      <c r="J7276">
        <v>3.99</v>
      </c>
      <c r="K7276">
        <v>0</v>
      </c>
    </row>
    <row r="7277" spans="1:12" x14ac:dyDescent="0.2">
      <c r="B7277">
        <v>5605789</v>
      </c>
      <c r="C7277" t="s">
        <v>10380</v>
      </c>
      <c r="D7277">
        <v>11</v>
      </c>
      <c r="E7277">
        <v>1</v>
      </c>
      <c r="F7277">
        <v>0</v>
      </c>
      <c r="G7277">
        <v>0</v>
      </c>
      <c r="H7277">
        <v>480</v>
      </c>
      <c r="I7277">
        <v>0</v>
      </c>
      <c r="J7277">
        <v>3.49</v>
      </c>
      <c r="K7277">
        <v>0</v>
      </c>
    </row>
    <row r="7278" spans="1:12" x14ac:dyDescent="0.2">
      <c r="B7278">
        <v>5605796</v>
      </c>
      <c r="C7278" t="s">
        <v>10381</v>
      </c>
      <c r="D7278">
        <v>6</v>
      </c>
      <c r="E7278">
        <v>1</v>
      </c>
      <c r="F7278">
        <v>0</v>
      </c>
      <c r="G7278">
        <v>0</v>
      </c>
      <c r="H7278">
        <v>720</v>
      </c>
      <c r="I7278">
        <v>0</v>
      </c>
      <c r="J7278">
        <v>3.99</v>
      </c>
      <c r="K7278">
        <v>0</v>
      </c>
    </row>
    <row r="7279" spans="1:12" x14ac:dyDescent="0.2">
      <c r="A7279">
        <v>91114</v>
      </c>
      <c r="B7279">
        <v>5605797</v>
      </c>
      <c r="C7279" t="s">
        <v>10382</v>
      </c>
      <c r="D7279">
        <v>8</v>
      </c>
      <c r="E7279">
        <v>1</v>
      </c>
      <c r="F7279">
        <v>408</v>
      </c>
      <c r="G7279">
        <v>408</v>
      </c>
      <c r="H7279">
        <v>720</v>
      </c>
      <c r="I7279">
        <v>0.6</v>
      </c>
      <c r="J7279">
        <v>3.35</v>
      </c>
      <c r="K7279">
        <v>1366.8</v>
      </c>
    </row>
    <row r="7280" spans="1:12" x14ac:dyDescent="0.2">
      <c r="B7280">
        <v>5605800</v>
      </c>
      <c r="C7280" t="s">
        <v>10383</v>
      </c>
      <c r="D7280">
        <v>11</v>
      </c>
      <c r="E7280">
        <v>1</v>
      </c>
      <c r="F7280">
        <v>0</v>
      </c>
      <c r="G7280">
        <v>0</v>
      </c>
      <c r="H7280">
        <v>288</v>
      </c>
      <c r="I7280">
        <v>0</v>
      </c>
      <c r="J7280">
        <v>5.95</v>
      </c>
      <c r="K7280">
        <v>0</v>
      </c>
    </row>
    <row r="7281" spans="1:12" x14ac:dyDescent="0.2">
      <c r="B7281">
        <v>5605801</v>
      </c>
      <c r="C7281" t="s">
        <v>10384</v>
      </c>
      <c r="D7281">
        <v>11</v>
      </c>
      <c r="E7281">
        <v>1</v>
      </c>
      <c r="F7281">
        <v>0</v>
      </c>
      <c r="G7281">
        <v>0</v>
      </c>
      <c r="H7281">
        <v>288</v>
      </c>
      <c r="I7281">
        <v>0</v>
      </c>
      <c r="J7281">
        <v>6.35</v>
      </c>
      <c r="K7281">
        <v>0</v>
      </c>
    </row>
    <row r="7282" spans="1:12" x14ac:dyDescent="0.2">
      <c r="A7282">
        <v>91464</v>
      </c>
      <c r="B7282">
        <v>5605803</v>
      </c>
      <c r="C7282" t="s">
        <v>10385</v>
      </c>
      <c r="D7282">
        <v>11</v>
      </c>
      <c r="E7282">
        <v>1</v>
      </c>
      <c r="F7282">
        <v>0</v>
      </c>
      <c r="G7282">
        <v>0</v>
      </c>
      <c r="H7282">
        <v>720</v>
      </c>
      <c r="I7282">
        <v>0</v>
      </c>
      <c r="J7282">
        <v>2.99</v>
      </c>
      <c r="K7282">
        <v>0</v>
      </c>
    </row>
    <row r="7283" spans="1:12" x14ac:dyDescent="0.2">
      <c r="A7283">
        <v>57623</v>
      </c>
      <c r="B7283">
        <v>5605804</v>
      </c>
      <c r="C7283" t="s">
        <v>10386</v>
      </c>
      <c r="D7283">
        <v>10</v>
      </c>
      <c r="E7283">
        <v>8</v>
      </c>
      <c r="F7283">
        <v>10</v>
      </c>
      <c r="G7283">
        <v>81</v>
      </c>
      <c r="H7283">
        <v>56</v>
      </c>
      <c r="I7283">
        <v>0.2</v>
      </c>
      <c r="J7283">
        <v>2.4900000000000002</v>
      </c>
      <c r="K7283">
        <v>201.69</v>
      </c>
    </row>
    <row r="7284" spans="1:12" x14ac:dyDescent="0.2">
      <c r="A7284">
        <v>76114</v>
      </c>
      <c r="B7284">
        <v>5605807</v>
      </c>
      <c r="C7284" t="s">
        <v>10387</v>
      </c>
      <c r="D7284">
        <v>8</v>
      </c>
      <c r="E7284">
        <v>16</v>
      </c>
      <c r="F7284">
        <v>339</v>
      </c>
      <c r="G7284">
        <v>5424</v>
      </c>
      <c r="H7284">
        <v>24</v>
      </c>
      <c r="I7284">
        <v>14.1</v>
      </c>
      <c r="J7284">
        <v>1.29</v>
      </c>
      <c r="K7284">
        <v>6996.96</v>
      </c>
    </row>
    <row r="7285" spans="1:12" x14ac:dyDescent="0.2">
      <c r="A7285">
        <v>31647</v>
      </c>
      <c r="B7285">
        <v>5605813</v>
      </c>
      <c r="C7285" t="s">
        <v>10388</v>
      </c>
      <c r="D7285">
        <v>12</v>
      </c>
      <c r="E7285">
        <v>6</v>
      </c>
      <c r="F7285">
        <v>0</v>
      </c>
      <c r="G7285">
        <v>0</v>
      </c>
      <c r="H7285">
        <v>100</v>
      </c>
      <c r="I7285">
        <v>0</v>
      </c>
      <c r="J7285">
        <v>2</v>
      </c>
      <c r="K7285">
        <v>0</v>
      </c>
      <c r="L7285" t="s">
        <v>3699</v>
      </c>
    </row>
    <row r="7286" spans="1:12" x14ac:dyDescent="0.2">
      <c r="B7286">
        <v>5605825</v>
      </c>
      <c r="C7286" t="s">
        <v>10389</v>
      </c>
      <c r="D7286">
        <v>11</v>
      </c>
      <c r="E7286">
        <v>1</v>
      </c>
      <c r="F7286">
        <v>0</v>
      </c>
      <c r="G7286">
        <v>0</v>
      </c>
      <c r="H7286">
        <v>4800</v>
      </c>
      <c r="I7286">
        <v>0</v>
      </c>
      <c r="J7286">
        <v>3.29</v>
      </c>
      <c r="K7286">
        <v>0</v>
      </c>
    </row>
    <row r="7287" spans="1:12" x14ac:dyDescent="0.2">
      <c r="A7287">
        <v>57561</v>
      </c>
      <c r="B7287">
        <v>5605832</v>
      </c>
      <c r="C7287" t="s">
        <v>10390</v>
      </c>
      <c r="D7287">
        <v>10</v>
      </c>
      <c r="E7287">
        <v>6</v>
      </c>
      <c r="F7287">
        <v>32</v>
      </c>
      <c r="G7287">
        <v>194</v>
      </c>
      <c r="H7287">
        <v>150</v>
      </c>
      <c r="I7287">
        <v>0.2</v>
      </c>
      <c r="J7287">
        <v>0.5</v>
      </c>
      <c r="K7287">
        <v>97</v>
      </c>
    </row>
    <row r="7288" spans="1:12" x14ac:dyDescent="0.2">
      <c r="A7288">
        <v>57562</v>
      </c>
      <c r="B7288">
        <v>5605834</v>
      </c>
      <c r="C7288" t="s">
        <v>10391</v>
      </c>
      <c r="D7288">
        <v>10</v>
      </c>
      <c r="E7288">
        <v>6</v>
      </c>
      <c r="F7288">
        <v>35</v>
      </c>
      <c r="G7288">
        <v>212</v>
      </c>
      <c r="H7288">
        <v>150</v>
      </c>
      <c r="I7288">
        <v>0.2</v>
      </c>
      <c r="J7288">
        <v>0.5</v>
      </c>
      <c r="K7288">
        <v>106</v>
      </c>
    </row>
    <row r="7289" spans="1:12" x14ac:dyDescent="0.2">
      <c r="B7289">
        <v>5605837</v>
      </c>
      <c r="C7289" t="s">
        <v>10392</v>
      </c>
      <c r="D7289">
        <v>11</v>
      </c>
      <c r="E7289">
        <v>1</v>
      </c>
      <c r="F7289">
        <v>0</v>
      </c>
      <c r="G7289">
        <v>0</v>
      </c>
      <c r="H7289">
        <v>480</v>
      </c>
      <c r="I7289">
        <v>0</v>
      </c>
      <c r="J7289">
        <v>4.49</v>
      </c>
      <c r="K7289">
        <v>0</v>
      </c>
    </row>
    <row r="7290" spans="1:12" x14ac:dyDescent="0.2">
      <c r="B7290">
        <v>5605847</v>
      </c>
      <c r="C7290" t="s">
        <v>10393</v>
      </c>
      <c r="D7290">
        <v>10</v>
      </c>
      <c r="E7290">
        <v>6</v>
      </c>
      <c r="F7290">
        <v>0</v>
      </c>
      <c r="G7290">
        <v>0</v>
      </c>
      <c r="H7290">
        <v>60</v>
      </c>
      <c r="I7290">
        <v>0</v>
      </c>
      <c r="J7290">
        <v>1.99</v>
      </c>
      <c r="K7290">
        <v>0</v>
      </c>
    </row>
    <row r="7291" spans="1:12" x14ac:dyDescent="0.2">
      <c r="A7291">
        <v>84027</v>
      </c>
      <c r="B7291">
        <v>5605853</v>
      </c>
      <c r="C7291" t="s">
        <v>10394</v>
      </c>
      <c r="D7291">
        <v>8</v>
      </c>
      <c r="E7291">
        <v>6</v>
      </c>
      <c r="F7291">
        <v>151</v>
      </c>
      <c r="G7291">
        <v>906</v>
      </c>
      <c r="H7291">
        <v>60</v>
      </c>
      <c r="I7291">
        <v>2.5</v>
      </c>
      <c r="J7291">
        <v>2.39</v>
      </c>
      <c r="K7291">
        <v>2165.34</v>
      </c>
    </row>
    <row r="7292" spans="1:12" x14ac:dyDescent="0.2">
      <c r="A7292">
        <v>91105</v>
      </c>
      <c r="B7292">
        <v>5605855</v>
      </c>
      <c r="C7292" t="s">
        <v>10395</v>
      </c>
      <c r="D7292">
        <v>8</v>
      </c>
      <c r="E7292">
        <v>1</v>
      </c>
      <c r="F7292">
        <v>499</v>
      </c>
      <c r="G7292">
        <v>499</v>
      </c>
      <c r="H7292">
        <v>990</v>
      </c>
      <c r="I7292">
        <v>0.5</v>
      </c>
      <c r="J7292">
        <v>4.75</v>
      </c>
      <c r="K7292">
        <v>2370.25</v>
      </c>
    </row>
    <row r="7293" spans="1:12" x14ac:dyDescent="0.2">
      <c r="B7293">
        <v>5605857</v>
      </c>
      <c r="C7293" t="s">
        <v>10396</v>
      </c>
      <c r="D7293">
        <v>11</v>
      </c>
      <c r="E7293">
        <v>1</v>
      </c>
      <c r="F7293">
        <v>0</v>
      </c>
      <c r="G7293">
        <v>0</v>
      </c>
      <c r="H7293">
        <v>816</v>
      </c>
      <c r="I7293">
        <v>0</v>
      </c>
      <c r="J7293">
        <v>4.99</v>
      </c>
      <c r="K7293">
        <v>0</v>
      </c>
    </row>
    <row r="7294" spans="1:12" x14ac:dyDescent="0.2">
      <c r="A7294">
        <v>26520</v>
      </c>
      <c r="B7294">
        <v>5605858</v>
      </c>
      <c r="C7294" t="s">
        <v>10397</v>
      </c>
      <c r="D7294">
        <v>10</v>
      </c>
      <c r="E7294">
        <v>6</v>
      </c>
      <c r="F7294">
        <v>0</v>
      </c>
      <c r="G7294">
        <v>0</v>
      </c>
      <c r="H7294">
        <v>224</v>
      </c>
      <c r="I7294">
        <v>0</v>
      </c>
      <c r="J7294">
        <v>1.79</v>
      </c>
      <c r="K7294">
        <v>0</v>
      </c>
    </row>
    <row r="7295" spans="1:12" x14ac:dyDescent="0.2">
      <c r="A7295">
        <v>33513</v>
      </c>
      <c r="B7295">
        <v>5605859</v>
      </c>
      <c r="C7295" t="s">
        <v>10398</v>
      </c>
      <c r="D7295">
        <v>10</v>
      </c>
      <c r="E7295">
        <v>6</v>
      </c>
      <c r="F7295">
        <v>0</v>
      </c>
      <c r="G7295">
        <v>0</v>
      </c>
      <c r="H7295">
        <v>224</v>
      </c>
      <c r="I7295">
        <v>0</v>
      </c>
      <c r="J7295">
        <v>1.89</v>
      </c>
      <c r="K7295">
        <v>0</v>
      </c>
    </row>
    <row r="7296" spans="1:12" x14ac:dyDescent="0.2">
      <c r="B7296">
        <v>5605861</v>
      </c>
      <c r="C7296" t="s">
        <v>10399</v>
      </c>
      <c r="D7296">
        <v>11</v>
      </c>
      <c r="E7296">
        <v>4</v>
      </c>
      <c r="F7296">
        <v>4</v>
      </c>
      <c r="G7296">
        <v>16</v>
      </c>
      <c r="H7296">
        <v>55</v>
      </c>
      <c r="I7296">
        <v>0.1</v>
      </c>
      <c r="J7296">
        <v>6.99</v>
      </c>
      <c r="K7296">
        <v>111.84</v>
      </c>
    </row>
    <row r="7297" spans="1:11" x14ac:dyDescent="0.2">
      <c r="A7297">
        <v>49680</v>
      </c>
      <c r="B7297">
        <v>5605862</v>
      </c>
      <c r="C7297" t="s">
        <v>10400</v>
      </c>
      <c r="D7297">
        <v>10</v>
      </c>
      <c r="E7297">
        <v>6</v>
      </c>
      <c r="F7297">
        <v>4</v>
      </c>
      <c r="G7297">
        <v>24</v>
      </c>
      <c r="H7297">
        <v>80</v>
      </c>
      <c r="I7297">
        <v>0.1</v>
      </c>
      <c r="J7297">
        <v>16.649999999999999</v>
      </c>
      <c r="K7297">
        <v>399.6</v>
      </c>
    </row>
    <row r="7298" spans="1:11" x14ac:dyDescent="0.2">
      <c r="A7298">
        <v>33515</v>
      </c>
      <c r="B7298">
        <v>5605873</v>
      </c>
      <c r="C7298" t="s">
        <v>10401</v>
      </c>
      <c r="D7298">
        <v>10</v>
      </c>
      <c r="E7298">
        <v>6</v>
      </c>
      <c r="F7298">
        <v>0</v>
      </c>
      <c r="G7298">
        <v>0</v>
      </c>
      <c r="H7298">
        <v>80</v>
      </c>
      <c r="I7298">
        <v>0</v>
      </c>
      <c r="J7298">
        <v>2.39</v>
      </c>
      <c r="K7298">
        <v>0</v>
      </c>
    </row>
    <row r="7299" spans="1:11" x14ac:dyDescent="0.2">
      <c r="A7299">
        <v>26521</v>
      </c>
      <c r="B7299">
        <v>5605878</v>
      </c>
      <c r="C7299" t="s">
        <v>10402</v>
      </c>
      <c r="D7299">
        <v>10</v>
      </c>
      <c r="E7299">
        <v>12</v>
      </c>
      <c r="F7299">
        <v>0</v>
      </c>
      <c r="G7299">
        <v>0</v>
      </c>
      <c r="H7299">
        <v>140</v>
      </c>
      <c r="I7299">
        <v>0</v>
      </c>
      <c r="J7299">
        <v>1.69</v>
      </c>
      <c r="K7299">
        <v>0</v>
      </c>
    </row>
    <row r="7300" spans="1:11" x14ac:dyDescent="0.2">
      <c r="B7300">
        <v>5605879</v>
      </c>
      <c r="C7300" t="s">
        <v>10403</v>
      </c>
      <c r="D7300">
        <v>11</v>
      </c>
      <c r="E7300">
        <v>12</v>
      </c>
      <c r="F7300">
        <v>0</v>
      </c>
      <c r="G7300">
        <v>0</v>
      </c>
      <c r="H7300">
        <v>140</v>
      </c>
      <c r="I7300">
        <v>0</v>
      </c>
      <c r="J7300">
        <v>1.69</v>
      </c>
      <c r="K7300">
        <v>0</v>
      </c>
    </row>
    <row r="7301" spans="1:11" x14ac:dyDescent="0.2">
      <c r="A7301">
        <v>34514</v>
      </c>
      <c r="B7301">
        <v>5605880</v>
      </c>
      <c r="C7301" t="s">
        <v>10404</v>
      </c>
      <c r="D7301">
        <v>10</v>
      </c>
      <c r="E7301">
        <v>12</v>
      </c>
      <c r="F7301">
        <v>0</v>
      </c>
      <c r="G7301">
        <v>0</v>
      </c>
      <c r="H7301">
        <v>140</v>
      </c>
      <c r="I7301">
        <v>0</v>
      </c>
      <c r="J7301">
        <v>1.49</v>
      </c>
      <c r="K7301">
        <v>0</v>
      </c>
    </row>
    <row r="7302" spans="1:11" x14ac:dyDescent="0.2">
      <c r="A7302">
        <v>57624</v>
      </c>
      <c r="B7302">
        <v>5605888</v>
      </c>
      <c r="C7302" t="s">
        <v>10405</v>
      </c>
      <c r="D7302">
        <v>10</v>
      </c>
      <c r="E7302">
        <v>6</v>
      </c>
      <c r="F7302">
        <v>18</v>
      </c>
      <c r="G7302">
        <v>108</v>
      </c>
      <c r="H7302">
        <v>48</v>
      </c>
      <c r="I7302">
        <v>0.4</v>
      </c>
      <c r="J7302">
        <v>2.99</v>
      </c>
      <c r="K7302">
        <v>322.92</v>
      </c>
    </row>
    <row r="7303" spans="1:11" x14ac:dyDescent="0.2">
      <c r="A7303">
        <v>57625</v>
      </c>
      <c r="B7303">
        <v>5605889</v>
      </c>
      <c r="C7303" t="s">
        <v>10406</v>
      </c>
      <c r="D7303">
        <v>10</v>
      </c>
      <c r="E7303">
        <v>6</v>
      </c>
      <c r="F7303">
        <v>20</v>
      </c>
      <c r="G7303">
        <v>117</v>
      </c>
      <c r="H7303">
        <v>48</v>
      </c>
      <c r="I7303">
        <v>0.4</v>
      </c>
      <c r="J7303">
        <v>2.4900000000000002</v>
      </c>
      <c r="K7303">
        <v>291.33</v>
      </c>
    </row>
    <row r="7304" spans="1:11" x14ac:dyDescent="0.2">
      <c r="A7304">
        <v>57298</v>
      </c>
      <c r="B7304">
        <v>5605892</v>
      </c>
      <c r="C7304" t="s">
        <v>10407</v>
      </c>
      <c r="D7304">
        <v>11</v>
      </c>
      <c r="E7304">
        <v>20</v>
      </c>
      <c r="F7304">
        <v>0</v>
      </c>
      <c r="G7304">
        <v>0</v>
      </c>
      <c r="H7304">
        <v>108</v>
      </c>
      <c r="I7304">
        <v>0</v>
      </c>
      <c r="J7304">
        <v>0.6</v>
      </c>
      <c r="K7304">
        <v>0</v>
      </c>
    </row>
    <row r="7305" spans="1:11" x14ac:dyDescent="0.2">
      <c r="A7305">
        <v>32511</v>
      </c>
      <c r="B7305">
        <v>5605894</v>
      </c>
      <c r="C7305" t="s">
        <v>10408</v>
      </c>
      <c r="D7305">
        <v>10</v>
      </c>
      <c r="E7305">
        <v>12</v>
      </c>
      <c r="F7305">
        <v>0</v>
      </c>
      <c r="G7305">
        <v>0</v>
      </c>
      <c r="H7305">
        <v>56</v>
      </c>
      <c r="I7305">
        <v>0</v>
      </c>
      <c r="J7305">
        <v>1.19</v>
      </c>
      <c r="K7305">
        <v>0</v>
      </c>
    </row>
    <row r="7306" spans="1:11" x14ac:dyDescent="0.2">
      <c r="B7306">
        <v>5605902</v>
      </c>
      <c r="C7306" t="s">
        <v>10409</v>
      </c>
      <c r="D7306">
        <v>11</v>
      </c>
      <c r="E7306">
        <v>6</v>
      </c>
      <c r="F7306">
        <v>0</v>
      </c>
      <c r="G7306">
        <v>0</v>
      </c>
      <c r="H7306">
        <v>120</v>
      </c>
      <c r="I7306">
        <v>0</v>
      </c>
      <c r="J7306">
        <v>1</v>
      </c>
      <c r="K7306">
        <v>0</v>
      </c>
    </row>
    <row r="7307" spans="1:11" x14ac:dyDescent="0.2">
      <c r="B7307">
        <v>5605904</v>
      </c>
      <c r="C7307" t="s">
        <v>10410</v>
      </c>
      <c r="D7307">
        <v>11</v>
      </c>
      <c r="E7307">
        <v>6</v>
      </c>
      <c r="F7307">
        <v>0</v>
      </c>
      <c r="G7307">
        <v>0</v>
      </c>
      <c r="H7307">
        <v>96</v>
      </c>
      <c r="I7307">
        <v>0</v>
      </c>
      <c r="J7307">
        <v>2.2000000000000002</v>
      </c>
      <c r="K7307">
        <v>0</v>
      </c>
    </row>
    <row r="7308" spans="1:11" x14ac:dyDescent="0.2">
      <c r="A7308">
        <v>44523</v>
      </c>
      <c r="B7308">
        <v>5605906</v>
      </c>
      <c r="C7308" t="s">
        <v>10411</v>
      </c>
      <c r="D7308">
        <v>6</v>
      </c>
      <c r="E7308">
        <v>12</v>
      </c>
      <c r="F7308">
        <v>0</v>
      </c>
      <c r="G7308">
        <v>0</v>
      </c>
      <c r="H7308">
        <v>64</v>
      </c>
      <c r="I7308">
        <v>0</v>
      </c>
      <c r="J7308">
        <v>1.39</v>
      </c>
      <c r="K7308">
        <v>0</v>
      </c>
    </row>
    <row r="7309" spans="1:11" x14ac:dyDescent="0.2">
      <c r="A7309">
        <v>85142</v>
      </c>
      <c r="B7309">
        <v>5605907</v>
      </c>
      <c r="C7309" t="s">
        <v>10412</v>
      </c>
      <c r="D7309">
        <v>10</v>
      </c>
      <c r="E7309">
        <v>12</v>
      </c>
      <c r="F7309">
        <v>0</v>
      </c>
      <c r="G7309">
        <v>0</v>
      </c>
      <c r="H7309">
        <v>64</v>
      </c>
      <c r="I7309">
        <v>0</v>
      </c>
      <c r="J7309">
        <v>1.39</v>
      </c>
      <c r="K7309">
        <v>0</v>
      </c>
    </row>
    <row r="7310" spans="1:11" x14ac:dyDescent="0.2">
      <c r="A7310">
        <v>32512</v>
      </c>
      <c r="B7310">
        <v>5605918</v>
      </c>
      <c r="C7310" t="s">
        <v>10413</v>
      </c>
      <c r="D7310">
        <v>10</v>
      </c>
      <c r="E7310">
        <v>12</v>
      </c>
      <c r="F7310">
        <v>0</v>
      </c>
      <c r="G7310">
        <v>0</v>
      </c>
      <c r="H7310">
        <v>64</v>
      </c>
      <c r="I7310">
        <v>0</v>
      </c>
      <c r="J7310">
        <v>1.29</v>
      </c>
      <c r="K7310">
        <v>0</v>
      </c>
    </row>
    <row r="7311" spans="1:11" x14ac:dyDescent="0.2">
      <c r="B7311">
        <v>5605922</v>
      </c>
      <c r="C7311" t="s">
        <v>10414</v>
      </c>
      <c r="D7311">
        <v>11</v>
      </c>
      <c r="E7311">
        <v>1</v>
      </c>
      <c r="F7311">
        <v>2</v>
      </c>
      <c r="G7311">
        <v>2</v>
      </c>
      <c r="H7311">
        <v>384</v>
      </c>
      <c r="I7311">
        <v>0</v>
      </c>
      <c r="J7311">
        <v>8.98</v>
      </c>
      <c r="K7311">
        <v>17.96</v>
      </c>
    </row>
    <row r="7312" spans="1:11" x14ac:dyDescent="0.2">
      <c r="A7312">
        <v>31520</v>
      </c>
      <c r="B7312">
        <v>5605923</v>
      </c>
      <c r="C7312" t="s">
        <v>10183</v>
      </c>
      <c r="D7312">
        <v>10</v>
      </c>
      <c r="E7312">
        <v>8</v>
      </c>
      <c r="F7312">
        <v>0</v>
      </c>
      <c r="G7312">
        <v>0</v>
      </c>
      <c r="H7312">
        <v>72</v>
      </c>
      <c r="I7312">
        <v>0</v>
      </c>
      <c r="J7312">
        <v>2.19</v>
      </c>
      <c r="K7312">
        <v>0</v>
      </c>
    </row>
    <row r="7313" spans="1:11" x14ac:dyDescent="0.2">
      <c r="B7313">
        <v>5605925</v>
      </c>
      <c r="C7313" t="s">
        <v>10415</v>
      </c>
      <c r="D7313">
        <v>11</v>
      </c>
      <c r="E7313">
        <v>1</v>
      </c>
      <c r="F7313">
        <v>0</v>
      </c>
      <c r="G7313">
        <v>0</v>
      </c>
      <c r="H7313">
        <v>880</v>
      </c>
      <c r="I7313">
        <v>0</v>
      </c>
      <c r="J7313">
        <v>2.4900000000000002</v>
      </c>
      <c r="K7313">
        <v>0</v>
      </c>
    </row>
    <row r="7314" spans="1:11" x14ac:dyDescent="0.2">
      <c r="B7314">
        <v>5605928</v>
      </c>
      <c r="C7314" t="s">
        <v>10416</v>
      </c>
      <c r="D7314">
        <v>11</v>
      </c>
      <c r="E7314">
        <v>6</v>
      </c>
      <c r="F7314">
        <v>0</v>
      </c>
      <c r="G7314">
        <v>0</v>
      </c>
      <c r="H7314">
        <v>120</v>
      </c>
      <c r="I7314">
        <v>0</v>
      </c>
      <c r="J7314">
        <v>2.79</v>
      </c>
      <c r="K7314">
        <v>0</v>
      </c>
    </row>
    <row r="7315" spans="1:11" x14ac:dyDescent="0.2">
      <c r="A7315">
        <v>37519</v>
      </c>
      <c r="B7315">
        <v>5605929</v>
      </c>
      <c r="C7315" t="s">
        <v>10417</v>
      </c>
      <c r="D7315">
        <v>10</v>
      </c>
      <c r="E7315">
        <v>6</v>
      </c>
      <c r="F7315">
        <v>0</v>
      </c>
      <c r="G7315">
        <v>0</v>
      </c>
      <c r="H7315">
        <v>80</v>
      </c>
      <c r="I7315">
        <v>0</v>
      </c>
      <c r="J7315">
        <v>1.99</v>
      </c>
      <c r="K7315">
        <v>0</v>
      </c>
    </row>
    <row r="7316" spans="1:11" x14ac:dyDescent="0.2">
      <c r="A7316">
        <v>32513</v>
      </c>
      <c r="B7316">
        <v>5605937</v>
      </c>
      <c r="C7316" t="s">
        <v>10418</v>
      </c>
      <c r="D7316">
        <v>10</v>
      </c>
      <c r="E7316">
        <v>6</v>
      </c>
      <c r="F7316">
        <v>0</v>
      </c>
      <c r="G7316">
        <v>0</v>
      </c>
      <c r="H7316">
        <v>120</v>
      </c>
      <c r="I7316">
        <v>0</v>
      </c>
      <c r="J7316">
        <v>1.85</v>
      </c>
      <c r="K7316">
        <v>0</v>
      </c>
    </row>
    <row r="7317" spans="1:11" x14ac:dyDescent="0.2">
      <c r="A7317">
        <v>32514</v>
      </c>
      <c r="B7317">
        <v>5605939</v>
      </c>
      <c r="C7317" t="s">
        <v>10419</v>
      </c>
      <c r="D7317">
        <v>10</v>
      </c>
      <c r="E7317">
        <v>6</v>
      </c>
      <c r="F7317">
        <v>0</v>
      </c>
      <c r="G7317">
        <v>0</v>
      </c>
      <c r="H7317">
        <v>120</v>
      </c>
      <c r="I7317">
        <v>0</v>
      </c>
      <c r="J7317">
        <v>1.99</v>
      </c>
      <c r="K7317">
        <v>0</v>
      </c>
    </row>
    <row r="7318" spans="1:11" x14ac:dyDescent="0.2">
      <c r="A7318">
        <v>27509</v>
      </c>
      <c r="B7318">
        <v>5605945</v>
      </c>
      <c r="C7318" t="s">
        <v>10420</v>
      </c>
      <c r="D7318">
        <v>10</v>
      </c>
      <c r="E7318">
        <v>8</v>
      </c>
      <c r="F7318">
        <v>0</v>
      </c>
      <c r="G7318">
        <v>0</v>
      </c>
      <c r="H7318">
        <v>84</v>
      </c>
      <c r="I7318">
        <v>0</v>
      </c>
      <c r="J7318">
        <v>2.59</v>
      </c>
      <c r="K7318">
        <v>0</v>
      </c>
    </row>
    <row r="7319" spans="1:11" x14ac:dyDescent="0.2">
      <c r="A7319">
        <v>39508</v>
      </c>
      <c r="B7319">
        <v>5605946</v>
      </c>
      <c r="C7319" t="s">
        <v>10421</v>
      </c>
      <c r="D7319">
        <v>10</v>
      </c>
      <c r="E7319">
        <v>8</v>
      </c>
      <c r="F7319">
        <v>0</v>
      </c>
      <c r="G7319">
        <v>0</v>
      </c>
      <c r="H7319">
        <v>140</v>
      </c>
      <c r="I7319">
        <v>0</v>
      </c>
      <c r="J7319">
        <v>2.99</v>
      </c>
      <c r="K7319">
        <v>0</v>
      </c>
    </row>
    <row r="7320" spans="1:11" x14ac:dyDescent="0.2">
      <c r="A7320">
        <v>30510</v>
      </c>
      <c r="B7320">
        <v>5605949</v>
      </c>
      <c r="C7320" t="s">
        <v>10422</v>
      </c>
      <c r="D7320">
        <v>10</v>
      </c>
      <c r="E7320">
        <v>8</v>
      </c>
      <c r="F7320">
        <v>0</v>
      </c>
      <c r="G7320">
        <v>0</v>
      </c>
      <c r="H7320">
        <v>96</v>
      </c>
      <c r="I7320">
        <v>0</v>
      </c>
      <c r="J7320">
        <v>1.49</v>
      </c>
      <c r="K7320">
        <v>0</v>
      </c>
    </row>
    <row r="7321" spans="1:11" x14ac:dyDescent="0.2">
      <c r="A7321">
        <v>65117</v>
      </c>
      <c r="B7321">
        <v>5605950</v>
      </c>
      <c r="C7321" t="s">
        <v>4093</v>
      </c>
      <c r="D7321">
        <v>8</v>
      </c>
      <c r="E7321">
        <v>12</v>
      </c>
      <c r="F7321">
        <v>718</v>
      </c>
      <c r="G7321">
        <v>8616</v>
      </c>
      <c r="H7321">
        <v>156</v>
      </c>
      <c r="I7321">
        <v>4.5999999999999996</v>
      </c>
      <c r="J7321">
        <v>0.79</v>
      </c>
      <c r="K7321">
        <v>6806.64</v>
      </c>
    </row>
    <row r="7322" spans="1:11" x14ac:dyDescent="0.2">
      <c r="B7322">
        <v>5605952</v>
      </c>
      <c r="C7322" t="s">
        <v>10423</v>
      </c>
      <c r="D7322">
        <v>12</v>
      </c>
      <c r="E7322">
        <v>6</v>
      </c>
      <c r="F7322">
        <v>0</v>
      </c>
      <c r="G7322">
        <v>0</v>
      </c>
      <c r="H7322">
        <v>100</v>
      </c>
      <c r="I7322">
        <v>0</v>
      </c>
      <c r="J7322">
        <v>0.87</v>
      </c>
      <c r="K7322">
        <v>0</v>
      </c>
    </row>
    <row r="7323" spans="1:11" x14ac:dyDescent="0.2">
      <c r="A7323">
        <v>30511</v>
      </c>
      <c r="B7323">
        <v>5605956</v>
      </c>
      <c r="C7323" t="s">
        <v>10424</v>
      </c>
      <c r="D7323">
        <v>10</v>
      </c>
      <c r="E7323">
        <v>18</v>
      </c>
      <c r="F7323">
        <v>0</v>
      </c>
      <c r="G7323">
        <v>0</v>
      </c>
      <c r="H7323">
        <v>84</v>
      </c>
      <c r="I7323">
        <v>0</v>
      </c>
      <c r="J7323">
        <v>1.29</v>
      </c>
      <c r="K7323">
        <v>0</v>
      </c>
    </row>
    <row r="7324" spans="1:11" x14ac:dyDescent="0.2">
      <c r="A7324">
        <v>30512</v>
      </c>
      <c r="B7324">
        <v>5605957</v>
      </c>
      <c r="C7324" t="s">
        <v>10425</v>
      </c>
      <c r="D7324">
        <v>10</v>
      </c>
      <c r="E7324">
        <v>18</v>
      </c>
      <c r="F7324">
        <v>0</v>
      </c>
      <c r="G7324">
        <v>0</v>
      </c>
      <c r="H7324">
        <v>84</v>
      </c>
      <c r="I7324">
        <v>0</v>
      </c>
      <c r="J7324">
        <v>1.29</v>
      </c>
      <c r="K7324">
        <v>0</v>
      </c>
    </row>
    <row r="7325" spans="1:11" x14ac:dyDescent="0.2">
      <c r="A7325">
        <v>91136</v>
      </c>
      <c r="B7325">
        <v>5605959</v>
      </c>
      <c r="C7325" t="s">
        <v>10426</v>
      </c>
      <c r="D7325">
        <v>8</v>
      </c>
      <c r="E7325">
        <v>1</v>
      </c>
      <c r="F7325">
        <v>237</v>
      </c>
      <c r="G7325">
        <v>237</v>
      </c>
      <c r="H7325">
        <v>240</v>
      </c>
      <c r="I7325">
        <v>1</v>
      </c>
      <c r="J7325">
        <v>6.99</v>
      </c>
      <c r="K7325">
        <v>1656.63</v>
      </c>
    </row>
    <row r="7326" spans="1:11" x14ac:dyDescent="0.2">
      <c r="A7326">
        <v>83028</v>
      </c>
      <c r="B7326">
        <v>5605965</v>
      </c>
      <c r="C7326" t="s">
        <v>10427</v>
      </c>
      <c r="D7326">
        <v>8</v>
      </c>
      <c r="E7326">
        <v>24</v>
      </c>
      <c r="F7326">
        <v>170</v>
      </c>
      <c r="G7326">
        <v>4080</v>
      </c>
      <c r="H7326">
        <v>60</v>
      </c>
      <c r="I7326">
        <v>2.8</v>
      </c>
      <c r="J7326">
        <v>1.39</v>
      </c>
      <c r="K7326">
        <v>5671.2</v>
      </c>
    </row>
    <row r="7327" spans="1:11" x14ac:dyDescent="0.2">
      <c r="A7327">
        <v>43655</v>
      </c>
      <c r="B7327">
        <v>5605966</v>
      </c>
      <c r="C7327" t="s">
        <v>10428</v>
      </c>
      <c r="D7327">
        <v>10</v>
      </c>
      <c r="E7327">
        <v>15</v>
      </c>
      <c r="F7327">
        <v>2</v>
      </c>
      <c r="G7327">
        <v>30</v>
      </c>
      <c r="H7327">
        <v>64</v>
      </c>
      <c r="I7327">
        <v>0</v>
      </c>
      <c r="J7327">
        <v>3.95</v>
      </c>
      <c r="K7327">
        <v>118.5</v>
      </c>
    </row>
    <row r="7328" spans="1:11" x14ac:dyDescent="0.2">
      <c r="A7328">
        <v>1523</v>
      </c>
      <c r="B7328">
        <v>5605967</v>
      </c>
      <c r="C7328" t="s">
        <v>10429</v>
      </c>
      <c r="D7328">
        <v>6</v>
      </c>
      <c r="E7328">
        <v>4</v>
      </c>
      <c r="F7328">
        <v>0</v>
      </c>
      <c r="G7328">
        <v>0</v>
      </c>
      <c r="H7328">
        <v>150</v>
      </c>
      <c r="I7328">
        <v>0</v>
      </c>
      <c r="J7328">
        <v>1.19</v>
      </c>
      <c r="K7328">
        <v>0</v>
      </c>
    </row>
    <row r="7329" spans="1:11" x14ac:dyDescent="0.2">
      <c r="B7329">
        <v>5605968</v>
      </c>
      <c r="C7329" t="s">
        <v>10430</v>
      </c>
      <c r="D7329">
        <v>11</v>
      </c>
      <c r="E7329">
        <v>6</v>
      </c>
      <c r="F7329">
        <v>0</v>
      </c>
      <c r="G7329">
        <v>0</v>
      </c>
      <c r="H7329">
        <v>126</v>
      </c>
      <c r="I7329">
        <v>0</v>
      </c>
      <c r="J7329">
        <v>1.29</v>
      </c>
      <c r="K7329">
        <v>0</v>
      </c>
    </row>
    <row r="7330" spans="1:11" x14ac:dyDescent="0.2">
      <c r="B7330">
        <v>5605969</v>
      </c>
      <c r="C7330" t="s">
        <v>10431</v>
      </c>
      <c r="D7330">
        <v>6</v>
      </c>
      <c r="E7330">
        <v>1</v>
      </c>
      <c r="F7330">
        <v>1</v>
      </c>
      <c r="G7330">
        <v>1</v>
      </c>
      <c r="H7330">
        <v>480</v>
      </c>
      <c r="I7330">
        <v>0</v>
      </c>
      <c r="J7330">
        <v>3.99</v>
      </c>
      <c r="K7330">
        <v>3.99</v>
      </c>
    </row>
    <row r="7331" spans="1:11" x14ac:dyDescent="0.2">
      <c r="A7331">
        <v>76272</v>
      </c>
      <c r="B7331">
        <v>5605973</v>
      </c>
      <c r="C7331" t="s">
        <v>10432</v>
      </c>
      <c r="D7331">
        <v>8</v>
      </c>
      <c r="E7331">
        <v>12</v>
      </c>
      <c r="F7331">
        <v>394</v>
      </c>
      <c r="G7331">
        <v>4728</v>
      </c>
      <c r="H7331">
        <v>84</v>
      </c>
      <c r="I7331">
        <v>4.7</v>
      </c>
      <c r="J7331">
        <v>1.45</v>
      </c>
      <c r="K7331">
        <v>6855.6</v>
      </c>
    </row>
    <row r="7332" spans="1:11" x14ac:dyDescent="0.2">
      <c r="A7332">
        <v>30513</v>
      </c>
      <c r="B7332">
        <v>5605977</v>
      </c>
      <c r="C7332" t="s">
        <v>10433</v>
      </c>
      <c r="D7332">
        <v>10</v>
      </c>
      <c r="E7332">
        <v>5</v>
      </c>
      <c r="F7332">
        <v>0</v>
      </c>
      <c r="G7332">
        <v>0</v>
      </c>
      <c r="H7332">
        <v>80</v>
      </c>
      <c r="I7332">
        <v>0</v>
      </c>
      <c r="J7332">
        <v>2.99</v>
      </c>
      <c r="K7332">
        <v>0</v>
      </c>
    </row>
    <row r="7333" spans="1:11" x14ac:dyDescent="0.2">
      <c r="B7333">
        <v>5606024</v>
      </c>
      <c r="C7333" t="s">
        <v>10434</v>
      </c>
      <c r="D7333">
        <v>11</v>
      </c>
      <c r="E7333">
        <v>6</v>
      </c>
      <c r="F7333">
        <v>0</v>
      </c>
      <c r="G7333">
        <v>0</v>
      </c>
      <c r="H7333">
        <v>100</v>
      </c>
      <c r="I7333">
        <v>0</v>
      </c>
      <c r="J7333">
        <v>9.49</v>
      </c>
      <c r="K7333">
        <v>0</v>
      </c>
    </row>
    <row r="7334" spans="1:11" x14ac:dyDescent="0.2">
      <c r="B7334">
        <v>5606026</v>
      </c>
      <c r="C7334" t="s">
        <v>10435</v>
      </c>
      <c r="D7334">
        <v>10</v>
      </c>
      <c r="E7334">
        <v>6</v>
      </c>
      <c r="F7334">
        <v>0</v>
      </c>
      <c r="G7334">
        <v>0</v>
      </c>
      <c r="H7334">
        <v>105</v>
      </c>
      <c r="I7334">
        <v>0</v>
      </c>
      <c r="J7334">
        <v>5.49</v>
      </c>
      <c r="K7334">
        <v>0</v>
      </c>
    </row>
    <row r="7335" spans="1:11" x14ac:dyDescent="0.2">
      <c r="A7335">
        <v>61186</v>
      </c>
      <c r="B7335">
        <v>5606045</v>
      </c>
      <c r="C7335" t="s">
        <v>10436</v>
      </c>
      <c r="D7335">
        <v>8</v>
      </c>
      <c r="E7335">
        <v>6</v>
      </c>
      <c r="F7335">
        <v>138</v>
      </c>
      <c r="G7335">
        <v>828</v>
      </c>
      <c r="H7335">
        <v>95</v>
      </c>
      <c r="I7335">
        <v>1.5</v>
      </c>
      <c r="J7335">
        <v>5.99</v>
      </c>
      <c r="K7335">
        <v>4959.72</v>
      </c>
    </row>
    <row r="7336" spans="1:11" x14ac:dyDescent="0.2">
      <c r="B7336">
        <v>5606046</v>
      </c>
      <c r="C7336" t="s">
        <v>10437</v>
      </c>
      <c r="D7336">
        <v>10</v>
      </c>
      <c r="E7336">
        <v>6</v>
      </c>
      <c r="F7336">
        <v>-16</v>
      </c>
      <c r="G7336">
        <v>-96</v>
      </c>
      <c r="H7336">
        <v>95</v>
      </c>
      <c r="I7336">
        <v>-0.2</v>
      </c>
      <c r="J7336">
        <v>6.99</v>
      </c>
      <c r="K7336">
        <v>-671.04</v>
      </c>
    </row>
    <row r="7337" spans="1:11" x14ac:dyDescent="0.2">
      <c r="B7337">
        <v>5606047</v>
      </c>
      <c r="C7337" t="s">
        <v>10438</v>
      </c>
      <c r="D7337">
        <v>10</v>
      </c>
      <c r="E7337">
        <v>6</v>
      </c>
      <c r="F7337">
        <v>0</v>
      </c>
      <c r="G7337">
        <v>0</v>
      </c>
      <c r="H7337">
        <v>95</v>
      </c>
      <c r="I7337">
        <v>0</v>
      </c>
      <c r="J7337">
        <v>6.49</v>
      </c>
      <c r="K7337">
        <v>0</v>
      </c>
    </row>
    <row r="7338" spans="1:11" x14ac:dyDescent="0.2">
      <c r="B7338">
        <v>5606063</v>
      </c>
      <c r="C7338" t="s">
        <v>10439</v>
      </c>
      <c r="D7338">
        <v>10</v>
      </c>
      <c r="E7338">
        <v>6</v>
      </c>
      <c r="F7338">
        <v>0</v>
      </c>
      <c r="G7338">
        <v>0</v>
      </c>
      <c r="H7338">
        <v>105</v>
      </c>
      <c r="I7338">
        <v>0</v>
      </c>
      <c r="J7338">
        <v>7.95</v>
      </c>
      <c r="K7338">
        <v>0</v>
      </c>
    </row>
    <row r="7339" spans="1:11" x14ac:dyDescent="0.2">
      <c r="A7339">
        <v>61214</v>
      </c>
      <c r="B7339">
        <v>5606064</v>
      </c>
      <c r="C7339" t="s">
        <v>10440</v>
      </c>
      <c r="D7339">
        <v>8</v>
      </c>
      <c r="E7339">
        <v>6</v>
      </c>
      <c r="F7339">
        <v>95</v>
      </c>
      <c r="G7339">
        <v>570</v>
      </c>
      <c r="H7339">
        <v>76</v>
      </c>
      <c r="I7339">
        <v>1.3</v>
      </c>
      <c r="J7339">
        <v>5.99</v>
      </c>
      <c r="K7339">
        <v>3414.3</v>
      </c>
    </row>
    <row r="7340" spans="1:11" x14ac:dyDescent="0.2">
      <c r="B7340">
        <v>5606065</v>
      </c>
      <c r="C7340" t="s">
        <v>10441</v>
      </c>
      <c r="D7340">
        <v>10</v>
      </c>
      <c r="E7340">
        <v>6</v>
      </c>
      <c r="F7340">
        <v>0</v>
      </c>
      <c r="G7340">
        <v>0</v>
      </c>
      <c r="H7340">
        <v>105</v>
      </c>
      <c r="I7340">
        <v>0</v>
      </c>
      <c r="J7340">
        <v>3.99</v>
      </c>
      <c r="K7340">
        <v>0</v>
      </c>
    </row>
    <row r="7341" spans="1:11" x14ac:dyDescent="0.2">
      <c r="B7341">
        <v>5606066</v>
      </c>
      <c r="C7341" t="s">
        <v>10442</v>
      </c>
      <c r="D7341">
        <v>10</v>
      </c>
      <c r="E7341">
        <v>6</v>
      </c>
      <c r="F7341">
        <v>0</v>
      </c>
      <c r="G7341">
        <v>0</v>
      </c>
      <c r="H7341">
        <v>100</v>
      </c>
      <c r="I7341">
        <v>0</v>
      </c>
      <c r="J7341">
        <v>6.75</v>
      </c>
      <c r="K7341">
        <v>0</v>
      </c>
    </row>
    <row r="7342" spans="1:11" x14ac:dyDescent="0.2">
      <c r="A7342">
        <v>85144</v>
      </c>
      <c r="B7342">
        <v>5606098</v>
      </c>
      <c r="C7342" t="s">
        <v>10443</v>
      </c>
      <c r="D7342">
        <v>10</v>
      </c>
      <c r="E7342">
        <v>12</v>
      </c>
      <c r="F7342">
        <v>0</v>
      </c>
      <c r="G7342">
        <v>0</v>
      </c>
      <c r="H7342">
        <v>64</v>
      </c>
      <c r="I7342">
        <v>0</v>
      </c>
      <c r="J7342">
        <v>1.39</v>
      </c>
      <c r="K7342">
        <v>0</v>
      </c>
    </row>
    <row r="7343" spans="1:11" x14ac:dyDescent="0.2">
      <c r="A7343">
        <v>99001</v>
      </c>
      <c r="B7343">
        <v>5606122</v>
      </c>
      <c r="C7343" t="s">
        <v>10444</v>
      </c>
      <c r="D7343">
        <v>10</v>
      </c>
      <c r="E7343">
        <v>10</v>
      </c>
      <c r="F7343">
        <v>0</v>
      </c>
      <c r="G7343">
        <v>0</v>
      </c>
      <c r="H7343">
        <v>72</v>
      </c>
      <c r="I7343">
        <v>0</v>
      </c>
      <c r="J7343">
        <v>1.99</v>
      </c>
      <c r="K7343">
        <v>0</v>
      </c>
    </row>
    <row r="7344" spans="1:11" x14ac:dyDescent="0.2">
      <c r="A7344">
        <v>99042</v>
      </c>
      <c r="B7344">
        <v>5606123</v>
      </c>
      <c r="C7344" t="s">
        <v>10445</v>
      </c>
      <c r="D7344">
        <v>10</v>
      </c>
      <c r="E7344">
        <v>10</v>
      </c>
      <c r="F7344">
        <v>0</v>
      </c>
      <c r="G7344">
        <v>0</v>
      </c>
      <c r="H7344">
        <v>72</v>
      </c>
      <c r="I7344">
        <v>0</v>
      </c>
      <c r="J7344">
        <v>2.69</v>
      </c>
      <c r="K7344">
        <v>0</v>
      </c>
    </row>
    <row r="7345" spans="1:11" x14ac:dyDescent="0.2">
      <c r="A7345">
        <v>99046</v>
      </c>
      <c r="B7345">
        <v>5606124</v>
      </c>
      <c r="C7345" t="s">
        <v>10446</v>
      </c>
      <c r="D7345">
        <v>10</v>
      </c>
      <c r="E7345">
        <v>10</v>
      </c>
      <c r="F7345">
        <v>0</v>
      </c>
      <c r="G7345">
        <v>0</v>
      </c>
      <c r="H7345">
        <v>72</v>
      </c>
      <c r="I7345">
        <v>0</v>
      </c>
      <c r="J7345">
        <v>2.69</v>
      </c>
      <c r="K7345">
        <v>0</v>
      </c>
    </row>
    <row r="7346" spans="1:11" x14ac:dyDescent="0.2">
      <c r="A7346">
        <v>99181</v>
      </c>
      <c r="B7346">
        <v>5606125</v>
      </c>
      <c r="C7346" t="s">
        <v>10447</v>
      </c>
      <c r="D7346">
        <v>10</v>
      </c>
      <c r="E7346">
        <v>10</v>
      </c>
      <c r="F7346">
        <v>0</v>
      </c>
      <c r="G7346">
        <v>0</v>
      </c>
      <c r="H7346">
        <v>72</v>
      </c>
      <c r="I7346">
        <v>0</v>
      </c>
      <c r="J7346">
        <v>1.99</v>
      </c>
      <c r="K7346">
        <v>0</v>
      </c>
    </row>
    <row r="7347" spans="1:11" x14ac:dyDescent="0.2">
      <c r="A7347">
        <v>99127</v>
      </c>
      <c r="B7347">
        <v>5606126</v>
      </c>
      <c r="C7347" t="s">
        <v>10448</v>
      </c>
      <c r="D7347">
        <v>10</v>
      </c>
      <c r="E7347">
        <v>10</v>
      </c>
      <c r="F7347">
        <v>0</v>
      </c>
      <c r="G7347">
        <v>0</v>
      </c>
      <c r="H7347">
        <v>72</v>
      </c>
      <c r="I7347">
        <v>0</v>
      </c>
      <c r="J7347">
        <v>1.99</v>
      </c>
      <c r="K7347">
        <v>0</v>
      </c>
    </row>
    <row r="7348" spans="1:11" x14ac:dyDescent="0.2">
      <c r="A7348">
        <v>91073</v>
      </c>
      <c r="B7348">
        <v>5606127</v>
      </c>
      <c r="C7348" t="s">
        <v>10449</v>
      </c>
      <c r="D7348">
        <v>8</v>
      </c>
      <c r="E7348">
        <v>1</v>
      </c>
      <c r="F7348">
        <v>699</v>
      </c>
      <c r="G7348">
        <v>699</v>
      </c>
      <c r="H7348">
        <v>624</v>
      </c>
      <c r="I7348">
        <v>1.1000000000000001</v>
      </c>
      <c r="J7348">
        <v>4.79</v>
      </c>
      <c r="K7348">
        <v>3348.21</v>
      </c>
    </row>
    <row r="7349" spans="1:11" x14ac:dyDescent="0.2">
      <c r="A7349">
        <v>3503</v>
      </c>
      <c r="B7349">
        <v>5606130</v>
      </c>
      <c r="C7349" t="s">
        <v>10450</v>
      </c>
      <c r="D7349">
        <v>6</v>
      </c>
      <c r="E7349">
        <v>4</v>
      </c>
      <c r="F7349">
        <v>3</v>
      </c>
      <c r="G7349">
        <v>12</v>
      </c>
      <c r="H7349">
        <v>64</v>
      </c>
      <c r="I7349">
        <v>0</v>
      </c>
      <c r="J7349">
        <v>8.99</v>
      </c>
      <c r="K7349">
        <v>107.88</v>
      </c>
    </row>
    <row r="7350" spans="1:11" x14ac:dyDescent="0.2">
      <c r="A7350">
        <v>43535</v>
      </c>
      <c r="B7350">
        <v>5606134</v>
      </c>
      <c r="C7350" t="s">
        <v>10451</v>
      </c>
      <c r="D7350">
        <v>10</v>
      </c>
      <c r="E7350">
        <v>6</v>
      </c>
      <c r="F7350">
        <v>3</v>
      </c>
      <c r="G7350">
        <v>18</v>
      </c>
      <c r="H7350">
        <v>77</v>
      </c>
      <c r="I7350">
        <v>0</v>
      </c>
      <c r="J7350">
        <v>2.99</v>
      </c>
      <c r="K7350">
        <v>53.82</v>
      </c>
    </row>
    <row r="7351" spans="1:11" x14ac:dyDescent="0.2">
      <c r="B7351">
        <v>5606138</v>
      </c>
      <c r="C7351" t="s">
        <v>10452</v>
      </c>
      <c r="D7351">
        <v>11</v>
      </c>
      <c r="E7351">
        <v>6</v>
      </c>
      <c r="F7351">
        <v>0</v>
      </c>
      <c r="G7351">
        <v>0</v>
      </c>
      <c r="H7351">
        <v>77</v>
      </c>
      <c r="I7351">
        <v>0</v>
      </c>
      <c r="J7351">
        <v>2.79</v>
      </c>
      <c r="K7351">
        <v>0</v>
      </c>
    </row>
    <row r="7352" spans="1:11" x14ac:dyDescent="0.2">
      <c r="A7352">
        <v>1503</v>
      </c>
      <c r="B7352">
        <v>5606142</v>
      </c>
      <c r="C7352" t="s">
        <v>10453</v>
      </c>
      <c r="D7352">
        <v>6</v>
      </c>
      <c r="E7352">
        <v>4</v>
      </c>
      <c r="F7352">
        <v>0</v>
      </c>
      <c r="G7352">
        <v>0</v>
      </c>
      <c r="H7352">
        <v>104</v>
      </c>
      <c r="I7352">
        <v>0</v>
      </c>
      <c r="J7352">
        <v>4.99</v>
      </c>
      <c r="K7352">
        <v>0</v>
      </c>
    </row>
    <row r="7353" spans="1:11" x14ac:dyDescent="0.2">
      <c r="A7353">
        <v>1504</v>
      </c>
      <c r="B7353">
        <v>5606144</v>
      </c>
      <c r="C7353" t="s">
        <v>10454</v>
      </c>
      <c r="D7353">
        <v>6</v>
      </c>
      <c r="E7353">
        <v>4</v>
      </c>
      <c r="F7353">
        <v>-3</v>
      </c>
      <c r="G7353">
        <v>-12</v>
      </c>
      <c r="H7353">
        <v>64</v>
      </c>
      <c r="I7353">
        <v>0</v>
      </c>
      <c r="J7353">
        <v>4.49</v>
      </c>
      <c r="K7353">
        <v>-53.88</v>
      </c>
    </row>
    <row r="7354" spans="1:11" x14ac:dyDescent="0.2">
      <c r="A7354">
        <v>91054</v>
      </c>
      <c r="B7354">
        <v>5606145</v>
      </c>
      <c r="C7354" t="s">
        <v>10455</v>
      </c>
      <c r="D7354">
        <v>8</v>
      </c>
      <c r="E7354">
        <v>1</v>
      </c>
      <c r="F7354">
        <v>665</v>
      </c>
      <c r="G7354">
        <v>665</v>
      </c>
      <c r="H7354">
        <v>768</v>
      </c>
      <c r="I7354">
        <v>0.9</v>
      </c>
      <c r="J7354">
        <v>3.19</v>
      </c>
      <c r="K7354">
        <v>2121.35</v>
      </c>
    </row>
    <row r="7355" spans="1:11" x14ac:dyDescent="0.2">
      <c r="A7355">
        <v>99974</v>
      </c>
      <c r="B7355">
        <v>5606146</v>
      </c>
      <c r="C7355" t="s">
        <v>10456</v>
      </c>
      <c r="D7355">
        <v>10</v>
      </c>
      <c r="E7355">
        <v>10</v>
      </c>
      <c r="F7355">
        <v>0</v>
      </c>
      <c r="G7355">
        <v>0</v>
      </c>
      <c r="H7355">
        <v>70</v>
      </c>
      <c r="I7355">
        <v>0</v>
      </c>
      <c r="J7355">
        <v>2.99</v>
      </c>
      <c r="K7355">
        <v>0</v>
      </c>
    </row>
    <row r="7356" spans="1:11" x14ac:dyDescent="0.2">
      <c r="A7356">
        <v>99663</v>
      </c>
      <c r="B7356">
        <v>5606147</v>
      </c>
      <c r="C7356" t="s">
        <v>10457</v>
      </c>
      <c r="D7356">
        <v>8</v>
      </c>
      <c r="E7356">
        <v>10</v>
      </c>
      <c r="F7356">
        <v>0</v>
      </c>
      <c r="G7356">
        <v>0</v>
      </c>
      <c r="H7356">
        <v>70</v>
      </c>
      <c r="I7356">
        <v>0</v>
      </c>
      <c r="J7356">
        <v>2.29</v>
      </c>
      <c r="K7356">
        <v>0</v>
      </c>
    </row>
    <row r="7357" spans="1:11" x14ac:dyDescent="0.2">
      <c r="A7357">
        <v>86080</v>
      </c>
      <c r="B7357">
        <v>5606148</v>
      </c>
      <c r="C7357" t="s">
        <v>10458</v>
      </c>
      <c r="D7357">
        <v>9</v>
      </c>
      <c r="E7357">
        <v>6</v>
      </c>
      <c r="F7357">
        <v>80</v>
      </c>
      <c r="G7357">
        <v>480</v>
      </c>
      <c r="H7357">
        <v>135</v>
      </c>
      <c r="I7357">
        <v>0.6</v>
      </c>
      <c r="J7357">
        <v>2.4900000000000002</v>
      </c>
      <c r="K7357">
        <v>1195.2</v>
      </c>
    </row>
    <row r="7358" spans="1:11" x14ac:dyDescent="0.2">
      <c r="A7358">
        <v>86081</v>
      </c>
      <c r="B7358">
        <v>5606152</v>
      </c>
      <c r="C7358" t="s">
        <v>10459</v>
      </c>
      <c r="D7358">
        <v>9</v>
      </c>
      <c r="E7358">
        <v>6</v>
      </c>
      <c r="F7358">
        <v>135</v>
      </c>
      <c r="G7358">
        <v>810</v>
      </c>
      <c r="H7358">
        <v>135</v>
      </c>
      <c r="I7358">
        <v>1</v>
      </c>
      <c r="J7358">
        <v>2.4900000000000002</v>
      </c>
      <c r="K7358">
        <v>2016.9</v>
      </c>
    </row>
    <row r="7359" spans="1:11" x14ac:dyDescent="0.2">
      <c r="B7359">
        <v>5606153</v>
      </c>
      <c r="C7359" t="s">
        <v>10460</v>
      </c>
      <c r="D7359">
        <v>11</v>
      </c>
      <c r="E7359">
        <v>1</v>
      </c>
      <c r="F7359">
        <v>0</v>
      </c>
      <c r="G7359">
        <v>0</v>
      </c>
      <c r="H7359">
        <v>720</v>
      </c>
      <c r="I7359">
        <v>0</v>
      </c>
      <c r="J7359">
        <v>4.49</v>
      </c>
      <c r="K7359">
        <v>0</v>
      </c>
    </row>
    <row r="7360" spans="1:11" x14ac:dyDescent="0.2">
      <c r="B7360">
        <v>5606175</v>
      </c>
      <c r="C7360" t="s">
        <v>10461</v>
      </c>
      <c r="D7360">
        <v>10</v>
      </c>
      <c r="E7360">
        <v>6</v>
      </c>
      <c r="F7360">
        <v>0</v>
      </c>
      <c r="G7360">
        <v>0</v>
      </c>
      <c r="H7360">
        <v>105</v>
      </c>
      <c r="I7360">
        <v>0</v>
      </c>
      <c r="J7360">
        <v>4.49</v>
      </c>
      <c r="K7360">
        <v>0</v>
      </c>
    </row>
    <row r="7361" spans="1:12" x14ac:dyDescent="0.2">
      <c r="A7361">
        <v>41514</v>
      </c>
      <c r="B7361">
        <v>5606176</v>
      </c>
      <c r="C7361" t="s">
        <v>10462</v>
      </c>
      <c r="D7361">
        <v>6</v>
      </c>
      <c r="E7361">
        <v>6</v>
      </c>
      <c r="F7361">
        <v>0</v>
      </c>
      <c r="G7361">
        <v>0</v>
      </c>
      <c r="H7361">
        <v>100</v>
      </c>
      <c r="I7361">
        <v>0</v>
      </c>
      <c r="J7361">
        <v>3</v>
      </c>
      <c r="K7361">
        <v>0</v>
      </c>
    </row>
    <row r="7362" spans="1:12" x14ac:dyDescent="0.2">
      <c r="B7362">
        <v>5606177</v>
      </c>
      <c r="C7362" t="s">
        <v>10463</v>
      </c>
      <c r="D7362">
        <v>12</v>
      </c>
      <c r="E7362">
        <v>6</v>
      </c>
      <c r="F7362">
        <v>0</v>
      </c>
      <c r="G7362">
        <v>0</v>
      </c>
      <c r="H7362">
        <v>100</v>
      </c>
      <c r="I7362">
        <v>0</v>
      </c>
      <c r="J7362">
        <v>3</v>
      </c>
      <c r="K7362">
        <v>0</v>
      </c>
      <c r="L7362" t="s">
        <v>3699</v>
      </c>
    </row>
    <row r="7363" spans="1:12" x14ac:dyDescent="0.2">
      <c r="B7363">
        <v>5606179</v>
      </c>
      <c r="C7363" t="s">
        <v>10464</v>
      </c>
      <c r="D7363">
        <v>11</v>
      </c>
      <c r="E7363">
        <v>6</v>
      </c>
      <c r="F7363">
        <v>24</v>
      </c>
      <c r="G7363">
        <v>144</v>
      </c>
      <c r="H7363">
        <v>100</v>
      </c>
      <c r="I7363">
        <v>0.2</v>
      </c>
      <c r="J7363">
        <v>6.99</v>
      </c>
      <c r="K7363">
        <v>1006.56</v>
      </c>
    </row>
    <row r="7364" spans="1:12" x14ac:dyDescent="0.2">
      <c r="B7364">
        <v>5606192</v>
      </c>
      <c r="C7364" t="s">
        <v>10465</v>
      </c>
      <c r="D7364">
        <v>11</v>
      </c>
      <c r="E7364">
        <v>6</v>
      </c>
      <c r="F7364">
        <v>1</v>
      </c>
      <c r="G7364">
        <v>6</v>
      </c>
      <c r="H7364">
        <v>80</v>
      </c>
      <c r="I7364">
        <v>0</v>
      </c>
      <c r="J7364">
        <v>14.99</v>
      </c>
      <c r="K7364">
        <v>89.94</v>
      </c>
    </row>
    <row r="7365" spans="1:12" x14ac:dyDescent="0.2">
      <c r="B7365">
        <v>5606237</v>
      </c>
      <c r="C7365" t="s">
        <v>10466</v>
      </c>
      <c r="D7365">
        <v>12</v>
      </c>
      <c r="E7365">
        <v>6</v>
      </c>
      <c r="F7365">
        <v>0</v>
      </c>
      <c r="G7365">
        <v>0</v>
      </c>
      <c r="H7365">
        <v>100</v>
      </c>
      <c r="I7365">
        <v>0</v>
      </c>
      <c r="J7365">
        <v>10</v>
      </c>
      <c r="K7365">
        <v>0</v>
      </c>
      <c r="L7365" t="s">
        <v>3699</v>
      </c>
    </row>
    <row r="7366" spans="1:12" x14ac:dyDescent="0.2">
      <c r="A7366">
        <v>61225</v>
      </c>
      <c r="B7366">
        <v>5606239</v>
      </c>
      <c r="C7366" t="s">
        <v>10467</v>
      </c>
      <c r="D7366">
        <v>8</v>
      </c>
      <c r="E7366">
        <v>6</v>
      </c>
      <c r="F7366">
        <v>442</v>
      </c>
      <c r="G7366">
        <v>2652</v>
      </c>
      <c r="H7366">
        <v>95</v>
      </c>
      <c r="I7366">
        <v>4.7</v>
      </c>
      <c r="J7366">
        <v>2.99</v>
      </c>
      <c r="K7366">
        <v>7929.48</v>
      </c>
    </row>
    <row r="7367" spans="1:12" x14ac:dyDescent="0.2">
      <c r="B7367">
        <v>5606253</v>
      </c>
      <c r="C7367" t="s">
        <v>10468</v>
      </c>
      <c r="D7367">
        <v>12</v>
      </c>
      <c r="E7367">
        <v>6</v>
      </c>
      <c r="F7367">
        <v>0</v>
      </c>
      <c r="G7367">
        <v>0</v>
      </c>
      <c r="H7367">
        <v>105</v>
      </c>
      <c r="I7367">
        <v>0</v>
      </c>
      <c r="J7367">
        <v>2</v>
      </c>
      <c r="K7367">
        <v>0</v>
      </c>
      <c r="L7367" t="s">
        <v>3699</v>
      </c>
    </row>
    <row r="7368" spans="1:12" x14ac:dyDescent="0.2">
      <c r="B7368">
        <v>5606282</v>
      </c>
      <c r="C7368" t="s">
        <v>10469</v>
      </c>
      <c r="D7368">
        <v>10</v>
      </c>
      <c r="E7368">
        <v>6</v>
      </c>
      <c r="F7368">
        <v>0</v>
      </c>
      <c r="G7368">
        <v>0</v>
      </c>
      <c r="H7368">
        <v>100</v>
      </c>
      <c r="I7368">
        <v>0</v>
      </c>
      <c r="J7368">
        <v>2.89</v>
      </c>
      <c r="K7368">
        <v>0</v>
      </c>
    </row>
    <row r="7369" spans="1:12" x14ac:dyDescent="0.2">
      <c r="B7369">
        <v>5606295</v>
      </c>
      <c r="C7369" t="s">
        <v>10470</v>
      </c>
      <c r="D7369">
        <v>12</v>
      </c>
      <c r="E7369">
        <v>6</v>
      </c>
      <c r="F7369">
        <v>0</v>
      </c>
      <c r="G7369">
        <v>0</v>
      </c>
      <c r="H7369">
        <v>120</v>
      </c>
      <c r="I7369">
        <v>0</v>
      </c>
      <c r="J7369">
        <v>2</v>
      </c>
      <c r="K7369">
        <v>0</v>
      </c>
      <c r="L7369" t="s">
        <v>3699</v>
      </c>
    </row>
    <row r="7370" spans="1:12" x14ac:dyDescent="0.2">
      <c r="B7370">
        <v>5606297</v>
      </c>
      <c r="C7370" t="s">
        <v>10471</v>
      </c>
      <c r="D7370">
        <v>10</v>
      </c>
      <c r="E7370">
        <v>6</v>
      </c>
      <c r="F7370">
        <v>0</v>
      </c>
      <c r="G7370">
        <v>0</v>
      </c>
      <c r="H7370">
        <v>125</v>
      </c>
      <c r="I7370">
        <v>0</v>
      </c>
      <c r="J7370">
        <v>3.99</v>
      </c>
      <c r="K7370">
        <v>0</v>
      </c>
    </row>
    <row r="7371" spans="1:12" x14ac:dyDescent="0.2">
      <c r="B7371">
        <v>5606299</v>
      </c>
      <c r="C7371" t="s">
        <v>10472</v>
      </c>
      <c r="D7371">
        <v>12</v>
      </c>
      <c r="E7371">
        <v>6</v>
      </c>
      <c r="F7371">
        <v>0</v>
      </c>
      <c r="G7371">
        <v>0</v>
      </c>
      <c r="H7371">
        <v>120</v>
      </c>
      <c r="I7371">
        <v>0</v>
      </c>
      <c r="J7371">
        <v>2</v>
      </c>
      <c r="K7371">
        <v>0</v>
      </c>
      <c r="L7371" t="s">
        <v>3699</v>
      </c>
    </row>
    <row r="7372" spans="1:12" x14ac:dyDescent="0.2">
      <c r="A7372">
        <v>31634</v>
      </c>
      <c r="B7372">
        <v>5606306</v>
      </c>
      <c r="C7372" t="s">
        <v>10473</v>
      </c>
      <c r="D7372">
        <v>12</v>
      </c>
      <c r="E7372">
        <v>6</v>
      </c>
      <c r="F7372">
        <v>0</v>
      </c>
      <c r="G7372">
        <v>1</v>
      </c>
      <c r="H7372">
        <v>95</v>
      </c>
      <c r="I7372">
        <v>0</v>
      </c>
      <c r="J7372">
        <v>2</v>
      </c>
      <c r="K7372">
        <v>2</v>
      </c>
      <c r="L7372" t="s">
        <v>3699</v>
      </c>
    </row>
    <row r="7373" spans="1:12" x14ac:dyDescent="0.2">
      <c r="A7373">
        <v>61148</v>
      </c>
      <c r="B7373">
        <v>5606307</v>
      </c>
      <c r="C7373" t="s">
        <v>10474</v>
      </c>
      <c r="D7373">
        <v>10</v>
      </c>
      <c r="E7373">
        <v>6</v>
      </c>
      <c r="F7373">
        <v>205</v>
      </c>
      <c r="G7373">
        <v>1230</v>
      </c>
      <c r="H7373">
        <v>100</v>
      </c>
      <c r="I7373">
        <v>2.1</v>
      </c>
      <c r="J7373">
        <v>2.29</v>
      </c>
      <c r="K7373">
        <v>2816.7</v>
      </c>
    </row>
    <row r="7374" spans="1:12" x14ac:dyDescent="0.2">
      <c r="A7374">
        <v>61151</v>
      </c>
      <c r="B7374">
        <v>5606312</v>
      </c>
      <c r="C7374" t="s">
        <v>10475</v>
      </c>
      <c r="D7374">
        <v>10</v>
      </c>
      <c r="E7374">
        <v>6</v>
      </c>
      <c r="F7374">
        <v>83</v>
      </c>
      <c r="G7374">
        <v>498</v>
      </c>
      <c r="H7374">
        <v>120</v>
      </c>
      <c r="I7374">
        <v>0.7</v>
      </c>
      <c r="J7374">
        <v>1.99</v>
      </c>
      <c r="K7374">
        <v>991.02</v>
      </c>
    </row>
    <row r="7375" spans="1:12" x14ac:dyDescent="0.2">
      <c r="B7375">
        <v>5606335</v>
      </c>
      <c r="C7375" t="s">
        <v>10476</v>
      </c>
      <c r="D7375">
        <v>12</v>
      </c>
      <c r="E7375">
        <v>6</v>
      </c>
      <c r="F7375">
        <v>0</v>
      </c>
      <c r="G7375">
        <v>0</v>
      </c>
      <c r="H7375">
        <v>100</v>
      </c>
      <c r="I7375">
        <v>0</v>
      </c>
      <c r="J7375">
        <v>9</v>
      </c>
      <c r="K7375">
        <v>0</v>
      </c>
      <c r="L7375" t="s">
        <v>3699</v>
      </c>
    </row>
    <row r="7376" spans="1:12" x14ac:dyDescent="0.2">
      <c r="A7376">
        <v>99114</v>
      </c>
      <c r="B7376">
        <v>5606338</v>
      </c>
      <c r="C7376" t="s">
        <v>10477</v>
      </c>
      <c r="D7376">
        <v>11</v>
      </c>
      <c r="E7376">
        <v>8</v>
      </c>
      <c r="F7376">
        <v>0</v>
      </c>
      <c r="G7376">
        <v>0</v>
      </c>
      <c r="H7376">
        <v>90</v>
      </c>
      <c r="I7376">
        <v>0</v>
      </c>
      <c r="J7376">
        <v>1.99</v>
      </c>
      <c r="K7376">
        <v>0</v>
      </c>
    </row>
    <row r="7377" spans="1:11" x14ac:dyDescent="0.2">
      <c r="A7377">
        <v>43533</v>
      </c>
      <c r="B7377">
        <v>5606342</v>
      </c>
      <c r="C7377" t="s">
        <v>10478</v>
      </c>
      <c r="D7377">
        <v>10</v>
      </c>
      <c r="E7377">
        <v>10</v>
      </c>
      <c r="F7377">
        <v>3</v>
      </c>
      <c r="G7377">
        <v>30</v>
      </c>
      <c r="H7377">
        <v>100</v>
      </c>
      <c r="I7377">
        <v>0</v>
      </c>
      <c r="J7377">
        <v>1.99</v>
      </c>
      <c r="K7377">
        <v>59.7</v>
      </c>
    </row>
    <row r="7378" spans="1:11" x14ac:dyDescent="0.2">
      <c r="A7378">
        <v>43650</v>
      </c>
      <c r="B7378">
        <v>5606343</v>
      </c>
      <c r="C7378" t="s">
        <v>10479</v>
      </c>
      <c r="D7378">
        <v>10</v>
      </c>
      <c r="E7378">
        <v>25</v>
      </c>
      <c r="F7378">
        <v>0</v>
      </c>
      <c r="G7378">
        <v>0</v>
      </c>
      <c r="H7378">
        <v>56</v>
      </c>
      <c r="I7378">
        <v>0</v>
      </c>
      <c r="J7378">
        <v>2.19</v>
      </c>
      <c r="K7378">
        <v>0</v>
      </c>
    </row>
    <row r="7379" spans="1:11" x14ac:dyDescent="0.2">
      <c r="A7379">
        <v>52610</v>
      </c>
      <c r="B7379">
        <v>5606346</v>
      </c>
      <c r="C7379" t="s">
        <v>10480</v>
      </c>
      <c r="D7379">
        <v>6</v>
      </c>
      <c r="E7379">
        <v>75</v>
      </c>
      <c r="F7379">
        <v>66</v>
      </c>
      <c r="G7379">
        <v>4950</v>
      </c>
      <c r="H7379">
        <v>6</v>
      </c>
      <c r="I7379">
        <v>11</v>
      </c>
      <c r="J7379">
        <v>2.19</v>
      </c>
      <c r="K7379">
        <v>10840.5</v>
      </c>
    </row>
    <row r="7380" spans="1:11" x14ac:dyDescent="0.2">
      <c r="A7380">
        <v>50506</v>
      </c>
      <c r="B7380">
        <v>5606348</v>
      </c>
      <c r="C7380" t="s">
        <v>10481</v>
      </c>
      <c r="D7380">
        <v>10</v>
      </c>
      <c r="E7380">
        <v>10</v>
      </c>
      <c r="F7380">
        <v>-1</v>
      </c>
      <c r="G7380">
        <v>-10</v>
      </c>
      <c r="H7380">
        <v>144</v>
      </c>
      <c r="I7380">
        <v>0</v>
      </c>
      <c r="J7380">
        <v>9.99</v>
      </c>
      <c r="K7380">
        <v>-99.9</v>
      </c>
    </row>
    <row r="7381" spans="1:11" x14ac:dyDescent="0.2">
      <c r="A7381">
        <v>91058</v>
      </c>
      <c r="B7381">
        <v>5606350</v>
      </c>
      <c r="C7381" t="s">
        <v>10482</v>
      </c>
      <c r="D7381">
        <v>8</v>
      </c>
      <c r="E7381">
        <v>1</v>
      </c>
      <c r="F7381">
        <v>769</v>
      </c>
      <c r="G7381">
        <v>769</v>
      </c>
      <c r="H7381">
        <v>640</v>
      </c>
      <c r="I7381">
        <v>1.2</v>
      </c>
      <c r="J7381">
        <v>3.89</v>
      </c>
      <c r="K7381">
        <v>2991.41</v>
      </c>
    </row>
    <row r="7382" spans="1:11" x14ac:dyDescent="0.2">
      <c r="A7382">
        <v>38625</v>
      </c>
      <c r="B7382">
        <v>5606351</v>
      </c>
      <c r="C7382" t="s">
        <v>10483</v>
      </c>
      <c r="D7382">
        <v>10</v>
      </c>
      <c r="E7382">
        <v>6</v>
      </c>
      <c r="F7382">
        <v>3</v>
      </c>
      <c r="G7382">
        <v>18</v>
      </c>
      <c r="H7382">
        <v>56</v>
      </c>
      <c r="I7382">
        <v>0.1</v>
      </c>
      <c r="J7382">
        <v>2.79</v>
      </c>
      <c r="K7382">
        <v>50.22</v>
      </c>
    </row>
    <row r="7383" spans="1:11" x14ac:dyDescent="0.2">
      <c r="B7383">
        <v>5606352</v>
      </c>
      <c r="C7383" t="s">
        <v>10484</v>
      </c>
      <c r="D7383">
        <v>11</v>
      </c>
      <c r="E7383">
        <v>6</v>
      </c>
      <c r="F7383">
        <v>0</v>
      </c>
      <c r="G7383">
        <v>0</v>
      </c>
      <c r="H7383">
        <v>72</v>
      </c>
      <c r="I7383">
        <v>0</v>
      </c>
      <c r="J7383">
        <v>3.89</v>
      </c>
      <c r="K7383">
        <v>0</v>
      </c>
    </row>
    <row r="7384" spans="1:11" x14ac:dyDescent="0.2">
      <c r="A7384">
        <v>99687</v>
      </c>
      <c r="B7384">
        <v>5606353</v>
      </c>
      <c r="C7384" t="s">
        <v>10485</v>
      </c>
      <c r="D7384">
        <v>12</v>
      </c>
      <c r="E7384">
        <v>10</v>
      </c>
      <c r="F7384">
        <v>0</v>
      </c>
      <c r="G7384">
        <v>0</v>
      </c>
      <c r="H7384">
        <v>72</v>
      </c>
      <c r="I7384">
        <v>0</v>
      </c>
      <c r="J7384">
        <v>17.29</v>
      </c>
      <c r="K7384">
        <v>0</v>
      </c>
    </row>
    <row r="7385" spans="1:11" x14ac:dyDescent="0.2">
      <c r="A7385">
        <v>51512</v>
      </c>
      <c r="B7385">
        <v>5606354</v>
      </c>
      <c r="C7385" t="s">
        <v>10486</v>
      </c>
      <c r="D7385">
        <v>10</v>
      </c>
      <c r="E7385">
        <v>10</v>
      </c>
      <c r="F7385">
        <v>3</v>
      </c>
      <c r="G7385">
        <v>30</v>
      </c>
      <c r="H7385">
        <v>72</v>
      </c>
      <c r="I7385">
        <v>0</v>
      </c>
      <c r="J7385">
        <v>14.99</v>
      </c>
      <c r="K7385">
        <v>449.7</v>
      </c>
    </row>
    <row r="7386" spans="1:11" x14ac:dyDescent="0.2">
      <c r="A7386">
        <v>99711</v>
      </c>
      <c r="B7386">
        <v>5606355</v>
      </c>
      <c r="C7386" t="s">
        <v>10487</v>
      </c>
      <c r="D7386">
        <v>10</v>
      </c>
      <c r="E7386">
        <v>10</v>
      </c>
      <c r="F7386">
        <v>0</v>
      </c>
      <c r="G7386">
        <v>0</v>
      </c>
      <c r="H7386">
        <v>72</v>
      </c>
      <c r="I7386">
        <v>0</v>
      </c>
      <c r="J7386">
        <v>2.4900000000000002</v>
      </c>
      <c r="K7386">
        <v>0</v>
      </c>
    </row>
    <row r="7387" spans="1:11" x14ac:dyDescent="0.2">
      <c r="A7387">
        <v>99180</v>
      </c>
      <c r="B7387">
        <v>5606356</v>
      </c>
      <c r="C7387" t="s">
        <v>10488</v>
      </c>
      <c r="D7387">
        <v>10</v>
      </c>
      <c r="E7387">
        <v>10</v>
      </c>
      <c r="F7387">
        <v>0</v>
      </c>
      <c r="G7387">
        <v>0</v>
      </c>
      <c r="H7387">
        <v>72</v>
      </c>
      <c r="I7387">
        <v>0</v>
      </c>
      <c r="J7387">
        <v>0.01</v>
      </c>
      <c r="K7387">
        <v>0</v>
      </c>
    </row>
    <row r="7388" spans="1:11" x14ac:dyDescent="0.2">
      <c r="A7388">
        <v>99712</v>
      </c>
      <c r="B7388">
        <v>5606357</v>
      </c>
      <c r="C7388" t="s">
        <v>10489</v>
      </c>
      <c r="D7388">
        <v>10</v>
      </c>
      <c r="E7388">
        <v>10</v>
      </c>
      <c r="F7388">
        <v>0</v>
      </c>
      <c r="G7388">
        <v>0</v>
      </c>
      <c r="H7388">
        <v>72</v>
      </c>
      <c r="I7388">
        <v>0</v>
      </c>
      <c r="J7388">
        <v>2.89</v>
      </c>
      <c r="K7388">
        <v>0</v>
      </c>
    </row>
    <row r="7389" spans="1:11" x14ac:dyDescent="0.2">
      <c r="A7389">
        <v>87028</v>
      </c>
      <c r="B7389">
        <v>5606360</v>
      </c>
      <c r="C7389" t="s">
        <v>10490</v>
      </c>
      <c r="D7389">
        <v>8</v>
      </c>
      <c r="E7389">
        <v>10</v>
      </c>
      <c r="F7389">
        <v>72</v>
      </c>
      <c r="G7389">
        <v>720</v>
      </c>
      <c r="H7389">
        <v>72</v>
      </c>
      <c r="I7389">
        <v>1</v>
      </c>
      <c r="J7389">
        <v>2.4900000000000002</v>
      </c>
      <c r="K7389">
        <v>1792.8</v>
      </c>
    </row>
    <row r="7390" spans="1:11" x14ac:dyDescent="0.2">
      <c r="A7390">
        <v>91082</v>
      </c>
      <c r="B7390">
        <v>5606361</v>
      </c>
      <c r="C7390" t="s">
        <v>10491</v>
      </c>
      <c r="D7390">
        <v>8</v>
      </c>
      <c r="E7390">
        <v>1</v>
      </c>
      <c r="F7390">
        <v>608</v>
      </c>
      <c r="G7390">
        <v>608</v>
      </c>
      <c r="H7390">
        <v>1024</v>
      </c>
      <c r="I7390">
        <v>0.6</v>
      </c>
      <c r="J7390">
        <v>3.19</v>
      </c>
      <c r="K7390">
        <v>1939.52</v>
      </c>
    </row>
    <row r="7391" spans="1:11" x14ac:dyDescent="0.2">
      <c r="A7391">
        <v>91039</v>
      </c>
      <c r="B7391">
        <v>5606364</v>
      </c>
      <c r="C7391" t="s">
        <v>10492</v>
      </c>
      <c r="D7391">
        <v>8</v>
      </c>
      <c r="E7391">
        <v>1</v>
      </c>
      <c r="F7391">
        <v>803</v>
      </c>
      <c r="G7391">
        <v>803</v>
      </c>
      <c r="H7391">
        <v>960</v>
      </c>
      <c r="I7391">
        <v>0.8</v>
      </c>
      <c r="J7391">
        <v>2.4900000000000002</v>
      </c>
      <c r="K7391">
        <v>1999.47</v>
      </c>
    </row>
    <row r="7392" spans="1:11" x14ac:dyDescent="0.2">
      <c r="A7392">
        <v>41690</v>
      </c>
      <c r="B7392">
        <v>5606365</v>
      </c>
      <c r="C7392" t="s">
        <v>10493</v>
      </c>
      <c r="D7392">
        <v>10</v>
      </c>
      <c r="E7392">
        <v>6</v>
      </c>
      <c r="F7392">
        <v>0</v>
      </c>
      <c r="G7392">
        <v>0</v>
      </c>
      <c r="H7392">
        <v>105</v>
      </c>
      <c r="I7392">
        <v>0</v>
      </c>
      <c r="J7392">
        <v>3</v>
      </c>
      <c r="K7392">
        <v>0</v>
      </c>
    </row>
    <row r="7393" spans="1:12" x14ac:dyDescent="0.2">
      <c r="B7393">
        <v>5606368</v>
      </c>
      <c r="C7393" t="s">
        <v>10494</v>
      </c>
      <c r="D7393">
        <v>11</v>
      </c>
      <c r="E7393">
        <v>1</v>
      </c>
      <c r="F7393">
        <v>0</v>
      </c>
      <c r="G7393">
        <v>0</v>
      </c>
      <c r="H7393">
        <v>640</v>
      </c>
      <c r="I7393">
        <v>0</v>
      </c>
      <c r="J7393">
        <v>2.4900000000000002</v>
      </c>
      <c r="K7393">
        <v>0</v>
      </c>
    </row>
    <row r="7394" spans="1:12" x14ac:dyDescent="0.2">
      <c r="A7394">
        <v>99713</v>
      </c>
      <c r="B7394">
        <v>5606371</v>
      </c>
      <c r="C7394" t="s">
        <v>10495</v>
      </c>
      <c r="D7394">
        <v>6</v>
      </c>
      <c r="E7394">
        <v>12</v>
      </c>
      <c r="F7394">
        <v>0</v>
      </c>
      <c r="G7394">
        <v>0</v>
      </c>
      <c r="H7394">
        <v>84</v>
      </c>
      <c r="I7394">
        <v>0</v>
      </c>
      <c r="J7394">
        <v>2.79</v>
      </c>
      <c r="K7394">
        <v>0</v>
      </c>
    </row>
    <row r="7395" spans="1:12" x14ac:dyDescent="0.2">
      <c r="B7395">
        <v>5606372</v>
      </c>
      <c r="C7395" t="s">
        <v>10496</v>
      </c>
      <c r="D7395">
        <v>10</v>
      </c>
      <c r="E7395">
        <v>6</v>
      </c>
      <c r="F7395">
        <v>0</v>
      </c>
      <c r="G7395">
        <v>0</v>
      </c>
      <c r="H7395">
        <v>70</v>
      </c>
      <c r="I7395">
        <v>0</v>
      </c>
      <c r="J7395">
        <v>14.95</v>
      </c>
      <c r="K7395">
        <v>0</v>
      </c>
    </row>
    <row r="7396" spans="1:12" x14ac:dyDescent="0.2">
      <c r="B7396">
        <v>5606379</v>
      </c>
      <c r="C7396" t="s">
        <v>10497</v>
      </c>
      <c r="D7396">
        <v>12</v>
      </c>
      <c r="E7396">
        <v>6</v>
      </c>
      <c r="F7396">
        <v>0</v>
      </c>
      <c r="G7396">
        <v>0</v>
      </c>
      <c r="H7396">
        <v>95</v>
      </c>
      <c r="I7396">
        <v>0</v>
      </c>
      <c r="J7396">
        <v>5</v>
      </c>
      <c r="K7396">
        <v>0</v>
      </c>
      <c r="L7396" t="s">
        <v>3699</v>
      </c>
    </row>
    <row r="7397" spans="1:12" x14ac:dyDescent="0.2">
      <c r="B7397">
        <v>5606396</v>
      </c>
      <c r="C7397" t="s">
        <v>10498</v>
      </c>
      <c r="D7397">
        <v>11</v>
      </c>
      <c r="E7397">
        <v>6</v>
      </c>
      <c r="F7397">
        <v>0</v>
      </c>
      <c r="G7397">
        <v>0</v>
      </c>
      <c r="H7397">
        <v>100</v>
      </c>
      <c r="I7397">
        <v>0</v>
      </c>
      <c r="J7397">
        <v>12</v>
      </c>
      <c r="K7397">
        <v>0</v>
      </c>
    </row>
    <row r="7398" spans="1:12" x14ac:dyDescent="0.2">
      <c r="B7398">
        <v>5606400</v>
      </c>
      <c r="C7398" t="s">
        <v>10499</v>
      </c>
      <c r="D7398">
        <v>12</v>
      </c>
      <c r="E7398">
        <v>6</v>
      </c>
      <c r="F7398">
        <v>0</v>
      </c>
      <c r="G7398">
        <v>0</v>
      </c>
      <c r="H7398">
        <v>105</v>
      </c>
      <c r="I7398">
        <v>0</v>
      </c>
      <c r="J7398">
        <v>12</v>
      </c>
      <c r="K7398">
        <v>0</v>
      </c>
      <c r="L7398" t="s">
        <v>3699</v>
      </c>
    </row>
    <row r="7399" spans="1:12" x14ac:dyDescent="0.2">
      <c r="B7399">
        <v>5606408</v>
      </c>
      <c r="C7399" t="s">
        <v>10500</v>
      </c>
      <c r="D7399">
        <v>12</v>
      </c>
      <c r="E7399">
        <v>6</v>
      </c>
      <c r="F7399">
        <v>0</v>
      </c>
      <c r="G7399">
        <v>0</v>
      </c>
      <c r="H7399">
        <v>105</v>
      </c>
      <c r="I7399">
        <v>0</v>
      </c>
      <c r="J7399">
        <v>3</v>
      </c>
      <c r="K7399">
        <v>0</v>
      </c>
      <c r="L7399" t="s">
        <v>3699</v>
      </c>
    </row>
    <row r="7400" spans="1:12" x14ac:dyDescent="0.2">
      <c r="A7400">
        <v>99714</v>
      </c>
      <c r="B7400">
        <v>5606415</v>
      </c>
      <c r="C7400" t="s">
        <v>10501</v>
      </c>
      <c r="D7400">
        <v>10</v>
      </c>
      <c r="E7400">
        <v>10</v>
      </c>
      <c r="F7400">
        <v>0</v>
      </c>
      <c r="G7400">
        <v>0</v>
      </c>
      <c r="H7400">
        <v>60</v>
      </c>
      <c r="I7400">
        <v>0</v>
      </c>
      <c r="J7400">
        <v>2.89</v>
      </c>
      <c r="K7400">
        <v>0</v>
      </c>
    </row>
    <row r="7401" spans="1:12" x14ac:dyDescent="0.2">
      <c r="A7401">
        <v>99715</v>
      </c>
      <c r="B7401">
        <v>5606416</v>
      </c>
      <c r="C7401" t="s">
        <v>4106</v>
      </c>
      <c r="D7401">
        <v>10</v>
      </c>
      <c r="E7401">
        <v>10</v>
      </c>
      <c r="F7401">
        <v>0</v>
      </c>
      <c r="G7401">
        <v>0</v>
      </c>
      <c r="H7401">
        <v>60</v>
      </c>
      <c r="I7401">
        <v>0</v>
      </c>
      <c r="J7401">
        <v>2.89</v>
      </c>
      <c r="K7401">
        <v>0</v>
      </c>
    </row>
    <row r="7402" spans="1:12" x14ac:dyDescent="0.2">
      <c r="B7402">
        <v>5606418</v>
      </c>
      <c r="C7402" t="s">
        <v>7127</v>
      </c>
      <c r="D7402">
        <v>11</v>
      </c>
      <c r="E7402">
        <v>225</v>
      </c>
      <c r="F7402">
        <v>0</v>
      </c>
      <c r="G7402">
        <v>0</v>
      </c>
      <c r="H7402">
        <v>1</v>
      </c>
      <c r="I7402">
        <v>0</v>
      </c>
      <c r="J7402">
        <v>2.19</v>
      </c>
      <c r="K7402">
        <v>0</v>
      </c>
    </row>
    <row r="7403" spans="1:12" x14ac:dyDescent="0.2">
      <c r="B7403">
        <v>5606425</v>
      </c>
      <c r="C7403" t="s">
        <v>10502</v>
      </c>
      <c r="D7403">
        <v>11</v>
      </c>
      <c r="E7403">
        <v>6</v>
      </c>
      <c r="F7403">
        <v>0</v>
      </c>
      <c r="G7403">
        <v>0</v>
      </c>
      <c r="H7403">
        <v>100</v>
      </c>
      <c r="I7403">
        <v>0</v>
      </c>
      <c r="J7403">
        <v>13.95</v>
      </c>
      <c r="K7403">
        <v>0</v>
      </c>
    </row>
    <row r="7404" spans="1:12" x14ac:dyDescent="0.2">
      <c r="A7404">
        <v>72175</v>
      </c>
      <c r="B7404">
        <v>5606429</v>
      </c>
      <c r="C7404" t="s">
        <v>10503</v>
      </c>
      <c r="D7404">
        <v>8</v>
      </c>
      <c r="E7404">
        <v>12</v>
      </c>
      <c r="F7404">
        <v>365</v>
      </c>
      <c r="G7404">
        <v>4380</v>
      </c>
      <c r="H7404">
        <v>150</v>
      </c>
      <c r="I7404">
        <v>2.4</v>
      </c>
      <c r="J7404">
        <v>1.45</v>
      </c>
      <c r="K7404">
        <v>6351</v>
      </c>
    </row>
    <row r="7405" spans="1:12" x14ac:dyDescent="0.2">
      <c r="A7405">
        <v>99716</v>
      </c>
      <c r="B7405">
        <v>5606431</v>
      </c>
      <c r="C7405" t="s">
        <v>10504</v>
      </c>
      <c r="D7405">
        <v>10</v>
      </c>
      <c r="E7405">
        <v>10</v>
      </c>
      <c r="F7405">
        <v>0</v>
      </c>
      <c r="G7405">
        <v>0</v>
      </c>
      <c r="H7405">
        <v>96</v>
      </c>
      <c r="I7405">
        <v>0</v>
      </c>
      <c r="J7405">
        <v>2.4900000000000002</v>
      </c>
      <c r="K7405">
        <v>0</v>
      </c>
    </row>
    <row r="7406" spans="1:12" x14ac:dyDescent="0.2">
      <c r="A7406">
        <v>99717</v>
      </c>
      <c r="B7406">
        <v>5606432</v>
      </c>
      <c r="C7406" t="s">
        <v>10505</v>
      </c>
      <c r="D7406">
        <v>6</v>
      </c>
      <c r="E7406">
        <v>8</v>
      </c>
      <c r="F7406">
        <v>0</v>
      </c>
      <c r="G7406">
        <v>0</v>
      </c>
      <c r="H7406">
        <v>130</v>
      </c>
      <c r="I7406">
        <v>0</v>
      </c>
      <c r="J7406">
        <v>2.4900000000000002</v>
      </c>
      <c r="K7406">
        <v>0</v>
      </c>
    </row>
    <row r="7407" spans="1:12" x14ac:dyDescent="0.2">
      <c r="A7407">
        <v>99718</v>
      </c>
      <c r="B7407">
        <v>5606433</v>
      </c>
      <c r="C7407" t="s">
        <v>10506</v>
      </c>
      <c r="D7407">
        <v>6</v>
      </c>
      <c r="E7407">
        <v>10</v>
      </c>
      <c r="F7407">
        <v>0</v>
      </c>
      <c r="G7407">
        <v>0</v>
      </c>
      <c r="H7407">
        <v>96</v>
      </c>
      <c r="I7407">
        <v>0</v>
      </c>
      <c r="J7407">
        <v>2.4900000000000002</v>
      </c>
      <c r="K7407">
        <v>0</v>
      </c>
    </row>
    <row r="7408" spans="1:12" x14ac:dyDescent="0.2">
      <c r="A7408">
        <v>99719</v>
      </c>
      <c r="B7408">
        <v>5606434</v>
      </c>
      <c r="C7408" t="s">
        <v>10507</v>
      </c>
      <c r="D7408">
        <v>6</v>
      </c>
      <c r="E7408">
        <v>8</v>
      </c>
      <c r="F7408">
        <v>0</v>
      </c>
      <c r="G7408">
        <v>0</v>
      </c>
      <c r="H7408">
        <v>130</v>
      </c>
      <c r="I7408">
        <v>0</v>
      </c>
      <c r="J7408">
        <v>2.4900000000000002</v>
      </c>
      <c r="K7408">
        <v>0</v>
      </c>
    </row>
    <row r="7409" spans="1:11" x14ac:dyDescent="0.2">
      <c r="A7409">
        <v>99720</v>
      </c>
      <c r="B7409">
        <v>5606435</v>
      </c>
      <c r="C7409" t="s">
        <v>10508</v>
      </c>
      <c r="D7409">
        <v>6</v>
      </c>
      <c r="E7409">
        <v>10</v>
      </c>
      <c r="F7409">
        <v>0</v>
      </c>
      <c r="G7409">
        <v>0</v>
      </c>
      <c r="H7409">
        <v>130</v>
      </c>
      <c r="I7409">
        <v>0</v>
      </c>
      <c r="J7409">
        <v>2.59</v>
      </c>
      <c r="K7409">
        <v>0</v>
      </c>
    </row>
    <row r="7410" spans="1:11" x14ac:dyDescent="0.2">
      <c r="A7410">
        <v>99721</v>
      </c>
      <c r="B7410">
        <v>5606436</v>
      </c>
      <c r="C7410" t="s">
        <v>10509</v>
      </c>
      <c r="D7410">
        <v>10</v>
      </c>
      <c r="E7410">
        <v>8</v>
      </c>
      <c r="F7410">
        <v>0</v>
      </c>
      <c r="G7410">
        <v>0</v>
      </c>
      <c r="H7410">
        <v>120</v>
      </c>
      <c r="I7410">
        <v>0</v>
      </c>
      <c r="J7410">
        <v>2.4900000000000002</v>
      </c>
      <c r="K7410">
        <v>0</v>
      </c>
    </row>
    <row r="7411" spans="1:11" x14ac:dyDescent="0.2">
      <c r="A7411">
        <v>99722</v>
      </c>
      <c r="B7411">
        <v>5606437</v>
      </c>
      <c r="C7411" t="s">
        <v>10510</v>
      </c>
      <c r="D7411">
        <v>10</v>
      </c>
      <c r="E7411">
        <v>10</v>
      </c>
      <c r="F7411">
        <v>0</v>
      </c>
      <c r="G7411">
        <v>0</v>
      </c>
      <c r="H7411">
        <v>130</v>
      </c>
      <c r="I7411">
        <v>0</v>
      </c>
      <c r="J7411">
        <v>2.59</v>
      </c>
      <c r="K7411">
        <v>0</v>
      </c>
    </row>
    <row r="7412" spans="1:11" x14ac:dyDescent="0.2">
      <c r="A7412">
        <v>46633</v>
      </c>
      <c r="B7412">
        <v>5606441</v>
      </c>
      <c r="C7412" t="s">
        <v>10511</v>
      </c>
      <c r="D7412">
        <v>10</v>
      </c>
      <c r="E7412">
        <v>12</v>
      </c>
      <c r="F7412">
        <v>0</v>
      </c>
      <c r="G7412">
        <v>0</v>
      </c>
      <c r="H7412">
        <v>96</v>
      </c>
      <c r="I7412">
        <v>0</v>
      </c>
      <c r="J7412">
        <v>2.39</v>
      </c>
      <c r="K7412">
        <v>0</v>
      </c>
    </row>
    <row r="7413" spans="1:11" x14ac:dyDescent="0.2">
      <c r="A7413">
        <v>81177</v>
      </c>
      <c r="B7413">
        <v>5606446</v>
      </c>
      <c r="C7413" t="s">
        <v>10512</v>
      </c>
      <c r="D7413">
        <v>8</v>
      </c>
      <c r="E7413">
        <v>16</v>
      </c>
      <c r="F7413">
        <v>180</v>
      </c>
      <c r="G7413">
        <v>2880</v>
      </c>
      <c r="H7413">
        <v>72</v>
      </c>
      <c r="I7413">
        <v>2.5</v>
      </c>
      <c r="J7413">
        <v>2.99</v>
      </c>
      <c r="K7413">
        <v>8611.2000000000007</v>
      </c>
    </row>
    <row r="7414" spans="1:11" x14ac:dyDescent="0.2">
      <c r="A7414">
        <v>1510</v>
      </c>
      <c r="B7414">
        <v>5606451</v>
      </c>
      <c r="C7414" t="s">
        <v>10513</v>
      </c>
      <c r="D7414">
        <v>6</v>
      </c>
      <c r="E7414">
        <v>12</v>
      </c>
      <c r="F7414">
        <v>0</v>
      </c>
      <c r="G7414">
        <v>0</v>
      </c>
      <c r="H7414">
        <v>99</v>
      </c>
      <c r="I7414">
        <v>0</v>
      </c>
      <c r="J7414">
        <v>1.1299999999999999</v>
      </c>
      <c r="K7414">
        <v>0</v>
      </c>
    </row>
    <row r="7415" spans="1:11" x14ac:dyDescent="0.2">
      <c r="A7415">
        <v>50604</v>
      </c>
      <c r="B7415">
        <v>5606462</v>
      </c>
      <c r="C7415" t="s">
        <v>10514</v>
      </c>
      <c r="D7415">
        <v>10</v>
      </c>
      <c r="E7415">
        <v>12</v>
      </c>
      <c r="F7415">
        <v>1</v>
      </c>
      <c r="G7415">
        <v>12</v>
      </c>
      <c r="H7415">
        <v>132</v>
      </c>
      <c r="I7415">
        <v>0</v>
      </c>
      <c r="J7415">
        <v>3.39</v>
      </c>
      <c r="K7415">
        <v>40.68</v>
      </c>
    </row>
    <row r="7416" spans="1:11" x14ac:dyDescent="0.2">
      <c r="A7416">
        <v>43534</v>
      </c>
      <c r="B7416">
        <v>5606463</v>
      </c>
      <c r="C7416" t="s">
        <v>10515</v>
      </c>
      <c r="D7416">
        <v>10</v>
      </c>
      <c r="E7416">
        <v>5</v>
      </c>
      <c r="F7416">
        <v>3</v>
      </c>
      <c r="G7416">
        <v>15</v>
      </c>
      <c r="H7416">
        <v>140</v>
      </c>
      <c r="I7416">
        <v>0</v>
      </c>
      <c r="J7416">
        <v>2.59</v>
      </c>
      <c r="K7416">
        <v>38.85</v>
      </c>
    </row>
    <row r="7417" spans="1:11" x14ac:dyDescent="0.2">
      <c r="A7417">
        <v>85149</v>
      </c>
      <c r="B7417">
        <v>5606464</v>
      </c>
      <c r="C7417" t="s">
        <v>10516</v>
      </c>
      <c r="D7417">
        <v>10</v>
      </c>
      <c r="E7417">
        <v>5</v>
      </c>
      <c r="F7417">
        <v>0</v>
      </c>
      <c r="G7417">
        <v>0</v>
      </c>
      <c r="H7417">
        <v>140</v>
      </c>
      <c r="I7417">
        <v>0</v>
      </c>
      <c r="J7417">
        <v>3.59</v>
      </c>
      <c r="K7417">
        <v>0</v>
      </c>
    </row>
    <row r="7418" spans="1:11" x14ac:dyDescent="0.2">
      <c r="A7418">
        <v>57585</v>
      </c>
      <c r="B7418">
        <v>5606467</v>
      </c>
      <c r="C7418" t="s">
        <v>10517</v>
      </c>
      <c r="D7418">
        <v>10</v>
      </c>
      <c r="E7418">
        <v>16</v>
      </c>
      <c r="F7418">
        <v>0</v>
      </c>
      <c r="G7418">
        <v>0</v>
      </c>
      <c r="H7418">
        <v>56</v>
      </c>
      <c r="I7418">
        <v>0</v>
      </c>
      <c r="J7418">
        <v>0.5</v>
      </c>
      <c r="K7418">
        <v>0</v>
      </c>
    </row>
    <row r="7419" spans="1:11" x14ac:dyDescent="0.2">
      <c r="A7419">
        <v>85151</v>
      </c>
      <c r="B7419">
        <v>5606472</v>
      </c>
      <c r="C7419" t="s">
        <v>10518</v>
      </c>
      <c r="D7419">
        <v>10</v>
      </c>
      <c r="E7419">
        <v>6</v>
      </c>
      <c r="F7419">
        <v>0</v>
      </c>
      <c r="G7419">
        <v>0</v>
      </c>
      <c r="H7419">
        <v>143</v>
      </c>
      <c r="I7419">
        <v>0</v>
      </c>
      <c r="J7419">
        <v>2.19</v>
      </c>
      <c r="K7419">
        <v>0</v>
      </c>
    </row>
    <row r="7420" spans="1:11" x14ac:dyDescent="0.2">
      <c r="A7420">
        <v>51513</v>
      </c>
      <c r="B7420">
        <v>5606473</v>
      </c>
      <c r="C7420" t="s">
        <v>10519</v>
      </c>
      <c r="D7420">
        <v>10</v>
      </c>
      <c r="E7420">
        <v>12</v>
      </c>
      <c r="F7420">
        <v>3</v>
      </c>
      <c r="G7420">
        <v>36</v>
      </c>
      <c r="H7420">
        <v>147</v>
      </c>
      <c r="I7420">
        <v>0</v>
      </c>
      <c r="J7420">
        <v>2.99</v>
      </c>
      <c r="K7420">
        <v>107.64</v>
      </c>
    </row>
    <row r="7421" spans="1:11" x14ac:dyDescent="0.2">
      <c r="B7421">
        <v>5606474</v>
      </c>
      <c r="C7421" t="s">
        <v>10520</v>
      </c>
      <c r="D7421">
        <v>6</v>
      </c>
      <c r="E7421">
        <v>6</v>
      </c>
      <c r="F7421">
        <v>0</v>
      </c>
      <c r="G7421">
        <v>0</v>
      </c>
      <c r="H7421">
        <v>180</v>
      </c>
      <c r="I7421">
        <v>0</v>
      </c>
      <c r="J7421">
        <v>1.69</v>
      </c>
      <c r="K7421">
        <v>0</v>
      </c>
    </row>
    <row r="7422" spans="1:11" x14ac:dyDescent="0.2">
      <c r="A7422">
        <v>99784</v>
      </c>
      <c r="B7422">
        <v>5606475</v>
      </c>
      <c r="C7422" t="s">
        <v>10521</v>
      </c>
      <c r="D7422">
        <v>10</v>
      </c>
      <c r="E7422">
        <v>12</v>
      </c>
      <c r="F7422">
        <v>0</v>
      </c>
      <c r="G7422">
        <v>0</v>
      </c>
      <c r="H7422">
        <v>55</v>
      </c>
      <c r="I7422">
        <v>0</v>
      </c>
      <c r="J7422">
        <v>3.79</v>
      </c>
      <c r="K7422">
        <v>0</v>
      </c>
    </row>
    <row r="7423" spans="1:11" x14ac:dyDescent="0.2">
      <c r="A7423">
        <v>99842</v>
      </c>
      <c r="B7423">
        <v>5606476</v>
      </c>
      <c r="C7423" t="s">
        <v>10522</v>
      </c>
      <c r="D7423">
        <v>10</v>
      </c>
      <c r="E7423">
        <v>8</v>
      </c>
      <c r="F7423">
        <v>0</v>
      </c>
      <c r="G7423">
        <v>0</v>
      </c>
      <c r="H7423">
        <v>77</v>
      </c>
      <c r="I7423">
        <v>0</v>
      </c>
      <c r="J7423">
        <v>3.3</v>
      </c>
      <c r="K7423">
        <v>0</v>
      </c>
    </row>
    <row r="7424" spans="1:11" x14ac:dyDescent="0.2">
      <c r="A7424">
        <v>99804</v>
      </c>
      <c r="B7424">
        <v>5606477</v>
      </c>
      <c r="C7424" t="s">
        <v>10523</v>
      </c>
      <c r="D7424">
        <v>10</v>
      </c>
      <c r="E7424">
        <v>12</v>
      </c>
      <c r="F7424">
        <v>0</v>
      </c>
      <c r="G7424">
        <v>0</v>
      </c>
      <c r="H7424">
        <v>35</v>
      </c>
      <c r="I7424">
        <v>0</v>
      </c>
      <c r="J7424">
        <v>5.69</v>
      </c>
      <c r="K7424">
        <v>0</v>
      </c>
    </row>
    <row r="7425" spans="1:11" x14ac:dyDescent="0.2">
      <c r="A7425">
        <v>99813</v>
      </c>
      <c r="B7425">
        <v>5606478</v>
      </c>
      <c r="C7425" t="s">
        <v>10524</v>
      </c>
      <c r="D7425">
        <v>10</v>
      </c>
      <c r="E7425">
        <v>12</v>
      </c>
      <c r="F7425">
        <v>0</v>
      </c>
      <c r="G7425">
        <v>0</v>
      </c>
      <c r="H7425">
        <v>56</v>
      </c>
      <c r="I7425">
        <v>0</v>
      </c>
      <c r="J7425">
        <v>6.59</v>
      </c>
      <c r="K7425">
        <v>0</v>
      </c>
    </row>
    <row r="7426" spans="1:11" x14ac:dyDescent="0.2">
      <c r="A7426">
        <v>48511</v>
      </c>
      <c r="B7426">
        <v>5606479</v>
      </c>
      <c r="C7426" t="s">
        <v>10525</v>
      </c>
      <c r="D7426">
        <v>10</v>
      </c>
      <c r="E7426">
        <v>4</v>
      </c>
      <c r="F7426">
        <v>-1</v>
      </c>
      <c r="G7426">
        <v>-4</v>
      </c>
      <c r="H7426">
        <v>150</v>
      </c>
      <c r="I7426">
        <v>0</v>
      </c>
      <c r="J7426">
        <v>3.99</v>
      </c>
      <c r="K7426">
        <v>-15.96</v>
      </c>
    </row>
    <row r="7427" spans="1:11" x14ac:dyDescent="0.2">
      <c r="A7427">
        <v>85153</v>
      </c>
      <c r="B7427">
        <v>5606481</v>
      </c>
      <c r="C7427" t="s">
        <v>10526</v>
      </c>
      <c r="D7427">
        <v>10</v>
      </c>
      <c r="E7427">
        <v>8</v>
      </c>
      <c r="F7427">
        <v>0</v>
      </c>
      <c r="G7427">
        <v>0</v>
      </c>
      <c r="H7427">
        <v>120</v>
      </c>
      <c r="I7427">
        <v>0</v>
      </c>
      <c r="J7427">
        <v>3.99</v>
      </c>
      <c r="K7427">
        <v>0</v>
      </c>
    </row>
    <row r="7428" spans="1:11" x14ac:dyDescent="0.2">
      <c r="A7428">
        <v>50507</v>
      </c>
      <c r="B7428">
        <v>5606482</v>
      </c>
      <c r="C7428" t="s">
        <v>10527</v>
      </c>
      <c r="D7428">
        <v>10</v>
      </c>
      <c r="E7428">
        <v>4</v>
      </c>
      <c r="F7428">
        <v>-1</v>
      </c>
      <c r="G7428">
        <v>-4</v>
      </c>
      <c r="H7428">
        <v>150</v>
      </c>
      <c r="I7428">
        <v>0</v>
      </c>
      <c r="J7428">
        <v>4.29</v>
      </c>
      <c r="K7428">
        <v>-17.16</v>
      </c>
    </row>
    <row r="7429" spans="1:11" x14ac:dyDescent="0.2">
      <c r="A7429">
        <v>1528</v>
      </c>
      <c r="B7429">
        <v>5606483</v>
      </c>
      <c r="C7429" t="s">
        <v>10528</v>
      </c>
      <c r="D7429">
        <v>6</v>
      </c>
      <c r="E7429">
        <v>6</v>
      </c>
      <c r="F7429">
        <v>0</v>
      </c>
      <c r="G7429">
        <v>0</v>
      </c>
      <c r="H7429">
        <v>72</v>
      </c>
      <c r="I7429">
        <v>0</v>
      </c>
      <c r="J7429">
        <v>1.99</v>
      </c>
      <c r="K7429">
        <v>0</v>
      </c>
    </row>
    <row r="7430" spans="1:11" x14ac:dyDescent="0.2">
      <c r="A7430">
        <v>3609</v>
      </c>
      <c r="B7430">
        <v>5606484</v>
      </c>
      <c r="C7430" t="s">
        <v>10529</v>
      </c>
      <c r="D7430">
        <v>6</v>
      </c>
      <c r="E7430">
        <v>12</v>
      </c>
      <c r="F7430">
        <v>0</v>
      </c>
      <c r="G7430">
        <v>0</v>
      </c>
      <c r="H7430">
        <v>133</v>
      </c>
      <c r="I7430">
        <v>0</v>
      </c>
      <c r="J7430">
        <v>0.99</v>
      </c>
      <c r="K7430">
        <v>0</v>
      </c>
    </row>
    <row r="7431" spans="1:11" x14ac:dyDescent="0.2">
      <c r="A7431">
        <v>99770</v>
      </c>
      <c r="B7431">
        <v>5606487</v>
      </c>
      <c r="C7431" t="s">
        <v>10530</v>
      </c>
      <c r="D7431">
        <v>10</v>
      </c>
      <c r="E7431">
        <v>8</v>
      </c>
      <c r="F7431">
        <v>0</v>
      </c>
      <c r="G7431">
        <v>0</v>
      </c>
      <c r="H7431">
        <v>42</v>
      </c>
      <c r="I7431">
        <v>0</v>
      </c>
      <c r="J7431">
        <v>5.99</v>
      </c>
      <c r="K7431">
        <v>0</v>
      </c>
    </row>
    <row r="7432" spans="1:11" x14ac:dyDescent="0.2">
      <c r="B7432">
        <v>5606490</v>
      </c>
      <c r="C7432" t="s">
        <v>10531</v>
      </c>
      <c r="D7432">
        <v>11</v>
      </c>
      <c r="E7432">
        <v>5</v>
      </c>
      <c r="F7432">
        <v>0</v>
      </c>
      <c r="G7432">
        <v>0</v>
      </c>
      <c r="H7432">
        <v>96</v>
      </c>
      <c r="I7432">
        <v>0</v>
      </c>
      <c r="J7432">
        <v>2.4900000000000002</v>
      </c>
      <c r="K7432">
        <v>0</v>
      </c>
    </row>
    <row r="7433" spans="1:11" x14ac:dyDescent="0.2">
      <c r="A7433">
        <v>30514</v>
      </c>
      <c r="B7433">
        <v>5606491</v>
      </c>
      <c r="C7433" t="s">
        <v>10532</v>
      </c>
      <c r="D7433">
        <v>10</v>
      </c>
      <c r="E7433">
        <v>6</v>
      </c>
      <c r="F7433">
        <v>0</v>
      </c>
      <c r="G7433">
        <v>0</v>
      </c>
      <c r="H7433">
        <v>96</v>
      </c>
      <c r="I7433">
        <v>0</v>
      </c>
      <c r="J7433">
        <v>3.79</v>
      </c>
      <c r="K7433">
        <v>0</v>
      </c>
    </row>
    <row r="7434" spans="1:11" x14ac:dyDescent="0.2">
      <c r="A7434">
        <v>3532</v>
      </c>
      <c r="B7434">
        <v>5606492</v>
      </c>
      <c r="C7434" t="s">
        <v>10533</v>
      </c>
      <c r="D7434">
        <v>6</v>
      </c>
      <c r="E7434">
        <v>6</v>
      </c>
      <c r="F7434">
        <v>0</v>
      </c>
      <c r="G7434">
        <v>0</v>
      </c>
      <c r="H7434">
        <v>96</v>
      </c>
      <c r="I7434">
        <v>0</v>
      </c>
      <c r="J7434">
        <v>3.79</v>
      </c>
      <c r="K7434">
        <v>0</v>
      </c>
    </row>
    <row r="7435" spans="1:11" x14ac:dyDescent="0.2">
      <c r="B7435">
        <v>5606493</v>
      </c>
      <c r="C7435" t="s">
        <v>10534</v>
      </c>
      <c r="D7435">
        <v>11</v>
      </c>
      <c r="E7435">
        <v>6</v>
      </c>
      <c r="F7435">
        <v>0</v>
      </c>
      <c r="G7435">
        <v>0</v>
      </c>
      <c r="H7435">
        <v>105</v>
      </c>
      <c r="I7435">
        <v>0</v>
      </c>
      <c r="J7435">
        <v>0.89</v>
      </c>
      <c r="K7435">
        <v>0</v>
      </c>
    </row>
    <row r="7436" spans="1:11" x14ac:dyDescent="0.2">
      <c r="B7436">
        <v>5606503</v>
      </c>
      <c r="C7436" t="s">
        <v>10535</v>
      </c>
      <c r="D7436">
        <v>11</v>
      </c>
      <c r="E7436">
        <v>1</v>
      </c>
      <c r="F7436">
        <v>-9</v>
      </c>
      <c r="G7436">
        <v>-9</v>
      </c>
      <c r="H7436">
        <v>240</v>
      </c>
      <c r="I7436">
        <v>0</v>
      </c>
      <c r="J7436">
        <v>4.99</v>
      </c>
      <c r="K7436">
        <v>-44.91</v>
      </c>
    </row>
    <row r="7437" spans="1:11" x14ac:dyDescent="0.2">
      <c r="B7437">
        <v>5606505</v>
      </c>
      <c r="C7437" t="s">
        <v>10536</v>
      </c>
      <c r="D7437">
        <v>11</v>
      </c>
      <c r="E7437">
        <v>1</v>
      </c>
      <c r="F7437">
        <v>-37</v>
      </c>
      <c r="G7437">
        <v>-37</v>
      </c>
      <c r="H7437">
        <v>80</v>
      </c>
      <c r="I7437">
        <v>-0.5</v>
      </c>
      <c r="J7437">
        <v>4.99</v>
      </c>
      <c r="K7437">
        <v>-184.63</v>
      </c>
    </row>
    <row r="7438" spans="1:11" x14ac:dyDescent="0.2">
      <c r="B7438">
        <v>5606506</v>
      </c>
      <c r="C7438" t="s">
        <v>10537</v>
      </c>
      <c r="D7438">
        <v>11</v>
      </c>
      <c r="E7438">
        <v>1</v>
      </c>
      <c r="F7438">
        <v>0</v>
      </c>
      <c r="G7438">
        <v>0</v>
      </c>
      <c r="H7438">
        <v>816</v>
      </c>
      <c r="I7438">
        <v>0</v>
      </c>
      <c r="J7438">
        <v>2.99</v>
      </c>
      <c r="K7438">
        <v>0</v>
      </c>
    </row>
    <row r="7439" spans="1:11" x14ac:dyDescent="0.2">
      <c r="A7439">
        <v>1615</v>
      </c>
      <c r="B7439">
        <v>5606507</v>
      </c>
      <c r="C7439" t="s">
        <v>10538</v>
      </c>
      <c r="D7439">
        <v>6</v>
      </c>
      <c r="E7439">
        <v>8</v>
      </c>
      <c r="F7439">
        <v>0</v>
      </c>
      <c r="G7439">
        <v>0</v>
      </c>
      <c r="H7439">
        <v>102</v>
      </c>
      <c r="I7439">
        <v>0</v>
      </c>
      <c r="J7439">
        <v>1.49</v>
      </c>
      <c r="K7439">
        <v>0</v>
      </c>
    </row>
    <row r="7440" spans="1:11" x14ac:dyDescent="0.2">
      <c r="A7440">
        <v>45610</v>
      </c>
      <c r="B7440">
        <v>5606518</v>
      </c>
      <c r="C7440" t="s">
        <v>10539</v>
      </c>
      <c r="D7440">
        <v>10</v>
      </c>
      <c r="E7440">
        <v>12</v>
      </c>
      <c r="F7440">
        <v>0</v>
      </c>
      <c r="G7440">
        <v>0</v>
      </c>
      <c r="H7440">
        <v>48</v>
      </c>
      <c r="I7440">
        <v>0</v>
      </c>
      <c r="J7440">
        <v>2</v>
      </c>
      <c r="K7440">
        <v>0</v>
      </c>
    </row>
    <row r="7441" spans="1:11" x14ac:dyDescent="0.2">
      <c r="A7441">
        <v>48609</v>
      </c>
      <c r="B7441">
        <v>5606520</v>
      </c>
      <c r="C7441" t="s">
        <v>10540</v>
      </c>
      <c r="D7441">
        <v>10</v>
      </c>
      <c r="E7441">
        <v>8</v>
      </c>
      <c r="F7441">
        <v>0</v>
      </c>
      <c r="G7441">
        <v>0</v>
      </c>
      <c r="H7441">
        <v>112</v>
      </c>
      <c r="I7441">
        <v>0</v>
      </c>
      <c r="J7441">
        <v>5.89</v>
      </c>
      <c r="K7441">
        <v>0</v>
      </c>
    </row>
    <row r="7442" spans="1:11" x14ac:dyDescent="0.2">
      <c r="A7442">
        <v>65166</v>
      </c>
      <c r="B7442">
        <v>5606525</v>
      </c>
      <c r="C7442" t="s">
        <v>10541</v>
      </c>
      <c r="D7442">
        <v>8</v>
      </c>
      <c r="E7442">
        <v>12</v>
      </c>
      <c r="F7442">
        <v>252</v>
      </c>
      <c r="G7442">
        <v>3024</v>
      </c>
      <c r="H7442">
        <v>156</v>
      </c>
      <c r="I7442">
        <v>1.6</v>
      </c>
      <c r="J7442">
        <v>1.25</v>
      </c>
      <c r="K7442">
        <v>3780</v>
      </c>
    </row>
    <row r="7443" spans="1:11" x14ac:dyDescent="0.2">
      <c r="B7443">
        <v>5606527</v>
      </c>
      <c r="C7443" t="s">
        <v>10542</v>
      </c>
      <c r="D7443">
        <v>11</v>
      </c>
      <c r="E7443">
        <v>16</v>
      </c>
      <c r="F7443">
        <v>0</v>
      </c>
      <c r="G7443">
        <v>0</v>
      </c>
      <c r="H7443">
        <v>98</v>
      </c>
      <c r="I7443">
        <v>0</v>
      </c>
      <c r="J7443">
        <v>1</v>
      </c>
      <c r="K7443">
        <v>0</v>
      </c>
    </row>
    <row r="7444" spans="1:11" x14ac:dyDescent="0.2">
      <c r="A7444">
        <v>91008</v>
      </c>
      <c r="B7444">
        <v>5606531</v>
      </c>
      <c r="C7444" t="s">
        <v>9753</v>
      </c>
      <c r="D7444">
        <v>8</v>
      </c>
      <c r="E7444">
        <v>1</v>
      </c>
      <c r="F7444">
        <v>414</v>
      </c>
      <c r="G7444">
        <v>414</v>
      </c>
      <c r="H7444">
        <v>720</v>
      </c>
      <c r="I7444">
        <v>0.6</v>
      </c>
      <c r="J7444">
        <v>4.1900000000000004</v>
      </c>
      <c r="K7444">
        <v>1734.66</v>
      </c>
    </row>
    <row r="7445" spans="1:11" x14ac:dyDescent="0.2">
      <c r="A7445">
        <v>91010</v>
      </c>
      <c r="B7445">
        <v>5606532</v>
      </c>
      <c r="C7445" t="s">
        <v>9748</v>
      </c>
      <c r="D7445">
        <v>8</v>
      </c>
      <c r="E7445">
        <v>1</v>
      </c>
      <c r="F7445">
        <v>462</v>
      </c>
      <c r="G7445">
        <v>462</v>
      </c>
      <c r="H7445">
        <v>720</v>
      </c>
      <c r="I7445">
        <v>0.6</v>
      </c>
      <c r="J7445">
        <v>4.55</v>
      </c>
      <c r="K7445">
        <v>2102.1</v>
      </c>
    </row>
    <row r="7446" spans="1:11" x14ac:dyDescent="0.2">
      <c r="A7446">
        <v>44620</v>
      </c>
      <c r="B7446">
        <v>5606536</v>
      </c>
      <c r="C7446" t="s">
        <v>10543</v>
      </c>
      <c r="D7446">
        <v>10</v>
      </c>
      <c r="E7446">
        <v>28</v>
      </c>
      <c r="F7446">
        <v>3</v>
      </c>
      <c r="G7446">
        <v>84</v>
      </c>
      <c r="H7446">
        <v>70</v>
      </c>
      <c r="I7446">
        <v>0</v>
      </c>
      <c r="J7446">
        <v>1.29</v>
      </c>
      <c r="K7446">
        <v>108.36</v>
      </c>
    </row>
    <row r="7447" spans="1:11" x14ac:dyDescent="0.2">
      <c r="B7447">
        <v>5606538</v>
      </c>
      <c r="C7447" t="s">
        <v>10544</v>
      </c>
      <c r="D7447">
        <v>11</v>
      </c>
      <c r="E7447">
        <v>1</v>
      </c>
      <c r="F7447">
        <v>0</v>
      </c>
      <c r="G7447">
        <v>0</v>
      </c>
      <c r="H7447">
        <v>576</v>
      </c>
      <c r="I7447">
        <v>0</v>
      </c>
      <c r="J7447">
        <v>5.19</v>
      </c>
      <c r="K7447">
        <v>0</v>
      </c>
    </row>
    <row r="7448" spans="1:11" x14ac:dyDescent="0.2">
      <c r="A7448">
        <v>87047</v>
      </c>
      <c r="B7448">
        <v>5606540</v>
      </c>
      <c r="C7448" t="s">
        <v>10545</v>
      </c>
      <c r="D7448">
        <v>8</v>
      </c>
      <c r="E7448">
        <v>9</v>
      </c>
      <c r="F7448">
        <v>0</v>
      </c>
      <c r="G7448">
        <v>0</v>
      </c>
      <c r="H7448">
        <v>64</v>
      </c>
      <c r="I7448">
        <v>0</v>
      </c>
      <c r="J7448">
        <v>2.39</v>
      </c>
      <c r="K7448">
        <v>0</v>
      </c>
    </row>
    <row r="7449" spans="1:11" x14ac:dyDescent="0.2">
      <c r="A7449">
        <v>99655</v>
      </c>
      <c r="B7449">
        <v>5606544</v>
      </c>
      <c r="C7449" t="s">
        <v>10546</v>
      </c>
      <c r="D7449">
        <v>10</v>
      </c>
      <c r="E7449">
        <v>12</v>
      </c>
      <c r="F7449">
        <v>0</v>
      </c>
      <c r="G7449">
        <v>0</v>
      </c>
      <c r="H7449">
        <v>90</v>
      </c>
      <c r="I7449">
        <v>0</v>
      </c>
      <c r="J7449">
        <v>2.4900000000000002</v>
      </c>
      <c r="K7449">
        <v>0</v>
      </c>
    </row>
    <row r="7450" spans="1:11" x14ac:dyDescent="0.2">
      <c r="A7450">
        <v>99843</v>
      </c>
      <c r="B7450">
        <v>5606545</v>
      </c>
      <c r="C7450" t="s">
        <v>10547</v>
      </c>
      <c r="D7450">
        <v>10</v>
      </c>
      <c r="E7450">
        <v>8</v>
      </c>
      <c r="F7450">
        <v>0</v>
      </c>
      <c r="G7450">
        <v>0</v>
      </c>
      <c r="H7450">
        <v>63</v>
      </c>
      <c r="I7450">
        <v>0</v>
      </c>
      <c r="J7450">
        <v>2.99</v>
      </c>
      <c r="K7450">
        <v>0</v>
      </c>
    </row>
    <row r="7451" spans="1:11" x14ac:dyDescent="0.2">
      <c r="A7451">
        <v>99270</v>
      </c>
      <c r="B7451">
        <v>5606546</v>
      </c>
      <c r="C7451" t="s">
        <v>10548</v>
      </c>
      <c r="D7451">
        <v>10</v>
      </c>
      <c r="E7451">
        <v>8</v>
      </c>
      <c r="F7451">
        <v>0</v>
      </c>
      <c r="G7451">
        <v>0</v>
      </c>
      <c r="H7451">
        <v>70</v>
      </c>
      <c r="I7451">
        <v>0</v>
      </c>
      <c r="J7451">
        <v>3.4</v>
      </c>
      <c r="K7451">
        <v>0</v>
      </c>
    </row>
    <row r="7452" spans="1:11" x14ac:dyDescent="0.2">
      <c r="B7452">
        <v>5606547</v>
      </c>
      <c r="C7452" t="s">
        <v>10549</v>
      </c>
      <c r="D7452">
        <v>11</v>
      </c>
      <c r="E7452">
        <v>1</v>
      </c>
      <c r="F7452">
        <v>0</v>
      </c>
      <c r="G7452">
        <v>0</v>
      </c>
      <c r="H7452">
        <v>400</v>
      </c>
      <c r="I7452">
        <v>0</v>
      </c>
      <c r="J7452">
        <v>2.4900000000000002</v>
      </c>
      <c r="K7452">
        <v>0</v>
      </c>
    </row>
    <row r="7453" spans="1:11" x14ac:dyDescent="0.2">
      <c r="B7453">
        <v>5606548</v>
      </c>
      <c r="C7453" t="s">
        <v>10550</v>
      </c>
      <c r="D7453">
        <v>11</v>
      </c>
      <c r="E7453">
        <v>1</v>
      </c>
      <c r="F7453">
        <v>306</v>
      </c>
      <c r="G7453">
        <v>306</v>
      </c>
      <c r="H7453">
        <v>56</v>
      </c>
      <c r="I7453">
        <v>5.5</v>
      </c>
      <c r="J7453">
        <v>2.4900000000000002</v>
      </c>
      <c r="K7453">
        <v>762.92</v>
      </c>
    </row>
    <row r="7454" spans="1:11" x14ac:dyDescent="0.2">
      <c r="A7454">
        <v>46508</v>
      </c>
      <c r="B7454">
        <v>5606551</v>
      </c>
      <c r="C7454" t="s">
        <v>10551</v>
      </c>
      <c r="D7454">
        <v>10</v>
      </c>
      <c r="E7454">
        <v>6</v>
      </c>
      <c r="F7454">
        <v>-1</v>
      </c>
      <c r="G7454">
        <v>-6</v>
      </c>
      <c r="H7454">
        <v>70</v>
      </c>
      <c r="I7454">
        <v>0</v>
      </c>
      <c r="J7454">
        <v>3.99</v>
      </c>
      <c r="K7454">
        <v>-23.94</v>
      </c>
    </row>
    <row r="7455" spans="1:11" x14ac:dyDescent="0.2">
      <c r="A7455">
        <v>72241</v>
      </c>
      <c r="B7455">
        <v>5606558</v>
      </c>
      <c r="C7455" t="s">
        <v>10552</v>
      </c>
      <c r="D7455">
        <v>8</v>
      </c>
      <c r="E7455">
        <v>8</v>
      </c>
      <c r="F7455">
        <v>175</v>
      </c>
      <c r="G7455">
        <v>1400</v>
      </c>
      <c r="H7455">
        <v>48</v>
      </c>
      <c r="I7455">
        <v>3.6</v>
      </c>
      <c r="J7455">
        <v>3.99</v>
      </c>
      <c r="K7455">
        <v>5586</v>
      </c>
    </row>
    <row r="7456" spans="1:11" x14ac:dyDescent="0.2">
      <c r="A7456">
        <v>33518</v>
      </c>
      <c r="B7456">
        <v>5606559</v>
      </c>
      <c r="C7456" t="s">
        <v>10553</v>
      </c>
      <c r="D7456">
        <v>10</v>
      </c>
      <c r="E7456">
        <v>16</v>
      </c>
      <c r="F7456">
        <v>0</v>
      </c>
      <c r="G7456">
        <v>0</v>
      </c>
      <c r="H7456">
        <v>64</v>
      </c>
      <c r="I7456">
        <v>0</v>
      </c>
      <c r="J7456">
        <v>1.0900000000000001</v>
      </c>
      <c r="K7456">
        <v>0</v>
      </c>
    </row>
    <row r="7457" spans="1:11" x14ac:dyDescent="0.2">
      <c r="B7457">
        <v>5606560</v>
      </c>
      <c r="C7457" t="s">
        <v>10554</v>
      </c>
      <c r="D7457">
        <v>11</v>
      </c>
      <c r="E7457">
        <v>16</v>
      </c>
      <c r="F7457">
        <v>0</v>
      </c>
      <c r="G7457">
        <v>0</v>
      </c>
      <c r="H7457">
        <v>64</v>
      </c>
      <c r="I7457">
        <v>0</v>
      </c>
      <c r="J7457">
        <v>1.0900000000000001</v>
      </c>
      <c r="K7457">
        <v>0</v>
      </c>
    </row>
    <row r="7458" spans="1:11" x14ac:dyDescent="0.2">
      <c r="B7458">
        <v>5606561</v>
      </c>
      <c r="C7458" t="s">
        <v>10555</v>
      </c>
      <c r="D7458">
        <v>11</v>
      </c>
      <c r="E7458">
        <v>16</v>
      </c>
      <c r="F7458">
        <v>0</v>
      </c>
      <c r="G7458">
        <v>0</v>
      </c>
      <c r="H7458">
        <v>64</v>
      </c>
      <c r="I7458">
        <v>0</v>
      </c>
      <c r="J7458">
        <v>1.0900000000000001</v>
      </c>
      <c r="K7458">
        <v>0</v>
      </c>
    </row>
    <row r="7459" spans="1:11" x14ac:dyDescent="0.2">
      <c r="A7459">
        <v>48640</v>
      </c>
      <c r="B7459">
        <v>5606565</v>
      </c>
      <c r="C7459" t="s">
        <v>10556</v>
      </c>
      <c r="D7459">
        <v>10</v>
      </c>
      <c r="E7459">
        <v>9</v>
      </c>
      <c r="F7459">
        <v>-3</v>
      </c>
      <c r="G7459">
        <v>-27</v>
      </c>
      <c r="H7459">
        <v>70</v>
      </c>
      <c r="I7459">
        <v>0</v>
      </c>
      <c r="J7459">
        <v>8.99</v>
      </c>
      <c r="K7459">
        <v>-242.73</v>
      </c>
    </row>
    <row r="7460" spans="1:11" x14ac:dyDescent="0.2">
      <c r="B7460">
        <v>5606568</v>
      </c>
      <c r="C7460" t="s">
        <v>10557</v>
      </c>
      <c r="D7460">
        <v>11</v>
      </c>
      <c r="E7460">
        <v>12</v>
      </c>
      <c r="F7460">
        <v>0</v>
      </c>
      <c r="G7460">
        <v>0</v>
      </c>
      <c r="H7460">
        <v>80</v>
      </c>
      <c r="I7460">
        <v>0</v>
      </c>
      <c r="J7460">
        <v>1.39</v>
      </c>
      <c r="K7460">
        <v>0</v>
      </c>
    </row>
    <row r="7461" spans="1:11" x14ac:dyDescent="0.2">
      <c r="B7461">
        <v>5606569</v>
      </c>
      <c r="C7461" t="s">
        <v>10558</v>
      </c>
      <c r="D7461">
        <v>11</v>
      </c>
      <c r="E7461">
        <v>20</v>
      </c>
      <c r="F7461">
        <v>0</v>
      </c>
      <c r="G7461">
        <v>0</v>
      </c>
      <c r="H7461">
        <v>48</v>
      </c>
      <c r="I7461">
        <v>0</v>
      </c>
      <c r="J7461">
        <v>1.79</v>
      </c>
      <c r="K7461">
        <v>0</v>
      </c>
    </row>
    <row r="7462" spans="1:11" x14ac:dyDescent="0.2">
      <c r="B7462">
        <v>5606570</v>
      </c>
      <c r="C7462" t="s">
        <v>10559</v>
      </c>
      <c r="D7462">
        <v>11</v>
      </c>
      <c r="E7462">
        <v>9</v>
      </c>
      <c r="F7462">
        <v>0</v>
      </c>
      <c r="G7462">
        <v>0</v>
      </c>
      <c r="H7462">
        <v>96</v>
      </c>
      <c r="I7462">
        <v>0</v>
      </c>
      <c r="J7462">
        <v>1.99</v>
      </c>
      <c r="K7462">
        <v>0</v>
      </c>
    </row>
    <row r="7463" spans="1:11" x14ac:dyDescent="0.2">
      <c r="A7463">
        <v>33519</v>
      </c>
      <c r="B7463">
        <v>5606571</v>
      </c>
      <c r="C7463" t="s">
        <v>10560</v>
      </c>
      <c r="D7463">
        <v>6</v>
      </c>
      <c r="E7463">
        <v>8</v>
      </c>
      <c r="F7463">
        <v>0</v>
      </c>
      <c r="G7463">
        <v>0</v>
      </c>
      <c r="H7463">
        <v>112</v>
      </c>
      <c r="I7463">
        <v>0</v>
      </c>
      <c r="J7463">
        <v>1.59</v>
      </c>
      <c r="K7463">
        <v>0</v>
      </c>
    </row>
    <row r="7464" spans="1:11" x14ac:dyDescent="0.2">
      <c r="B7464">
        <v>5606572</v>
      </c>
      <c r="C7464" t="s">
        <v>10561</v>
      </c>
      <c r="D7464">
        <v>11</v>
      </c>
      <c r="E7464">
        <v>9</v>
      </c>
      <c r="F7464">
        <v>0</v>
      </c>
      <c r="G7464">
        <v>0</v>
      </c>
      <c r="H7464">
        <v>96</v>
      </c>
      <c r="I7464">
        <v>0</v>
      </c>
      <c r="J7464">
        <v>1.79</v>
      </c>
      <c r="K7464">
        <v>0</v>
      </c>
    </row>
    <row r="7465" spans="1:11" x14ac:dyDescent="0.2">
      <c r="A7465">
        <v>1508</v>
      </c>
      <c r="B7465">
        <v>5606573</v>
      </c>
      <c r="C7465" t="s">
        <v>10562</v>
      </c>
      <c r="D7465">
        <v>6</v>
      </c>
      <c r="E7465">
        <v>6</v>
      </c>
      <c r="F7465">
        <v>0</v>
      </c>
      <c r="G7465">
        <v>0</v>
      </c>
      <c r="H7465">
        <v>128</v>
      </c>
      <c r="I7465">
        <v>0</v>
      </c>
      <c r="J7465">
        <v>1.99</v>
      </c>
      <c r="K7465">
        <v>0</v>
      </c>
    </row>
    <row r="7466" spans="1:11" x14ac:dyDescent="0.2">
      <c r="B7466">
        <v>5606574</v>
      </c>
      <c r="C7466" t="s">
        <v>10563</v>
      </c>
      <c r="D7466">
        <v>11</v>
      </c>
      <c r="E7466">
        <v>6</v>
      </c>
      <c r="F7466">
        <v>0</v>
      </c>
      <c r="G7466">
        <v>0</v>
      </c>
      <c r="H7466">
        <v>98</v>
      </c>
      <c r="I7466">
        <v>0</v>
      </c>
      <c r="J7466">
        <v>4.29</v>
      </c>
      <c r="K7466">
        <v>0</v>
      </c>
    </row>
    <row r="7467" spans="1:11" x14ac:dyDescent="0.2">
      <c r="A7467">
        <v>1509</v>
      </c>
      <c r="B7467">
        <v>5606575</v>
      </c>
      <c r="C7467" t="s">
        <v>10564</v>
      </c>
      <c r="D7467">
        <v>6</v>
      </c>
      <c r="E7467">
        <v>20</v>
      </c>
      <c r="F7467">
        <v>3</v>
      </c>
      <c r="G7467">
        <v>60</v>
      </c>
      <c r="H7467">
        <v>48</v>
      </c>
      <c r="I7467">
        <v>0.1</v>
      </c>
      <c r="J7467">
        <v>1.79</v>
      </c>
      <c r="K7467">
        <v>107.4</v>
      </c>
    </row>
    <row r="7468" spans="1:11" x14ac:dyDescent="0.2">
      <c r="A7468">
        <v>50508</v>
      </c>
      <c r="B7468">
        <v>5606580</v>
      </c>
      <c r="C7468" t="s">
        <v>10565</v>
      </c>
      <c r="D7468">
        <v>10</v>
      </c>
      <c r="E7468">
        <v>6</v>
      </c>
      <c r="F7468">
        <v>2</v>
      </c>
      <c r="G7468">
        <v>12</v>
      </c>
      <c r="H7468">
        <v>192</v>
      </c>
      <c r="I7468">
        <v>0</v>
      </c>
      <c r="J7468">
        <v>1.79</v>
      </c>
      <c r="K7468">
        <v>21.48</v>
      </c>
    </row>
    <row r="7469" spans="1:11" x14ac:dyDescent="0.2">
      <c r="A7469">
        <v>47615</v>
      </c>
      <c r="B7469">
        <v>5606581</v>
      </c>
      <c r="C7469" t="s">
        <v>10566</v>
      </c>
      <c r="D7469">
        <v>10</v>
      </c>
      <c r="E7469">
        <v>24</v>
      </c>
      <c r="F7469">
        <v>2</v>
      </c>
      <c r="G7469">
        <v>48</v>
      </c>
      <c r="H7469">
        <v>78</v>
      </c>
      <c r="I7469">
        <v>0</v>
      </c>
      <c r="J7469">
        <v>3.99</v>
      </c>
      <c r="K7469">
        <v>191.52</v>
      </c>
    </row>
    <row r="7470" spans="1:11" x14ac:dyDescent="0.2">
      <c r="A7470">
        <v>3626</v>
      </c>
      <c r="B7470">
        <v>5606582</v>
      </c>
      <c r="C7470" t="s">
        <v>10567</v>
      </c>
      <c r="D7470">
        <v>6</v>
      </c>
      <c r="E7470">
        <v>8</v>
      </c>
      <c r="F7470">
        <v>0</v>
      </c>
      <c r="G7470">
        <v>0</v>
      </c>
      <c r="H7470">
        <v>102</v>
      </c>
      <c r="I7470">
        <v>0</v>
      </c>
      <c r="J7470">
        <v>1.59</v>
      </c>
      <c r="K7470">
        <v>0</v>
      </c>
    </row>
    <row r="7471" spans="1:11" x14ac:dyDescent="0.2">
      <c r="B7471">
        <v>5606585</v>
      </c>
      <c r="C7471" t="s">
        <v>10568</v>
      </c>
      <c r="D7471">
        <v>11</v>
      </c>
      <c r="E7471">
        <v>9</v>
      </c>
      <c r="F7471">
        <v>0</v>
      </c>
      <c r="G7471">
        <v>0</v>
      </c>
      <c r="H7471">
        <v>136</v>
      </c>
      <c r="I7471">
        <v>0</v>
      </c>
      <c r="J7471">
        <v>0.99</v>
      </c>
      <c r="K7471">
        <v>0</v>
      </c>
    </row>
    <row r="7472" spans="1:11" x14ac:dyDescent="0.2">
      <c r="A7472">
        <v>43626</v>
      </c>
      <c r="B7472">
        <v>5606586</v>
      </c>
      <c r="C7472" t="s">
        <v>10569</v>
      </c>
      <c r="D7472">
        <v>10</v>
      </c>
      <c r="E7472">
        <v>8</v>
      </c>
      <c r="F7472">
        <v>0</v>
      </c>
      <c r="G7472">
        <v>1</v>
      </c>
      <c r="H7472">
        <v>108</v>
      </c>
      <c r="I7472">
        <v>0</v>
      </c>
      <c r="J7472">
        <v>1.79</v>
      </c>
      <c r="K7472">
        <v>1.79</v>
      </c>
    </row>
    <row r="7473" spans="1:11" x14ac:dyDescent="0.2">
      <c r="A7473">
        <v>75200</v>
      </c>
      <c r="B7473">
        <v>5606587</v>
      </c>
      <c r="C7473" t="s">
        <v>9662</v>
      </c>
      <c r="D7473">
        <v>9</v>
      </c>
      <c r="E7473">
        <v>9</v>
      </c>
      <c r="F7473">
        <v>-1</v>
      </c>
      <c r="G7473">
        <v>-9</v>
      </c>
      <c r="H7473">
        <v>120</v>
      </c>
      <c r="I7473">
        <v>0</v>
      </c>
      <c r="J7473">
        <v>1.89</v>
      </c>
      <c r="K7473">
        <v>-17.010000000000002</v>
      </c>
    </row>
    <row r="7474" spans="1:11" x14ac:dyDescent="0.2">
      <c r="A7474">
        <v>50509</v>
      </c>
      <c r="B7474">
        <v>5606588</v>
      </c>
      <c r="C7474" t="s">
        <v>10570</v>
      </c>
      <c r="D7474">
        <v>10</v>
      </c>
      <c r="E7474">
        <v>6</v>
      </c>
      <c r="F7474">
        <v>-5</v>
      </c>
      <c r="G7474">
        <v>-30</v>
      </c>
      <c r="H7474">
        <v>162</v>
      </c>
      <c r="I7474">
        <v>0</v>
      </c>
      <c r="K7474">
        <v>0</v>
      </c>
    </row>
    <row r="7475" spans="1:11" x14ac:dyDescent="0.2">
      <c r="A7475">
        <v>44507</v>
      </c>
      <c r="B7475">
        <v>5606589</v>
      </c>
      <c r="C7475" t="s">
        <v>10571</v>
      </c>
      <c r="D7475">
        <v>10</v>
      </c>
      <c r="E7475">
        <v>6</v>
      </c>
      <c r="F7475">
        <v>1</v>
      </c>
      <c r="G7475">
        <v>6</v>
      </c>
      <c r="H7475">
        <v>273</v>
      </c>
      <c r="I7475">
        <v>0</v>
      </c>
      <c r="J7475">
        <v>7.49</v>
      </c>
      <c r="K7475">
        <v>44.94</v>
      </c>
    </row>
    <row r="7476" spans="1:11" x14ac:dyDescent="0.2">
      <c r="B7476">
        <v>5606590</v>
      </c>
      <c r="C7476" t="s">
        <v>10572</v>
      </c>
      <c r="D7476">
        <v>11</v>
      </c>
      <c r="E7476">
        <v>6</v>
      </c>
      <c r="F7476">
        <v>0</v>
      </c>
      <c r="G7476">
        <v>0</v>
      </c>
      <c r="H7476">
        <v>90</v>
      </c>
      <c r="I7476">
        <v>0</v>
      </c>
      <c r="J7476">
        <v>3.19</v>
      </c>
      <c r="K7476">
        <v>0</v>
      </c>
    </row>
    <row r="7477" spans="1:11" x14ac:dyDescent="0.2">
      <c r="A7477">
        <v>33523</v>
      </c>
      <c r="B7477">
        <v>5606591</v>
      </c>
      <c r="C7477" t="s">
        <v>10573</v>
      </c>
      <c r="D7477">
        <v>10</v>
      </c>
      <c r="E7477">
        <v>6</v>
      </c>
      <c r="F7477">
        <v>0</v>
      </c>
      <c r="G7477">
        <v>0</v>
      </c>
      <c r="H7477">
        <v>90</v>
      </c>
      <c r="I7477">
        <v>0</v>
      </c>
      <c r="J7477">
        <v>3.19</v>
      </c>
      <c r="K7477">
        <v>0</v>
      </c>
    </row>
    <row r="7478" spans="1:11" x14ac:dyDescent="0.2">
      <c r="A7478">
        <v>48512</v>
      </c>
      <c r="B7478">
        <v>5606592</v>
      </c>
      <c r="C7478" t="s">
        <v>10574</v>
      </c>
      <c r="D7478">
        <v>10</v>
      </c>
      <c r="E7478">
        <v>6</v>
      </c>
      <c r="F7478">
        <v>-1</v>
      </c>
      <c r="G7478">
        <v>-6</v>
      </c>
      <c r="H7478">
        <v>77</v>
      </c>
      <c r="I7478">
        <v>0</v>
      </c>
      <c r="J7478">
        <v>4.1900000000000004</v>
      </c>
      <c r="K7478">
        <v>-25.14</v>
      </c>
    </row>
    <row r="7479" spans="1:11" x14ac:dyDescent="0.2">
      <c r="A7479">
        <v>47514</v>
      </c>
      <c r="B7479">
        <v>5606593</v>
      </c>
      <c r="C7479" t="s">
        <v>10575</v>
      </c>
      <c r="D7479">
        <v>10</v>
      </c>
      <c r="E7479">
        <v>6</v>
      </c>
      <c r="F7479">
        <v>0</v>
      </c>
      <c r="G7479">
        <v>0</v>
      </c>
      <c r="H7479">
        <v>77</v>
      </c>
      <c r="I7479">
        <v>0</v>
      </c>
      <c r="J7479">
        <v>3.99</v>
      </c>
      <c r="K7479">
        <v>0</v>
      </c>
    </row>
    <row r="7480" spans="1:11" x14ac:dyDescent="0.2">
      <c r="B7480">
        <v>5606595</v>
      </c>
      <c r="C7480" t="s">
        <v>10576</v>
      </c>
      <c r="D7480">
        <v>11</v>
      </c>
      <c r="E7480">
        <v>1</v>
      </c>
      <c r="F7480">
        <v>0</v>
      </c>
      <c r="G7480">
        <v>0</v>
      </c>
      <c r="H7480">
        <v>384</v>
      </c>
      <c r="I7480">
        <v>0</v>
      </c>
      <c r="J7480">
        <v>3.99</v>
      </c>
      <c r="K7480">
        <v>0</v>
      </c>
    </row>
    <row r="7481" spans="1:11" x14ac:dyDescent="0.2">
      <c r="B7481">
        <v>5606599</v>
      </c>
      <c r="C7481" t="s">
        <v>10577</v>
      </c>
      <c r="D7481">
        <v>10</v>
      </c>
      <c r="E7481">
        <v>6</v>
      </c>
      <c r="F7481">
        <v>0</v>
      </c>
      <c r="G7481">
        <v>0</v>
      </c>
      <c r="H7481">
        <v>100</v>
      </c>
      <c r="I7481">
        <v>0</v>
      </c>
      <c r="J7481">
        <v>2.99</v>
      </c>
      <c r="K7481">
        <v>0</v>
      </c>
    </row>
    <row r="7482" spans="1:11" x14ac:dyDescent="0.2">
      <c r="B7482">
        <v>5606600</v>
      </c>
      <c r="C7482" t="s">
        <v>10578</v>
      </c>
      <c r="D7482">
        <v>11</v>
      </c>
      <c r="E7482">
        <v>1</v>
      </c>
      <c r="F7482">
        <v>0</v>
      </c>
      <c r="G7482">
        <v>0</v>
      </c>
      <c r="H7482">
        <v>480</v>
      </c>
      <c r="I7482">
        <v>0</v>
      </c>
      <c r="J7482">
        <v>3.49</v>
      </c>
      <c r="K7482">
        <v>0</v>
      </c>
    </row>
    <row r="7483" spans="1:11" x14ac:dyDescent="0.2">
      <c r="A7483">
        <v>49512</v>
      </c>
      <c r="B7483">
        <v>5606601</v>
      </c>
      <c r="C7483" t="s">
        <v>10579</v>
      </c>
      <c r="D7483">
        <v>10</v>
      </c>
      <c r="E7483">
        <v>4</v>
      </c>
      <c r="F7483">
        <v>4</v>
      </c>
      <c r="G7483">
        <v>16</v>
      </c>
      <c r="H7483">
        <v>204</v>
      </c>
      <c r="I7483">
        <v>0</v>
      </c>
      <c r="J7483">
        <v>1.99</v>
      </c>
      <c r="K7483">
        <v>31.84</v>
      </c>
    </row>
    <row r="7484" spans="1:11" x14ac:dyDescent="0.2">
      <c r="B7484">
        <v>5606607</v>
      </c>
      <c r="C7484" t="s">
        <v>10580</v>
      </c>
      <c r="D7484">
        <v>6</v>
      </c>
      <c r="E7484">
        <v>1</v>
      </c>
      <c r="F7484">
        <v>0</v>
      </c>
      <c r="G7484">
        <v>0</v>
      </c>
      <c r="H7484">
        <v>384</v>
      </c>
      <c r="I7484">
        <v>0</v>
      </c>
      <c r="J7484">
        <v>6.39</v>
      </c>
      <c r="K7484">
        <v>0</v>
      </c>
    </row>
    <row r="7485" spans="1:11" x14ac:dyDescent="0.2">
      <c r="A7485">
        <v>48610</v>
      </c>
      <c r="B7485">
        <v>5606612</v>
      </c>
      <c r="C7485" t="s">
        <v>10581</v>
      </c>
      <c r="D7485">
        <v>10</v>
      </c>
      <c r="E7485">
        <v>15</v>
      </c>
      <c r="F7485">
        <v>-2</v>
      </c>
      <c r="G7485">
        <v>-30</v>
      </c>
      <c r="H7485">
        <v>54</v>
      </c>
      <c r="I7485">
        <v>0</v>
      </c>
      <c r="J7485">
        <v>2.99</v>
      </c>
      <c r="K7485">
        <v>-89.7</v>
      </c>
    </row>
    <row r="7486" spans="1:11" x14ac:dyDescent="0.2">
      <c r="A7486">
        <v>99945</v>
      </c>
      <c r="B7486">
        <v>5606613</v>
      </c>
      <c r="C7486" t="s">
        <v>10582</v>
      </c>
      <c r="D7486">
        <v>10</v>
      </c>
      <c r="E7486">
        <v>6</v>
      </c>
      <c r="F7486">
        <v>0</v>
      </c>
      <c r="G7486">
        <v>0</v>
      </c>
      <c r="H7486">
        <v>40</v>
      </c>
      <c r="I7486">
        <v>0</v>
      </c>
      <c r="J7486">
        <v>14.99</v>
      </c>
      <c r="K7486">
        <v>0</v>
      </c>
    </row>
    <row r="7487" spans="1:11" x14ac:dyDescent="0.2">
      <c r="B7487">
        <v>5606614</v>
      </c>
      <c r="C7487" t="s">
        <v>10583</v>
      </c>
      <c r="D7487">
        <v>11</v>
      </c>
      <c r="E7487">
        <v>1</v>
      </c>
      <c r="F7487">
        <v>0</v>
      </c>
      <c r="G7487">
        <v>0</v>
      </c>
      <c r="H7487">
        <v>512</v>
      </c>
      <c r="I7487">
        <v>0</v>
      </c>
      <c r="J7487">
        <v>2.4900000000000002</v>
      </c>
      <c r="K7487">
        <v>0</v>
      </c>
    </row>
    <row r="7488" spans="1:11" x14ac:dyDescent="0.2">
      <c r="A7488">
        <v>99748</v>
      </c>
      <c r="B7488">
        <v>5606616</v>
      </c>
      <c r="C7488" t="s">
        <v>10584</v>
      </c>
      <c r="D7488">
        <v>6</v>
      </c>
      <c r="E7488">
        <v>12</v>
      </c>
      <c r="F7488">
        <v>0</v>
      </c>
      <c r="G7488">
        <v>0</v>
      </c>
      <c r="H7488">
        <v>88</v>
      </c>
      <c r="I7488">
        <v>0</v>
      </c>
      <c r="J7488">
        <v>6.79</v>
      </c>
      <c r="K7488">
        <v>0</v>
      </c>
    </row>
    <row r="7489" spans="1:11" x14ac:dyDescent="0.2">
      <c r="A7489">
        <v>85083</v>
      </c>
      <c r="B7489">
        <v>5606618</v>
      </c>
      <c r="C7489" t="s">
        <v>10585</v>
      </c>
      <c r="D7489">
        <v>8</v>
      </c>
      <c r="E7489">
        <v>8</v>
      </c>
      <c r="F7489">
        <v>165</v>
      </c>
      <c r="G7489">
        <v>1320</v>
      </c>
      <c r="H7489">
        <v>48</v>
      </c>
      <c r="I7489">
        <v>3.4</v>
      </c>
      <c r="J7489">
        <v>1.1499999999999999</v>
      </c>
      <c r="K7489">
        <v>1518</v>
      </c>
    </row>
    <row r="7490" spans="1:11" x14ac:dyDescent="0.2">
      <c r="A7490">
        <v>1515</v>
      </c>
      <c r="B7490">
        <v>5606620</v>
      </c>
      <c r="C7490" t="s">
        <v>10586</v>
      </c>
      <c r="D7490">
        <v>6</v>
      </c>
      <c r="E7490">
        <v>6</v>
      </c>
      <c r="F7490">
        <v>0</v>
      </c>
      <c r="G7490">
        <v>0</v>
      </c>
      <c r="H7490">
        <v>180</v>
      </c>
      <c r="I7490">
        <v>0</v>
      </c>
      <c r="J7490">
        <v>1.19</v>
      </c>
      <c r="K7490">
        <v>0</v>
      </c>
    </row>
    <row r="7491" spans="1:11" x14ac:dyDescent="0.2">
      <c r="A7491">
        <v>27513</v>
      </c>
      <c r="B7491">
        <v>5606621</v>
      </c>
      <c r="C7491" t="s">
        <v>10587</v>
      </c>
      <c r="D7491">
        <v>10</v>
      </c>
      <c r="E7491">
        <v>6</v>
      </c>
      <c r="F7491">
        <v>0</v>
      </c>
      <c r="G7491">
        <v>0</v>
      </c>
      <c r="H7491">
        <v>180</v>
      </c>
      <c r="I7491">
        <v>0</v>
      </c>
      <c r="J7491">
        <v>1.29</v>
      </c>
      <c r="K7491">
        <v>0</v>
      </c>
    </row>
    <row r="7492" spans="1:11" x14ac:dyDescent="0.2">
      <c r="A7492">
        <v>27514</v>
      </c>
      <c r="B7492">
        <v>5606622</v>
      </c>
      <c r="C7492" t="s">
        <v>10588</v>
      </c>
      <c r="D7492">
        <v>10</v>
      </c>
      <c r="E7492">
        <v>6</v>
      </c>
      <c r="F7492">
        <v>0</v>
      </c>
      <c r="G7492">
        <v>0</v>
      </c>
      <c r="H7492">
        <v>60</v>
      </c>
      <c r="I7492">
        <v>0</v>
      </c>
      <c r="J7492">
        <v>1.69</v>
      </c>
      <c r="K7492">
        <v>0</v>
      </c>
    </row>
    <row r="7493" spans="1:11" x14ac:dyDescent="0.2">
      <c r="A7493">
        <v>66087</v>
      </c>
      <c r="B7493">
        <v>5606623</v>
      </c>
      <c r="C7493" t="s">
        <v>10589</v>
      </c>
      <c r="D7493">
        <v>8</v>
      </c>
      <c r="E7493">
        <v>6</v>
      </c>
      <c r="F7493">
        <v>799</v>
      </c>
      <c r="G7493">
        <v>4794</v>
      </c>
      <c r="H7493">
        <v>105</v>
      </c>
      <c r="I7493">
        <v>7.6</v>
      </c>
      <c r="J7493">
        <v>0.99</v>
      </c>
      <c r="K7493">
        <v>4746.0600000000004</v>
      </c>
    </row>
    <row r="7494" spans="1:11" x14ac:dyDescent="0.2">
      <c r="A7494">
        <v>1505</v>
      </c>
      <c r="B7494">
        <v>5606626</v>
      </c>
      <c r="C7494" t="s">
        <v>10590</v>
      </c>
      <c r="D7494">
        <v>6</v>
      </c>
      <c r="E7494">
        <v>6</v>
      </c>
      <c r="F7494">
        <v>-2</v>
      </c>
      <c r="G7494">
        <v>-12</v>
      </c>
      <c r="H7494">
        <v>80</v>
      </c>
      <c r="I7494">
        <v>0</v>
      </c>
      <c r="J7494">
        <v>2.19</v>
      </c>
      <c r="K7494">
        <v>-26.28</v>
      </c>
    </row>
    <row r="7495" spans="1:11" x14ac:dyDescent="0.2">
      <c r="A7495">
        <v>50510</v>
      </c>
      <c r="B7495">
        <v>5606628</v>
      </c>
      <c r="C7495" t="s">
        <v>10591</v>
      </c>
      <c r="D7495">
        <v>10</v>
      </c>
      <c r="E7495">
        <v>10</v>
      </c>
      <c r="F7495">
        <v>-1</v>
      </c>
      <c r="G7495">
        <v>-10</v>
      </c>
      <c r="H7495">
        <v>90</v>
      </c>
      <c r="I7495">
        <v>0</v>
      </c>
      <c r="J7495">
        <v>3.29</v>
      </c>
      <c r="K7495">
        <v>-32.9</v>
      </c>
    </row>
    <row r="7496" spans="1:11" x14ac:dyDescent="0.2">
      <c r="A7496">
        <v>46509</v>
      </c>
      <c r="B7496">
        <v>5606629</v>
      </c>
      <c r="C7496" t="s">
        <v>10592</v>
      </c>
      <c r="D7496">
        <v>10</v>
      </c>
      <c r="E7496">
        <v>10</v>
      </c>
      <c r="F7496">
        <v>0</v>
      </c>
      <c r="G7496">
        <v>0</v>
      </c>
      <c r="H7496">
        <v>90</v>
      </c>
      <c r="I7496">
        <v>0</v>
      </c>
      <c r="J7496">
        <v>2.19</v>
      </c>
      <c r="K7496">
        <v>0</v>
      </c>
    </row>
    <row r="7497" spans="1:11" x14ac:dyDescent="0.2">
      <c r="B7497">
        <v>5606630</v>
      </c>
      <c r="C7497" t="s">
        <v>10593</v>
      </c>
      <c r="D7497">
        <v>11</v>
      </c>
      <c r="E7497">
        <v>4</v>
      </c>
      <c r="F7497">
        <v>0</v>
      </c>
      <c r="G7497">
        <v>0</v>
      </c>
      <c r="H7497">
        <v>55</v>
      </c>
      <c r="I7497">
        <v>0</v>
      </c>
      <c r="J7497">
        <v>5</v>
      </c>
      <c r="K7497">
        <v>0</v>
      </c>
    </row>
    <row r="7498" spans="1:11" x14ac:dyDescent="0.2">
      <c r="A7498">
        <v>82124</v>
      </c>
      <c r="B7498">
        <v>5606635</v>
      </c>
      <c r="C7498" t="s">
        <v>10594</v>
      </c>
      <c r="D7498">
        <v>8</v>
      </c>
      <c r="E7498">
        <v>18</v>
      </c>
      <c r="F7498">
        <v>98</v>
      </c>
      <c r="G7498">
        <v>1764</v>
      </c>
      <c r="H7498">
        <v>70</v>
      </c>
      <c r="I7498">
        <v>1.4</v>
      </c>
      <c r="J7498">
        <v>2.4900000000000002</v>
      </c>
      <c r="K7498">
        <v>4392.3599999999997</v>
      </c>
    </row>
    <row r="7499" spans="1:11" x14ac:dyDescent="0.2">
      <c r="A7499">
        <v>31523</v>
      </c>
      <c r="B7499">
        <v>5606636</v>
      </c>
      <c r="C7499" t="s">
        <v>10595</v>
      </c>
      <c r="D7499">
        <v>10</v>
      </c>
      <c r="E7499">
        <v>18</v>
      </c>
      <c r="F7499">
        <v>0</v>
      </c>
      <c r="G7499">
        <v>0</v>
      </c>
      <c r="H7499">
        <v>112</v>
      </c>
      <c r="I7499">
        <v>0</v>
      </c>
      <c r="J7499">
        <v>2.29</v>
      </c>
      <c r="K7499">
        <v>0</v>
      </c>
    </row>
    <row r="7500" spans="1:11" x14ac:dyDescent="0.2">
      <c r="A7500">
        <v>99812</v>
      </c>
      <c r="B7500">
        <v>5606637</v>
      </c>
      <c r="C7500" t="s">
        <v>10596</v>
      </c>
      <c r="D7500">
        <v>10</v>
      </c>
      <c r="E7500">
        <v>10</v>
      </c>
      <c r="F7500">
        <v>0</v>
      </c>
      <c r="G7500">
        <v>0</v>
      </c>
      <c r="H7500">
        <v>120</v>
      </c>
      <c r="I7500">
        <v>0</v>
      </c>
      <c r="J7500">
        <v>2.4900000000000002</v>
      </c>
      <c r="K7500">
        <v>0</v>
      </c>
    </row>
    <row r="7501" spans="1:11" x14ac:dyDescent="0.2">
      <c r="A7501">
        <v>44508</v>
      </c>
      <c r="B7501">
        <v>5606638</v>
      </c>
      <c r="C7501" t="s">
        <v>10597</v>
      </c>
      <c r="D7501">
        <v>10</v>
      </c>
      <c r="E7501">
        <v>16</v>
      </c>
      <c r="F7501">
        <v>0</v>
      </c>
      <c r="G7501">
        <v>0</v>
      </c>
      <c r="H7501">
        <v>25</v>
      </c>
      <c r="I7501">
        <v>0</v>
      </c>
      <c r="J7501">
        <v>1.69</v>
      </c>
      <c r="K7501">
        <v>0</v>
      </c>
    </row>
    <row r="7502" spans="1:11" x14ac:dyDescent="0.2">
      <c r="A7502">
        <v>46510</v>
      </c>
      <c r="B7502">
        <v>5606639</v>
      </c>
      <c r="C7502" t="s">
        <v>10598</v>
      </c>
      <c r="D7502">
        <v>10</v>
      </c>
      <c r="E7502">
        <v>10</v>
      </c>
      <c r="F7502">
        <v>0</v>
      </c>
      <c r="G7502">
        <v>0</v>
      </c>
      <c r="H7502">
        <v>96</v>
      </c>
      <c r="I7502">
        <v>0</v>
      </c>
      <c r="J7502">
        <v>2.29</v>
      </c>
      <c r="K7502">
        <v>0</v>
      </c>
    </row>
    <row r="7503" spans="1:11" x14ac:dyDescent="0.2">
      <c r="A7503">
        <v>46511</v>
      </c>
      <c r="B7503">
        <v>5606640</v>
      </c>
      <c r="C7503" t="s">
        <v>10599</v>
      </c>
      <c r="D7503">
        <v>10</v>
      </c>
      <c r="E7503">
        <v>10</v>
      </c>
      <c r="F7503">
        <v>-5</v>
      </c>
      <c r="G7503">
        <v>-50</v>
      </c>
      <c r="H7503">
        <v>96</v>
      </c>
      <c r="I7503">
        <v>-0.1</v>
      </c>
      <c r="J7503">
        <v>2.59</v>
      </c>
      <c r="K7503">
        <v>-129.5</v>
      </c>
    </row>
    <row r="7504" spans="1:11" x14ac:dyDescent="0.2">
      <c r="A7504">
        <v>48611</v>
      </c>
      <c r="B7504">
        <v>5606642</v>
      </c>
      <c r="C7504" t="s">
        <v>10600</v>
      </c>
      <c r="D7504">
        <v>10</v>
      </c>
      <c r="E7504">
        <v>12</v>
      </c>
      <c r="F7504">
        <v>0</v>
      </c>
      <c r="G7504">
        <v>0</v>
      </c>
      <c r="H7504">
        <v>77</v>
      </c>
      <c r="I7504">
        <v>0</v>
      </c>
      <c r="J7504">
        <v>4.59</v>
      </c>
      <c r="K7504">
        <v>0</v>
      </c>
    </row>
    <row r="7505" spans="1:11" x14ac:dyDescent="0.2">
      <c r="A7505">
        <v>49608</v>
      </c>
      <c r="B7505">
        <v>5606646</v>
      </c>
      <c r="C7505" t="s">
        <v>10601</v>
      </c>
      <c r="D7505">
        <v>10</v>
      </c>
      <c r="E7505">
        <v>15</v>
      </c>
      <c r="F7505">
        <v>0</v>
      </c>
      <c r="G7505">
        <v>0</v>
      </c>
      <c r="H7505">
        <v>176</v>
      </c>
      <c r="I7505">
        <v>0</v>
      </c>
      <c r="J7505">
        <v>3.59</v>
      </c>
      <c r="K7505">
        <v>0</v>
      </c>
    </row>
    <row r="7506" spans="1:11" x14ac:dyDescent="0.2">
      <c r="A7506">
        <v>47515</v>
      </c>
      <c r="B7506">
        <v>5606647</v>
      </c>
      <c r="C7506" t="s">
        <v>10602</v>
      </c>
      <c r="D7506">
        <v>10</v>
      </c>
      <c r="E7506">
        <v>6</v>
      </c>
      <c r="F7506">
        <v>0</v>
      </c>
      <c r="G7506">
        <v>0</v>
      </c>
      <c r="H7506">
        <v>75</v>
      </c>
      <c r="I7506">
        <v>0</v>
      </c>
      <c r="J7506">
        <v>6.59</v>
      </c>
      <c r="K7506">
        <v>0</v>
      </c>
    </row>
    <row r="7507" spans="1:11" x14ac:dyDescent="0.2">
      <c r="A7507">
        <v>49609</v>
      </c>
      <c r="B7507">
        <v>5606649</v>
      </c>
      <c r="C7507" t="s">
        <v>10603</v>
      </c>
      <c r="D7507">
        <v>10</v>
      </c>
      <c r="E7507">
        <v>15</v>
      </c>
      <c r="F7507">
        <v>1</v>
      </c>
      <c r="G7507">
        <v>15</v>
      </c>
      <c r="H7507">
        <v>176</v>
      </c>
      <c r="I7507">
        <v>0</v>
      </c>
      <c r="J7507">
        <v>3.59</v>
      </c>
      <c r="K7507">
        <v>53.85</v>
      </c>
    </row>
    <row r="7508" spans="1:11" x14ac:dyDescent="0.2">
      <c r="A7508">
        <v>57224</v>
      </c>
      <c r="B7508">
        <v>5606650</v>
      </c>
      <c r="C7508" t="s">
        <v>10604</v>
      </c>
      <c r="D7508">
        <v>11</v>
      </c>
      <c r="E7508">
        <v>4</v>
      </c>
      <c r="F7508">
        <v>0</v>
      </c>
      <c r="G7508">
        <v>0</v>
      </c>
      <c r="H7508">
        <v>144</v>
      </c>
      <c r="I7508">
        <v>0</v>
      </c>
      <c r="J7508">
        <v>2.19</v>
      </c>
      <c r="K7508">
        <v>0</v>
      </c>
    </row>
    <row r="7509" spans="1:11" x14ac:dyDescent="0.2">
      <c r="B7509">
        <v>5606651</v>
      </c>
      <c r="C7509" t="s">
        <v>10605</v>
      </c>
      <c r="D7509">
        <v>11</v>
      </c>
      <c r="E7509">
        <v>6</v>
      </c>
      <c r="F7509">
        <v>0</v>
      </c>
      <c r="G7509">
        <v>0</v>
      </c>
      <c r="H7509">
        <v>56</v>
      </c>
      <c r="I7509">
        <v>0</v>
      </c>
      <c r="J7509">
        <v>2.4900000000000002</v>
      </c>
      <c r="K7509">
        <v>0</v>
      </c>
    </row>
    <row r="7510" spans="1:11" x14ac:dyDescent="0.2">
      <c r="A7510">
        <v>45659</v>
      </c>
      <c r="B7510">
        <v>5606652</v>
      </c>
      <c r="C7510" t="s">
        <v>10606</v>
      </c>
      <c r="D7510">
        <v>10</v>
      </c>
      <c r="E7510">
        <v>10</v>
      </c>
      <c r="F7510">
        <v>0</v>
      </c>
      <c r="G7510">
        <v>0</v>
      </c>
      <c r="H7510">
        <v>96</v>
      </c>
      <c r="I7510">
        <v>0</v>
      </c>
      <c r="J7510">
        <v>5.49</v>
      </c>
      <c r="K7510">
        <v>0</v>
      </c>
    </row>
    <row r="7511" spans="1:11" x14ac:dyDescent="0.2">
      <c r="A7511">
        <v>49513</v>
      </c>
      <c r="B7511">
        <v>5606653</v>
      </c>
      <c r="C7511" t="s">
        <v>10607</v>
      </c>
      <c r="D7511">
        <v>10</v>
      </c>
      <c r="E7511">
        <v>12</v>
      </c>
      <c r="F7511">
        <v>3</v>
      </c>
      <c r="G7511">
        <v>36</v>
      </c>
      <c r="H7511">
        <v>72</v>
      </c>
      <c r="I7511">
        <v>0</v>
      </c>
      <c r="J7511">
        <v>3.69</v>
      </c>
      <c r="K7511">
        <v>132.84</v>
      </c>
    </row>
    <row r="7512" spans="1:11" x14ac:dyDescent="0.2">
      <c r="A7512">
        <v>47516</v>
      </c>
      <c r="B7512">
        <v>5606654</v>
      </c>
      <c r="C7512" t="s">
        <v>10608</v>
      </c>
      <c r="D7512">
        <v>10</v>
      </c>
      <c r="E7512">
        <v>12</v>
      </c>
      <c r="F7512">
        <v>3</v>
      </c>
      <c r="G7512">
        <v>36</v>
      </c>
      <c r="H7512">
        <v>72</v>
      </c>
      <c r="I7512">
        <v>0</v>
      </c>
      <c r="J7512">
        <v>2.69</v>
      </c>
      <c r="K7512">
        <v>96.84</v>
      </c>
    </row>
    <row r="7513" spans="1:11" x14ac:dyDescent="0.2">
      <c r="A7513">
        <v>99505</v>
      </c>
      <c r="B7513">
        <v>5606657</v>
      </c>
      <c r="C7513" t="s">
        <v>10609</v>
      </c>
      <c r="D7513">
        <v>10</v>
      </c>
      <c r="E7513">
        <v>6</v>
      </c>
      <c r="F7513">
        <v>0</v>
      </c>
      <c r="G7513">
        <v>0</v>
      </c>
      <c r="H7513">
        <v>24</v>
      </c>
      <c r="I7513">
        <v>0</v>
      </c>
      <c r="J7513">
        <v>4.99</v>
      </c>
      <c r="K7513">
        <v>0</v>
      </c>
    </row>
    <row r="7514" spans="1:11" x14ac:dyDescent="0.2">
      <c r="A7514">
        <v>51514</v>
      </c>
      <c r="B7514">
        <v>5606660</v>
      </c>
      <c r="C7514" t="s">
        <v>10610</v>
      </c>
      <c r="D7514">
        <v>10</v>
      </c>
      <c r="E7514">
        <v>4</v>
      </c>
      <c r="F7514">
        <v>8</v>
      </c>
      <c r="G7514">
        <v>32</v>
      </c>
      <c r="H7514">
        <v>120</v>
      </c>
      <c r="I7514">
        <v>0.1</v>
      </c>
      <c r="J7514">
        <v>2.99</v>
      </c>
      <c r="K7514">
        <v>95.68</v>
      </c>
    </row>
    <row r="7515" spans="1:11" x14ac:dyDescent="0.2">
      <c r="B7515">
        <v>5606666</v>
      </c>
      <c r="C7515" t="s">
        <v>10611</v>
      </c>
      <c r="D7515">
        <v>11</v>
      </c>
      <c r="E7515">
        <v>1</v>
      </c>
      <c r="F7515">
        <v>0</v>
      </c>
      <c r="G7515">
        <v>0</v>
      </c>
      <c r="H7515">
        <v>1024</v>
      </c>
      <c r="I7515">
        <v>0</v>
      </c>
      <c r="J7515">
        <v>3.99</v>
      </c>
      <c r="K7515">
        <v>0</v>
      </c>
    </row>
    <row r="7516" spans="1:11" x14ac:dyDescent="0.2">
      <c r="A7516">
        <v>57263</v>
      </c>
      <c r="B7516">
        <v>5606673</v>
      </c>
      <c r="C7516" t="s">
        <v>10612</v>
      </c>
      <c r="D7516">
        <v>11</v>
      </c>
      <c r="E7516">
        <v>9</v>
      </c>
      <c r="F7516">
        <v>0</v>
      </c>
      <c r="G7516">
        <v>0</v>
      </c>
      <c r="H7516">
        <v>70</v>
      </c>
      <c r="I7516">
        <v>0</v>
      </c>
      <c r="J7516">
        <v>4.99</v>
      </c>
      <c r="K7516">
        <v>0</v>
      </c>
    </row>
    <row r="7517" spans="1:11" x14ac:dyDescent="0.2">
      <c r="A7517">
        <v>49610</v>
      </c>
      <c r="B7517">
        <v>5606674</v>
      </c>
      <c r="C7517" t="s">
        <v>10613</v>
      </c>
      <c r="D7517">
        <v>10</v>
      </c>
      <c r="E7517">
        <v>12</v>
      </c>
      <c r="F7517">
        <v>1</v>
      </c>
      <c r="G7517">
        <v>12</v>
      </c>
      <c r="H7517">
        <v>90</v>
      </c>
      <c r="I7517">
        <v>0</v>
      </c>
      <c r="J7517">
        <v>15.99</v>
      </c>
      <c r="K7517">
        <v>191.88</v>
      </c>
    </row>
    <row r="7518" spans="1:11" x14ac:dyDescent="0.2">
      <c r="B7518">
        <v>5606675</v>
      </c>
      <c r="C7518" t="s">
        <v>10614</v>
      </c>
      <c r="D7518">
        <v>11</v>
      </c>
      <c r="E7518">
        <v>12</v>
      </c>
      <c r="F7518">
        <v>0</v>
      </c>
      <c r="G7518">
        <v>0</v>
      </c>
      <c r="H7518">
        <v>108</v>
      </c>
      <c r="I7518">
        <v>0</v>
      </c>
      <c r="J7518">
        <v>12.79</v>
      </c>
      <c r="K7518">
        <v>0</v>
      </c>
    </row>
    <row r="7519" spans="1:11" x14ac:dyDescent="0.2">
      <c r="A7519">
        <v>49611</v>
      </c>
      <c r="B7519">
        <v>5606676</v>
      </c>
      <c r="C7519" t="s">
        <v>10615</v>
      </c>
      <c r="D7519">
        <v>10</v>
      </c>
      <c r="E7519">
        <v>12</v>
      </c>
      <c r="F7519">
        <v>-1</v>
      </c>
      <c r="G7519">
        <v>-12</v>
      </c>
      <c r="H7519">
        <v>162</v>
      </c>
      <c r="I7519">
        <v>0</v>
      </c>
      <c r="J7519">
        <v>12.99</v>
      </c>
      <c r="K7519">
        <v>-155.88</v>
      </c>
    </row>
    <row r="7520" spans="1:11" x14ac:dyDescent="0.2">
      <c r="A7520">
        <v>45515</v>
      </c>
      <c r="B7520">
        <v>5606682</v>
      </c>
      <c r="C7520" t="s">
        <v>10616</v>
      </c>
      <c r="D7520">
        <v>10</v>
      </c>
      <c r="E7520">
        <v>11</v>
      </c>
      <c r="F7520">
        <v>0</v>
      </c>
      <c r="G7520">
        <v>0</v>
      </c>
      <c r="H7520">
        <v>120</v>
      </c>
      <c r="I7520">
        <v>0</v>
      </c>
      <c r="J7520">
        <v>1.69</v>
      </c>
      <c r="K7520">
        <v>0</v>
      </c>
    </row>
    <row r="7521" spans="1:12" x14ac:dyDescent="0.2">
      <c r="A7521">
        <v>45516</v>
      </c>
      <c r="B7521">
        <v>5606683</v>
      </c>
      <c r="C7521" t="s">
        <v>10617</v>
      </c>
      <c r="D7521">
        <v>10</v>
      </c>
      <c r="E7521">
        <v>11</v>
      </c>
      <c r="F7521">
        <v>0</v>
      </c>
      <c r="G7521">
        <v>0</v>
      </c>
      <c r="H7521">
        <v>120</v>
      </c>
      <c r="I7521">
        <v>0</v>
      </c>
      <c r="J7521">
        <v>1.69</v>
      </c>
      <c r="K7521">
        <v>0</v>
      </c>
    </row>
    <row r="7522" spans="1:12" x14ac:dyDescent="0.2">
      <c r="A7522">
        <v>99785</v>
      </c>
      <c r="B7522">
        <v>5606684</v>
      </c>
      <c r="C7522" t="s">
        <v>10618</v>
      </c>
      <c r="D7522">
        <v>6</v>
      </c>
      <c r="E7522">
        <v>4</v>
      </c>
      <c r="F7522">
        <v>0</v>
      </c>
      <c r="G7522">
        <v>0</v>
      </c>
      <c r="H7522">
        <v>126</v>
      </c>
      <c r="I7522">
        <v>0</v>
      </c>
      <c r="J7522">
        <v>6.99</v>
      </c>
      <c r="K7522">
        <v>0</v>
      </c>
    </row>
    <row r="7523" spans="1:12" x14ac:dyDescent="0.2">
      <c r="A7523">
        <v>99895</v>
      </c>
      <c r="B7523">
        <v>5606685</v>
      </c>
      <c r="C7523" t="s">
        <v>10619</v>
      </c>
      <c r="D7523">
        <v>6</v>
      </c>
      <c r="E7523">
        <v>4</v>
      </c>
      <c r="F7523">
        <v>0</v>
      </c>
      <c r="G7523">
        <v>0</v>
      </c>
      <c r="H7523">
        <v>126</v>
      </c>
      <c r="I7523">
        <v>0</v>
      </c>
      <c r="J7523">
        <v>6.99</v>
      </c>
      <c r="K7523">
        <v>0</v>
      </c>
    </row>
    <row r="7524" spans="1:12" x14ac:dyDescent="0.2">
      <c r="A7524">
        <v>84160</v>
      </c>
      <c r="B7524">
        <v>5606688</v>
      </c>
      <c r="C7524" t="s">
        <v>10620</v>
      </c>
      <c r="D7524">
        <v>8</v>
      </c>
      <c r="E7524">
        <v>6</v>
      </c>
      <c r="F7524">
        <v>85</v>
      </c>
      <c r="G7524">
        <v>510</v>
      </c>
      <c r="H7524">
        <v>48</v>
      </c>
      <c r="I7524">
        <v>1.8</v>
      </c>
      <c r="J7524">
        <v>2.99</v>
      </c>
      <c r="K7524">
        <v>1524.9</v>
      </c>
    </row>
    <row r="7525" spans="1:12" x14ac:dyDescent="0.2">
      <c r="A7525">
        <v>49514</v>
      </c>
      <c r="B7525">
        <v>5606690</v>
      </c>
      <c r="C7525" t="s">
        <v>10621</v>
      </c>
      <c r="D7525">
        <v>10</v>
      </c>
      <c r="E7525">
        <v>6</v>
      </c>
      <c r="F7525">
        <v>5</v>
      </c>
      <c r="G7525">
        <v>30</v>
      </c>
      <c r="H7525">
        <v>92</v>
      </c>
      <c r="I7525">
        <v>0.1</v>
      </c>
      <c r="J7525">
        <v>3.99</v>
      </c>
      <c r="K7525">
        <v>119.7</v>
      </c>
    </row>
    <row r="7526" spans="1:12" x14ac:dyDescent="0.2">
      <c r="B7526">
        <v>5606692</v>
      </c>
      <c r="C7526" t="s">
        <v>10622</v>
      </c>
      <c r="D7526">
        <v>11</v>
      </c>
      <c r="E7526">
        <v>1</v>
      </c>
      <c r="F7526">
        <v>5</v>
      </c>
      <c r="G7526">
        <v>5</v>
      </c>
      <c r="H7526">
        <v>480</v>
      </c>
      <c r="I7526">
        <v>0</v>
      </c>
      <c r="J7526">
        <v>3.99</v>
      </c>
      <c r="K7526">
        <v>19.95</v>
      </c>
    </row>
    <row r="7527" spans="1:12" x14ac:dyDescent="0.2">
      <c r="A7527">
        <v>49515</v>
      </c>
      <c r="B7527">
        <v>5606693</v>
      </c>
      <c r="C7527" t="s">
        <v>10623</v>
      </c>
      <c r="D7527">
        <v>10</v>
      </c>
      <c r="E7527">
        <v>10</v>
      </c>
      <c r="F7527">
        <v>3</v>
      </c>
      <c r="G7527">
        <v>30</v>
      </c>
      <c r="H7527">
        <v>144</v>
      </c>
      <c r="I7527">
        <v>0</v>
      </c>
      <c r="J7527">
        <v>2.99</v>
      </c>
      <c r="K7527">
        <v>89.7</v>
      </c>
    </row>
    <row r="7528" spans="1:12" x14ac:dyDescent="0.2">
      <c r="A7528">
        <v>60005</v>
      </c>
      <c r="B7528">
        <v>5606694</v>
      </c>
      <c r="C7528" t="s">
        <v>10624</v>
      </c>
      <c r="D7528">
        <v>11</v>
      </c>
      <c r="E7528">
        <v>4</v>
      </c>
      <c r="F7528">
        <v>0</v>
      </c>
      <c r="G7528">
        <v>0</v>
      </c>
      <c r="H7528">
        <v>42</v>
      </c>
      <c r="I7528">
        <v>0</v>
      </c>
      <c r="J7528">
        <v>11.8</v>
      </c>
      <c r="K7528">
        <v>0</v>
      </c>
      <c r="L7528" t="s">
        <v>3699</v>
      </c>
    </row>
    <row r="7529" spans="1:12" x14ac:dyDescent="0.2">
      <c r="B7529">
        <v>5606695</v>
      </c>
      <c r="C7529" t="s">
        <v>10625</v>
      </c>
      <c r="D7529">
        <v>11</v>
      </c>
      <c r="E7529">
        <v>1</v>
      </c>
      <c r="F7529">
        <v>-2</v>
      </c>
      <c r="G7529">
        <v>-2</v>
      </c>
      <c r="H7529">
        <v>384</v>
      </c>
      <c r="I7529">
        <v>0</v>
      </c>
      <c r="J7529">
        <v>11.99</v>
      </c>
      <c r="K7529">
        <v>-23.98</v>
      </c>
    </row>
    <row r="7530" spans="1:12" x14ac:dyDescent="0.2">
      <c r="B7530">
        <v>5606696</v>
      </c>
      <c r="C7530" t="s">
        <v>10626</v>
      </c>
      <c r="D7530">
        <v>6</v>
      </c>
      <c r="E7530">
        <v>1</v>
      </c>
      <c r="F7530">
        <v>-16</v>
      </c>
      <c r="G7530">
        <v>-16</v>
      </c>
      <c r="H7530">
        <v>192</v>
      </c>
      <c r="I7530">
        <v>-0.1</v>
      </c>
      <c r="J7530">
        <v>9.58</v>
      </c>
      <c r="K7530">
        <v>-153.28</v>
      </c>
    </row>
    <row r="7531" spans="1:12" x14ac:dyDescent="0.2">
      <c r="A7531">
        <v>43649</v>
      </c>
      <c r="B7531">
        <v>5606722</v>
      </c>
      <c r="C7531" t="s">
        <v>10627</v>
      </c>
      <c r="D7531">
        <v>10</v>
      </c>
      <c r="E7531">
        <v>5</v>
      </c>
      <c r="F7531">
        <v>0</v>
      </c>
      <c r="G7531">
        <v>0</v>
      </c>
      <c r="H7531">
        <v>126</v>
      </c>
      <c r="I7531">
        <v>0</v>
      </c>
      <c r="J7531">
        <v>1.39</v>
      </c>
      <c r="K7531">
        <v>0</v>
      </c>
    </row>
    <row r="7532" spans="1:12" x14ac:dyDescent="0.2">
      <c r="A7532">
        <v>3515</v>
      </c>
      <c r="B7532">
        <v>5606725</v>
      </c>
      <c r="C7532" t="s">
        <v>10628</v>
      </c>
      <c r="D7532">
        <v>6</v>
      </c>
      <c r="E7532">
        <v>8</v>
      </c>
      <c r="F7532">
        <v>0</v>
      </c>
      <c r="G7532">
        <v>0</v>
      </c>
      <c r="H7532">
        <v>80</v>
      </c>
      <c r="I7532">
        <v>0</v>
      </c>
      <c r="J7532">
        <v>3.99</v>
      </c>
      <c r="K7532">
        <v>0</v>
      </c>
    </row>
    <row r="7533" spans="1:12" x14ac:dyDescent="0.2">
      <c r="B7533">
        <v>5606726</v>
      </c>
      <c r="C7533" t="s">
        <v>10629</v>
      </c>
      <c r="D7533">
        <v>11</v>
      </c>
      <c r="E7533">
        <v>6</v>
      </c>
      <c r="F7533">
        <v>0</v>
      </c>
      <c r="G7533">
        <v>0</v>
      </c>
      <c r="H7533">
        <v>80</v>
      </c>
      <c r="I7533">
        <v>0</v>
      </c>
      <c r="J7533">
        <v>5.49</v>
      </c>
      <c r="K7533">
        <v>0</v>
      </c>
    </row>
    <row r="7534" spans="1:12" x14ac:dyDescent="0.2">
      <c r="A7534">
        <v>87056</v>
      </c>
      <c r="B7534">
        <v>5606731</v>
      </c>
      <c r="C7534" t="s">
        <v>10630</v>
      </c>
      <c r="D7534">
        <v>8</v>
      </c>
      <c r="E7534">
        <v>8</v>
      </c>
      <c r="F7534">
        <v>0</v>
      </c>
      <c r="G7534">
        <v>0</v>
      </c>
      <c r="H7534">
        <v>72</v>
      </c>
      <c r="I7534">
        <v>0</v>
      </c>
      <c r="J7534">
        <v>2.99</v>
      </c>
      <c r="K7534">
        <v>0</v>
      </c>
    </row>
    <row r="7535" spans="1:12" x14ac:dyDescent="0.2">
      <c r="B7535">
        <v>5606732</v>
      </c>
      <c r="C7535" t="s">
        <v>10631</v>
      </c>
      <c r="D7535">
        <v>12</v>
      </c>
      <c r="E7535">
        <v>1</v>
      </c>
      <c r="F7535">
        <v>0</v>
      </c>
      <c r="G7535">
        <v>0</v>
      </c>
      <c r="H7535">
        <v>192</v>
      </c>
      <c r="I7535">
        <v>0</v>
      </c>
      <c r="J7535">
        <v>6.99</v>
      </c>
      <c r="K7535">
        <v>0</v>
      </c>
    </row>
    <row r="7536" spans="1:12" x14ac:dyDescent="0.2">
      <c r="A7536">
        <v>91064</v>
      </c>
      <c r="B7536">
        <v>5606733</v>
      </c>
      <c r="C7536" t="s">
        <v>10632</v>
      </c>
      <c r="D7536">
        <v>8</v>
      </c>
      <c r="E7536">
        <v>1</v>
      </c>
      <c r="F7536">
        <v>285</v>
      </c>
      <c r="G7536">
        <v>285</v>
      </c>
      <c r="H7536">
        <v>768</v>
      </c>
      <c r="I7536">
        <v>0.4</v>
      </c>
      <c r="J7536">
        <v>4.49</v>
      </c>
      <c r="K7536">
        <v>1279.6500000000001</v>
      </c>
    </row>
    <row r="7537" spans="1:11" x14ac:dyDescent="0.2">
      <c r="A7537">
        <v>91065</v>
      </c>
      <c r="B7537">
        <v>5606734</v>
      </c>
      <c r="C7537" t="s">
        <v>10633</v>
      </c>
      <c r="D7537">
        <v>8</v>
      </c>
      <c r="E7537">
        <v>1</v>
      </c>
      <c r="F7537">
        <v>37</v>
      </c>
      <c r="G7537">
        <v>37</v>
      </c>
      <c r="H7537">
        <v>768</v>
      </c>
      <c r="I7537">
        <v>0</v>
      </c>
      <c r="J7537">
        <v>7.99</v>
      </c>
      <c r="K7537">
        <v>295.63</v>
      </c>
    </row>
    <row r="7538" spans="1:11" x14ac:dyDescent="0.2">
      <c r="B7538">
        <v>5606735</v>
      </c>
      <c r="C7538" t="s">
        <v>10634</v>
      </c>
      <c r="D7538">
        <v>10</v>
      </c>
      <c r="E7538">
        <v>1</v>
      </c>
      <c r="F7538">
        <v>0</v>
      </c>
      <c r="G7538">
        <v>0</v>
      </c>
      <c r="H7538">
        <v>384</v>
      </c>
      <c r="I7538">
        <v>0</v>
      </c>
      <c r="J7538">
        <v>14.99</v>
      </c>
      <c r="K7538">
        <v>0</v>
      </c>
    </row>
    <row r="7539" spans="1:11" x14ac:dyDescent="0.2">
      <c r="A7539">
        <v>91066</v>
      </c>
      <c r="B7539">
        <v>5606736</v>
      </c>
      <c r="C7539" t="s">
        <v>10635</v>
      </c>
      <c r="D7539">
        <v>8</v>
      </c>
      <c r="E7539">
        <v>1</v>
      </c>
      <c r="F7539">
        <v>202</v>
      </c>
      <c r="G7539">
        <v>202</v>
      </c>
      <c r="H7539">
        <v>768</v>
      </c>
      <c r="I7539">
        <v>0.3</v>
      </c>
      <c r="J7539">
        <v>4.29</v>
      </c>
      <c r="K7539">
        <v>866.58</v>
      </c>
    </row>
    <row r="7540" spans="1:11" x14ac:dyDescent="0.2">
      <c r="A7540">
        <v>91067</v>
      </c>
      <c r="B7540">
        <v>5606737</v>
      </c>
      <c r="C7540" t="s">
        <v>10636</v>
      </c>
      <c r="D7540">
        <v>8</v>
      </c>
      <c r="E7540">
        <v>1</v>
      </c>
      <c r="F7540">
        <v>526</v>
      </c>
      <c r="G7540">
        <v>526</v>
      </c>
      <c r="H7540">
        <v>1024</v>
      </c>
      <c r="I7540">
        <v>0.5</v>
      </c>
      <c r="J7540">
        <v>2.99</v>
      </c>
      <c r="K7540">
        <v>1572.74</v>
      </c>
    </row>
    <row r="7541" spans="1:11" x14ac:dyDescent="0.2">
      <c r="A7541">
        <v>91083</v>
      </c>
      <c r="B7541">
        <v>5606738</v>
      </c>
      <c r="C7541" t="s">
        <v>10637</v>
      </c>
      <c r="D7541">
        <v>8</v>
      </c>
      <c r="E7541">
        <v>1</v>
      </c>
      <c r="F7541">
        <v>772</v>
      </c>
      <c r="G7541">
        <v>772</v>
      </c>
      <c r="H7541">
        <v>1024</v>
      </c>
      <c r="I7541">
        <v>0.8</v>
      </c>
      <c r="J7541">
        <v>4.49</v>
      </c>
      <c r="K7541">
        <v>3466.28</v>
      </c>
    </row>
    <row r="7542" spans="1:11" x14ac:dyDescent="0.2">
      <c r="A7542">
        <v>91121</v>
      </c>
      <c r="B7542">
        <v>5606741</v>
      </c>
      <c r="C7542" t="s">
        <v>10638</v>
      </c>
      <c r="D7542">
        <v>6</v>
      </c>
      <c r="E7542">
        <v>1</v>
      </c>
      <c r="F7542">
        <v>38</v>
      </c>
      <c r="G7542">
        <v>38</v>
      </c>
      <c r="H7542">
        <v>240</v>
      </c>
      <c r="I7542">
        <v>0.2</v>
      </c>
      <c r="J7542">
        <v>6.99</v>
      </c>
      <c r="K7542">
        <v>265.62</v>
      </c>
    </row>
    <row r="7543" spans="1:11" x14ac:dyDescent="0.2">
      <c r="A7543">
        <v>91122</v>
      </c>
      <c r="B7543">
        <v>5606743</v>
      </c>
      <c r="C7543" t="s">
        <v>10639</v>
      </c>
      <c r="D7543">
        <v>8</v>
      </c>
      <c r="E7543">
        <v>1</v>
      </c>
      <c r="F7543">
        <v>241</v>
      </c>
      <c r="G7543">
        <v>241</v>
      </c>
      <c r="H7543">
        <v>240</v>
      </c>
      <c r="I7543">
        <v>1</v>
      </c>
      <c r="J7543">
        <v>10.49</v>
      </c>
      <c r="K7543">
        <v>2528.09</v>
      </c>
    </row>
    <row r="7544" spans="1:11" x14ac:dyDescent="0.2">
      <c r="A7544">
        <v>91001</v>
      </c>
      <c r="B7544">
        <v>5606744</v>
      </c>
      <c r="C7544" t="s">
        <v>10640</v>
      </c>
      <c r="D7544">
        <v>8</v>
      </c>
      <c r="E7544">
        <v>1</v>
      </c>
      <c r="F7544">
        <v>1903</v>
      </c>
      <c r="G7544">
        <v>1903</v>
      </c>
      <c r="H7544">
        <v>192</v>
      </c>
      <c r="I7544">
        <v>9.9</v>
      </c>
      <c r="J7544">
        <v>10.99</v>
      </c>
      <c r="K7544">
        <v>20913.97</v>
      </c>
    </row>
    <row r="7545" spans="1:11" x14ac:dyDescent="0.2">
      <c r="B7545">
        <v>5606745</v>
      </c>
      <c r="C7545" t="s">
        <v>10641</v>
      </c>
      <c r="D7545">
        <v>11</v>
      </c>
      <c r="E7545">
        <v>1</v>
      </c>
      <c r="F7545">
        <v>-8</v>
      </c>
      <c r="G7545">
        <v>-8</v>
      </c>
      <c r="H7545">
        <v>240</v>
      </c>
      <c r="I7545">
        <v>0</v>
      </c>
      <c r="J7545">
        <v>6.99</v>
      </c>
      <c r="K7545">
        <v>-55.92</v>
      </c>
    </row>
    <row r="7546" spans="1:11" x14ac:dyDescent="0.2">
      <c r="A7546">
        <v>51603</v>
      </c>
      <c r="B7546">
        <v>5606748</v>
      </c>
      <c r="C7546" t="s">
        <v>10642</v>
      </c>
      <c r="D7546">
        <v>10</v>
      </c>
      <c r="E7546">
        <v>10</v>
      </c>
      <c r="F7546">
        <v>0</v>
      </c>
      <c r="G7546">
        <v>0</v>
      </c>
      <c r="H7546">
        <v>104</v>
      </c>
      <c r="I7546">
        <v>0</v>
      </c>
      <c r="J7546">
        <v>0.99</v>
      </c>
      <c r="K7546">
        <v>0</v>
      </c>
    </row>
    <row r="7547" spans="1:11" x14ac:dyDescent="0.2">
      <c r="A7547">
        <v>57355</v>
      </c>
      <c r="B7547">
        <v>5606752</v>
      </c>
      <c r="C7547" t="s">
        <v>10643</v>
      </c>
      <c r="D7547">
        <v>10</v>
      </c>
      <c r="E7547">
        <v>8</v>
      </c>
      <c r="F7547">
        <v>0</v>
      </c>
      <c r="G7547">
        <v>0</v>
      </c>
      <c r="H7547">
        <v>108</v>
      </c>
      <c r="I7547">
        <v>0</v>
      </c>
      <c r="J7547">
        <v>1</v>
      </c>
      <c r="K7547">
        <v>0</v>
      </c>
    </row>
    <row r="7548" spans="1:11" x14ac:dyDescent="0.2">
      <c r="A7548">
        <v>57317</v>
      </c>
      <c r="B7548">
        <v>5606753</v>
      </c>
      <c r="C7548" t="s">
        <v>10644</v>
      </c>
      <c r="D7548">
        <v>10</v>
      </c>
      <c r="E7548">
        <v>8</v>
      </c>
      <c r="F7548">
        <v>0</v>
      </c>
      <c r="G7548">
        <v>0</v>
      </c>
      <c r="H7548">
        <v>108</v>
      </c>
      <c r="I7548">
        <v>0</v>
      </c>
      <c r="J7548">
        <v>1.59</v>
      </c>
      <c r="K7548">
        <v>0</v>
      </c>
    </row>
    <row r="7549" spans="1:11" x14ac:dyDescent="0.2">
      <c r="A7549">
        <v>82094</v>
      </c>
      <c r="B7549">
        <v>5606779</v>
      </c>
      <c r="C7549" t="s">
        <v>10645</v>
      </c>
      <c r="D7549">
        <v>8</v>
      </c>
      <c r="E7549">
        <v>16</v>
      </c>
      <c r="F7549">
        <v>412</v>
      </c>
      <c r="G7549">
        <v>6599</v>
      </c>
      <c r="H7549">
        <v>48</v>
      </c>
      <c r="I7549">
        <v>8.6</v>
      </c>
      <c r="J7549">
        <v>2.79</v>
      </c>
      <c r="K7549">
        <v>18411.21</v>
      </c>
    </row>
    <row r="7550" spans="1:11" x14ac:dyDescent="0.2">
      <c r="A7550">
        <v>85017</v>
      </c>
      <c r="B7550">
        <v>5606785</v>
      </c>
      <c r="C7550" t="s">
        <v>10646</v>
      </c>
      <c r="D7550">
        <v>8</v>
      </c>
      <c r="E7550">
        <v>4</v>
      </c>
      <c r="F7550">
        <v>257</v>
      </c>
      <c r="G7550">
        <v>1028</v>
      </c>
      <c r="H7550">
        <v>70</v>
      </c>
      <c r="I7550">
        <v>3.7</v>
      </c>
      <c r="J7550">
        <v>3.99</v>
      </c>
      <c r="K7550">
        <v>4101.72</v>
      </c>
    </row>
    <row r="7551" spans="1:11" x14ac:dyDescent="0.2">
      <c r="B7551">
        <v>5606789</v>
      </c>
      <c r="C7551" t="s">
        <v>10647</v>
      </c>
      <c r="D7551">
        <v>10</v>
      </c>
      <c r="E7551">
        <v>5</v>
      </c>
      <c r="F7551">
        <v>-5</v>
      </c>
      <c r="G7551">
        <v>-25</v>
      </c>
      <c r="H7551">
        <v>96</v>
      </c>
      <c r="I7551">
        <v>-0.1</v>
      </c>
      <c r="J7551">
        <v>2.59</v>
      </c>
      <c r="K7551">
        <v>-64.75</v>
      </c>
    </row>
    <row r="7552" spans="1:11" x14ac:dyDescent="0.2">
      <c r="B7552">
        <v>5606790</v>
      </c>
      <c r="C7552" t="s">
        <v>10648</v>
      </c>
      <c r="D7552">
        <v>10</v>
      </c>
      <c r="E7552">
        <v>5</v>
      </c>
      <c r="F7552">
        <v>3</v>
      </c>
      <c r="G7552">
        <v>15</v>
      </c>
      <c r="H7552">
        <v>96</v>
      </c>
      <c r="I7552">
        <v>0</v>
      </c>
      <c r="J7552">
        <v>2.59</v>
      </c>
      <c r="K7552">
        <v>38.85</v>
      </c>
    </row>
    <row r="7553" spans="1:11" x14ac:dyDescent="0.2">
      <c r="B7553">
        <v>5606791</v>
      </c>
      <c r="C7553" t="s">
        <v>10649</v>
      </c>
      <c r="D7553">
        <v>10</v>
      </c>
      <c r="E7553">
        <v>5</v>
      </c>
      <c r="F7553">
        <v>-6</v>
      </c>
      <c r="G7553">
        <v>-30</v>
      </c>
      <c r="H7553">
        <v>96</v>
      </c>
      <c r="I7553">
        <v>-0.1</v>
      </c>
      <c r="J7553">
        <v>2.59</v>
      </c>
      <c r="K7553">
        <v>-77.7</v>
      </c>
    </row>
    <row r="7554" spans="1:11" x14ac:dyDescent="0.2">
      <c r="A7554">
        <v>91068</v>
      </c>
      <c r="B7554">
        <v>5606794</v>
      </c>
      <c r="C7554" t="s">
        <v>10650</v>
      </c>
      <c r="D7554">
        <v>8</v>
      </c>
      <c r="E7554">
        <v>1</v>
      </c>
      <c r="F7554">
        <v>237</v>
      </c>
      <c r="G7554">
        <v>237</v>
      </c>
      <c r="H7554">
        <v>320</v>
      </c>
      <c r="I7554">
        <v>0.7</v>
      </c>
      <c r="J7554">
        <v>6.49</v>
      </c>
      <c r="K7554">
        <v>1538.13</v>
      </c>
    </row>
    <row r="7555" spans="1:11" x14ac:dyDescent="0.2">
      <c r="A7555">
        <v>91069</v>
      </c>
      <c r="B7555">
        <v>5606795</v>
      </c>
      <c r="C7555" t="s">
        <v>10651</v>
      </c>
      <c r="D7555">
        <v>8</v>
      </c>
      <c r="E7555">
        <v>1</v>
      </c>
      <c r="F7555">
        <v>398</v>
      </c>
      <c r="G7555">
        <v>398</v>
      </c>
      <c r="H7555">
        <v>768</v>
      </c>
      <c r="I7555">
        <v>0.5</v>
      </c>
      <c r="J7555">
        <v>2.4900000000000002</v>
      </c>
      <c r="K7555">
        <v>991.02</v>
      </c>
    </row>
    <row r="7556" spans="1:11" x14ac:dyDescent="0.2">
      <c r="A7556">
        <v>43652</v>
      </c>
      <c r="B7556">
        <v>5606808</v>
      </c>
      <c r="C7556" t="s">
        <v>10652</v>
      </c>
      <c r="D7556">
        <v>12</v>
      </c>
      <c r="E7556">
        <v>6</v>
      </c>
      <c r="F7556">
        <v>2</v>
      </c>
      <c r="G7556">
        <v>12</v>
      </c>
      <c r="H7556">
        <v>160</v>
      </c>
      <c r="I7556">
        <v>0</v>
      </c>
      <c r="J7556">
        <v>3.99</v>
      </c>
      <c r="K7556">
        <v>47.88</v>
      </c>
    </row>
    <row r="7557" spans="1:11" x14ac:dyDescent="0.2">
      <c r="B7557">
        <v>5606809</v>
      </c>
      <c r="C7557" t="s">
        <v>10653</v>
      </c>
      <c r="D7557">
        <v>12</v>
      </c>
      <c r="E7557">
        <v>8</v>
      </c>
      <c r="F7557">
        <v>0</v>
      </c>
      <c r="G7557">
        <v>0</v>
      </c>
      <c r="H7557">
        <v>220</v>
      </c>
      <c r="I7557">
        <v>0</v>
      </c>
      <c r="J7557">
        <v>1.9</v>
      </c>
      <c r="K7557">
        <v>0</v>
      </c>
    </row>
    <row r="7558" spans="1:11" x14ac:dyDescent="0.2">
      <c r="A7558">
        <v>41523</v>
      </c>
      <c r="B7558">
        <v>5606812</v>
      </c>
      <c r="C7558" t="s">
        <v>10654</v>
      </c>
      <c r="D7558">
        <v>10</v>
      </c>
      <c r="E7558">
        <v>6</v>
      </c>
      <c r="F7558">
        <v>-3</v>
      </c>
      <c r="G7558">
        <v>-18</v>
      </c>
      <c r="H7558">
        <v>48</v>
      </c>
      <c r="I7558">
        <v>-0.1</v>
      </c>
      <c r="J7558">
        <v>2.39</v>
      </c>
      <c r="K7558">
        <v>-43.02</v>
      </c>
    </row>
    <row r="7559" spans="1:11" x14ac:dyDescent="0.2">
      <c r="B7559">
        <v>5606822</v>
      </c>
      <c r="C7559" t="s">
        <v>10655</v>
      </c>
      <c r="D7559">
        <v>11</v>
      </c>
      <c r="E7559">
        <v>1</v>
      </c>
      <c r="F7559">
        <v>13</v>
      </c>
      <c r="G7559">
        <v>13</v>
      </c>
      <c r="H7559">
        <v>192</v>
      </c>
      <c r="I7559">
        <v>0.1</v>
      </c>
      <c r="J7559">
        <v>15.39</v>
      </c>
      <c r="K7559">
        <v>200.07</v>
      </c>
    </row>
    <row r="7560" spans="1:11" x14ac:dyDescent="0.2">
      <c r="A7560">
        <v>30516</v>
      </c>
      <c r="B7560">
        <v>5606828</v>
      </c>
      <c r="C7560" t="s">
        <v>10656</v>
      </c>
      <c r="D7560">
        <v>10</v>
      </c>
      <c r="E7560">
        <v>6</v>
      </c>
      <c r="F7560">
        <v>0</v>
      </c>
      <c r="G7560">
        <v>0</v>
      </c>
      <c r="H7560">
        <v>182</v>
      </c>
      <c r="I7560">
        <v>0</v>
      </c>
      <c r="J7560">
        <v>1.29</v>
      </c>
      <c r="K7560">
        <v>0</v>
      </c>
    </row>
    <row r="7561" spans="1:11" x14ac:dyDescent="0.2">
      <c r="A7561">
        <v>30517</v>
      </c>
      <c r="B7561">
        <v>5606830</v>
      </c>
      <c r="C7561" t="s">
        <v>10657</v>
      </c>
      <c r="D7561">
        <v>10</v>
      </c>
      <c r="E7561">
        <v>6</v>
      </c>
      <c r="F7561">
        <v>0</v>
      </c>
      <c r="G7561">
        <v>0</v>
      </c>
      <c r="H7561">
        <v>182</v>
      </c>
      <c r="I7561">
        <v>0</v>
      </c>
      <c r="J7561">
        <v>1.29</v>
      </c>
      <c r="K7561">
        <v>0</v>
      </c>
    </row>
    <row r="7562" spans="1:11" x14ac:dyDescent="0.2">
      <c r="B7562">
        <v>5606833</v>
      </c>
      <c r="C7562" t="s">
        <v>10658</v>
      </c>
      <c r="D7562">
        <v>11</v>
      </c>
      <c r="E7562">
        <v>1</v>
      </c>
      <c r="F7562">
        <v>0</v>
      </c>
      <c r="G7562">
        <v>0</v>
      </c>
      <c r="H7562">
        <v>384</v>
      </c>
      <c r="I7562">
        <v>0</v>
      </c>
      <c r="J7562">
        <v>4.99</v>
      </c>
      <c r="K7562">
        <v>0</v>
      </c>
    </row>
    <row r="7563" spans="1:11" x14ac:dyDescent="0.2">
      <c r="A7563">
        <v>57199</v>
      </c>
      <c r="B7563">
        <v>5606835</v>
      </c>
      <c r="C7563" t="s">
        <v>10659</v>
      </c>
      <c r="D7563">
        <v>10</v>
      </c>
      <c r="E7563">
        <v>4</v>
      </c>
      <c r="F7563">
        <v>0</v>
      </c>
      <c r="G7563">
        <v>0</v>
      </c>
      <c r="H7563">
        <v>48</v>
      </c>
      <c r="I7563">
        <v>0</v>
      </c>
      <c r="J7563">
        <v>4.2</v>
      </c>
      <c r="K7563">
        <v>0</v>
      </c>
    </row>
    <row r="7564" spans="1:11" x14ac:dyDescent="0.2">
      <c r="A7564">
        <v>86012</v>
      </c>
      <c r="B7564">
        <v>5606842</v>
      </c>
      <c r="C7564" t="s">
        <v>10660</v>
      </c>
      <c r="D7564">
        <v>8</v>
      </c>
      <c r="E7564">
        <v>24</v>
      </c>
      <c r="F7564">
        <v>640</v>
      </c>
      <c r="G7564">
        <v>15360</v>
      </c>
      <c r="H7564">
        <v>128</v>
      </c>
      <c r="I7564">
        <v>5</v>
      </c>
      <c r="J7564">
        <v>1.25</v>
      </c>
      <c r="K7564">
        <v>19200</v>
      </c>
    </row>
    <row r="7565" spans="1:11" x14ac:dyDescent="0.2">
      <c r="A7565">
        <v>85087</v>
      </c>
      <c r="B7565">
        <v>5606850</v>
      </c>
      <c r="C7565" t="s">
        <v>10661</v>
      </c>
      <c r="D7565">
        <v>8</v>
      </c>
      <c r="E7565">
        <v>8</v>
      </c>
      <c r="F7565">
        <v>173</v>
      </c>
      <c r="G7565">
        <v>1384</v>
      </c>
      <c r="H7565">
        <v>48</v>
      </c>
      <c r="I7565">
        <v>3.6</v>
      </c>
      <c r="J7565">
        <v>1.0900000000000001</v>
      </c>
      <c r="K7565">
        <v>1508.56</v>
      </c>
    </row>
    <row r="7566" spans="1:11" x14ac:dyDescent="0.2">
      <c r="B7566">
        <v>5606851</v>
      </c>
      <c r="C7566" t="s">
        <v>10662</v>
      </c>
      <c r="D7566">
        <v>11</v>
      </c>
      <c r="E7566">
        <v>1</v>
      </c>
      <c r="F7566">
        <v>0</v>
      </c>
      <c r="G7566">
        <v>0</v>
      </c>
      <c r="H7566">
        <v>576</v>
      </c>
      <c r="I7566">
        <v>0</v>
      </c>
      <c r="J7566">
        <v>5.49</v>
      </c>
      <c r="K7566">
        <v>0</v>
      </c>
    </row>
    <row r="7567" spans="1:11" x14ac:dyDescent="0.2">
      <c r="A7567">
        <v>86011</v>
      </c>
      <c r="B7567">
        <v>5606855</v>
      </c>
      <c r="C7567" t="s">
        <v>10663</v>
      </c>
      <c r="D7567">
        <v>8</v>
      </c>
      <c r="E7567">
        <v>10</v>
      </c>
      <c r="F7567">
        <v>240</v>
      </c>
      <c r="G7567">
        <v>2400</v>
      </c>
      <c r="H7567">
        <v>48</v>
      </c>
      <c r="I7567">
        <v>5</v>
      </c>
      <c r="J7567">
        <v>2.4900000000000002</v>
      </c>
      <c r="K7567">
        <v>5976</v>
      </c>
    </row>
    <row r="7568" spans="1:11" x14ac:dyDescent="0.2">
      <c r="B7568">
        <v>5606856</v>
      </c>
      <c r="C7568" t="s">
        <v>10664</v>
      </c>
      <c r="D7568">
        <v>6</v>
      </c>
      <c r="E7568">
        <v>1</v>
      </c>
      <c r="F7568">
        <v>0</v>
      </c>
      <c r="G7568">
        <v>0</v>
      </c>
      <c r="H7568">
        <v>30</v>
      </c>
      <c r="I7568">
        <v>0</v>
      </c>
      <c r="J7568">
        <v>12.99</v>
      </c>
      <c r="K7568">
        <v>0</v>
      </c>
    </row>
    <row r="7569" spans="1:11" x14ac:dyDescent="0.2">
      <c r="A7569">
        <v>84212</v>
      </c>
      <c r="B7569">
        <v>5606862</v>
      </c>
      <c r="C7569" t="s">
        <v>10665</v>
      </c>
      <c r="D7569">
        <v>8</v>
      </c>
      <c r="E7569">
        <v>6</v>
      </c>
      <c r="F7569">
        <v>98</v>
      </c>
      <c r="G7569">
        <v>590</v>
      </c>
      <c r="H7569">
        <v>56</v>
      </c>
      <c r="I7569">
        <v>1.8</v>
      </c>
      <c r="J7569">
        <v>2.59</v>
      </c>
      <c r="K7569">
        <v>1528.1</v>
      </c>
    </row>
    <row r="7570" spans="1:11" x14ac:dyDescent="0.2">
      <c r="A7570">
        <v>86008</v>
      </c>
      <c r="B7570">
        <v>5606865</v>
      </c>
      <c r="C7570" t="s">
        <v>10666</v>
      </c>
      <c r="D7570">
        <v>8</v>
      </c>
      <c r="E7570">
        <v>24</v>
      </c>
      <c r="F7570">
        <v>520</v>
      </c>
      <c r="G7570">
        <v>12480</v>
      </c>
      <c r="H7570">
        <v>104</v>
      </c>
      <c r="I7570">
        <v>5</v>
      </c>
      <c r="J7570">
        <v>1.19</v>
      </c>
      <c r="K7570">
        <v>14851.2</v>
      </c>
    </row>
    <row r="7571" spans="1:11" x14ac:dyDescent="0.2">
      <c r="A7571">
        <v>71156</v>
      </c>
      <c r="B7571">
        <v>5606872</v>
      </c>
      <c r="C7571" t="s">
        <v>10667</v>
      </c>
      <c r="D7571">
        <v>8</v>
      </c>
      <c r="E7571">
        <v>6</v>
      </c>
      <c r="F7571">
        <v>858</v>
      </c>
      <c r="G7571">
        <v>5148</v>
      </c>
      <c r="H7571">
        <v>90</v>
      </c>
      <c r="I7571">
        <v>9.5</v>
      </c>
      <c r="J7571">
        <v>1.75</v>
      </c>
      <c r="K7571">
        <v>9009</v>
      </c>
    </row>
    <row r="7572" spans="1:11" x14ac:dyDescent="0.2">
      <c r="A7572">
        <v>71256</v>
      </c>
      <c r="B7572">
        <v>5606873</v>
      </c>
      <c r="C7572" t="s">
        <v>10668</v>
      </c>
      <c r="D7572">
        <v>8</v>
      </c>
      <c r="E7572">
        <v>8</v>
      </c>
      <c r="F7572">
        <v>634</v>
      </c>
      <c r="G7572">
        <v>5071</v>
      </c>
      <c r="H7572">
        <v>100</v>
      </c>
      <c r="I7572">
        <v>6.3</v>
      </c>
      <c r="J7572">
        <v>1.19</v>
      </c>
      <c r="K7572">
        <v>6034.49</v>
      </c>
    </row>
    <row r="7573" spans="1:11" x14ac:dyDescent="0.2">
      <c r="A7573">
        <v>0</v>
      </c>
      <c r="B7573">
        <v>5606874</v>
      </c>
      <c r="C7573" t="s">
        <v>10669</v>
      </c>
      <c r="D7573">
        <v>11</v>
      </c>
      <c r="E7573">
        <v>8</v>
      </c>
      <c r="F7573">
        <v>-1</v>
      </c>
      <c r="G7573">
        <v>-5</v>
      </c>
      <c r="H7573">
        <v>100</v>
      </c>
      <c r="I7573">
        <v>0</v>
      </c>
      <c r="J7573">
        <v>1.62</v>
      </c>
      <c r="K7573">
        <v>-8.1</v>
      </c>
    </row>
    <row r="7574" spans="1:11" x14ac:dyDescent="0.2">
      <c r="A7574">
        <v>57498</v>
      </c>
      <c r="B7574">
        <v>5606875</v>
      </c>
      <c r="C7574" t="s">
        <v>10670</v>
      </c>
      <c r="D7574">
        <v>10</v>
      </c>
      <c r="E7574">
        <v>6</v>
      </c>
      <c r="F7574">
        <v>12</v>
      </c>
      <c r="G7574">
        <v>72</v>
      </c>
      <c r="H7574">
        <v>90</v>
      </c>
      <c r="I7574">
        <v>0.1</v>
      </c>
      <c r="J7574">
        <v>1.0900000000000001</v>
      </c>
      <c r="K7574">
        <v>78.48</v>
      </c>
    </row>
    <row r="7575" spans="1:11" x14ac:dyDescent="0.2">
      <c r="A7575">
        <v>57392</v>
      </c>
      <c r="B7575">
        <v>5606876</v>
      </c>
      <c r="C7575" t="s">
        <v>10671</v>
      </c>
      <c r="D7575">
        <v>10</v>
      </c>
      <c r="E7575">
        <v>4</v>
      </c>
      <c r="F7575">
        <v>0</v>
      </c>
      <c r="G7575">
        <v>0</v>
      </c>
      <c r="H7575">
        <v>144</v>
      </c>
      <c r="I7575">
        <v>0</v>
      </c>
      <c r="J7575">
        <v>2</v>
      </c>
      <c r="K7575">
        <v>0</v>
      </c>
    </row>
    <row r="7576" spans="1:11" x14ac:dyDescent="0.2">
      <c r="A7576">
        <v>57626</v>
      </c>
      <c r="B7576">
        <v>5606878</v>
      </c>
      <c r="C7576" t="s">
        <v>10672</v>
      </c>
      <c r="D7576">
        <v>10</v>
      </c>
      <c r="E7576">
        <v>6</v>
      </c>
      <c r="F7576">
        <v>1</v>
      </c>
      <c r="G7576">
        <v>7</v>
      </c>
      <c r="H7576">
        <v>105</v>
      </c>
      <c r="I7576">
        <v>0</v>
      </c>
      <c r="J7576">
        <v>1.49</v>
      </c>
      <c r="K7576">
        <v>10.43</v>
      </c>
    </row>
    <row r="7577" spans="1:11" x14ac:dyDescent="0.2">
      <c r="A7577">
        <v>91112</v>
      </c>
      <c r="B7577">
        <v>5606883</v>
      </c>
      <c r="C7577" t="s">
        <v>10673</v>
      </c>
      <c r="D7577">
        <v>8</v>
      </c>
      <c r="E7577">
        <v>1</v>
      </c>
      <c r="F7577">
        <v>231</v>
      </c>
      <c r="G7577">
        <v>231</v>
      </c>
      <c r="H7577">
        <v>288</v>
      </c>
      <c r="I7577">
        <v>0.8</v>
      </c>
      <c r="J7577">
        <v>2.99</v>
      </c>
      <c r="K7577">
        <v>690.69</v>
      </c>
    </row>
    <row r="7578" spans="1:11" x14ac:dyDescent="0.2">
      <c r="A7578">
        <v>91111</v>
      </c>
      <c r="B7578">
        <v>5606884</v>
      </c>
      <c r="C7578" t="s">
        <v>10674</v>
      </c>
      <c r="D7578">
        <v>8</v>
      </c>
      <c r="E7578">
        <v>1</v>
      </c>
      <c r="F7578">
        <v>181</v>
      </c>
      <c r="G7578">
        <v>181</v>
      </c>
      <c r="H7578">
        <v>288</v>
      </c>
      <c r="I7578">
        <v>0.6</v>
      </c>
      <c r="J7578">
        <v>2.99</v>
      </c>
      <c r="K7578">
        <v>541.19000000000005</v>
      </c>
    </row>
    <row r="7579" spans="1:11" x14ac:dyDescent="0.2">
      <c r="A7579">
        <v>91098</v>
      </c>
      <c r="B7579">
        <v>5606885</v>
      </c>
      <c r="C7579" t="s">
        <v>10675</v>
      </c>
      <c r="D7579">
        <v>8</v>
      </c>
      <c r="E7579">
        <v>1</v>
      </c>
      <c r="F7579">
        <v>605</v>
      </c>
      <c r="G7579">
        <v>605</v>
      </c>
      <c r="H7579">
        <v>720</v>
      </c>
      <c r="I7579">
        <v>0.8</v>
      </c>
      <c r="J7579">
        <v>5.35</v>
      </c>
      <c r="K7579">
        <v>3236.75</v>
      </c>
    </row>
    <row r="7580" spans="1:11" x14ac:dyDescent="0.2">
      <c r="B7580">
        <v>5606887</v>
      </c>
      <c r="C7580" t="s">
        <v>10676</v>
      </c>
      <c r="D7580">
        <v>11</v>
      </c>
      <c r="E7580">
        <v>1</v>
      </c>
      <c r="F7580">
        <v>0</v>
      </c>
      <c r="G7580">
        <v>0</v>
      </c>
      <c r="H7580">
        <v>720</v>
      </c>
      <c r="I7580">
        <v>0</v>
      </c>
      <c r="J7580">
        <v>2.99</v>
      </c>
      <c r="K7580">
        <v>0</v>
      </c>
    </row>
    <row r="7581" spans="1:11" x14ac:dyDescent="0.2">
      <c r="A7581">
        <v>26526</v>
      </c>
      <c r="B7581">
        <v>5606892</v>
      </c>
      <c r="C7581" t="s">
        <v>5037</v>
      </c>
      <c r="D7581">
        <v>10</v>
      </c>
      <c r="E7581">
        <v>12</v>
      </c>
      <c r="F7581">
        <v>0</v>
      </c>
      <c r="G7581">
        <v>0</v>
      </c>
      <c r="H7581">
        <v>150</v>
      </c>
      <c r="I7581">
        <v>0</v>
      </c>
      <c r="J7581">
        <v>1.59</v>
      </c>
      <c r="K7581">
        <v>0</v>
      </c>
    </row>
    <row r="7582" spans="1:11" x14ac:dyDescent="0.2">
      <c r="A7582">
        <v>29529</v>
      </c>
      <c r="B7582">
        <v>5606895</v>
      </c>
      <c r="C7582" t="s">
        <v>5037</v>
      </c>
      <c r="D7582">
        <v>10</v>
      </c>
      <c r="E7582">
        <v>12</v>
      </c>
      <c r="F7582">
        <v>0</v>
      </c>
      <c r="G7582">
        <v>0</v>
      </c>
      <c r="H7582">
        <v>150</v>
      </c>
      <c r="I7582">
        <v>0</v>
      </c>
      <c r="J7582">
        <v>1.59</v>
      </c>
      <c r="K7582">
        <v>0</v>
      </c>
    </row>
    <row r="7583" spans="1:11" x14ac:dyDescent="0.2">
      <c r="A7583">
        <v>41631</v>
      </c>
      <c r="B7583">
        <v>5606896</v>
      </c>
      <c r="C7583" t="s">
        <v>10677</v>
      </c>
      <c r="D7583">
        <v>10</v>
      </c>
      <c r="E7583">
        <v>12</v>
      </c>
      <c r="F7583">
        <v>0</v>
      </c>
      <c r="G7583">
        <v>0</v>
      </c>
      <c r="H7583">
        <v>108</v>
      </c>
      <c r="I7583">
        <v>0</v>
      </c>
      <c r="J7583">
        <v>1</v>
      </c>
      <c r="K7583">
        <v>0</v>
      </c>
    </row>
    <row r="7584" spans="1:11" x14ac:dyDescent="0.2">
      <c r="B7584">
        <v>5606899</v>
      </c>
      <c r="C7584" t="s">
        <v>10678</v>
      </c>
      <c r="D7584">
        <v>11</v>
      </c>
      <c r="E7584">
        <v>6</v>
      </c>
      <c r="F7584">
        <v>0</v>
      </c>
      <c r="G7584">
        <v>0</v>
      </c>
      <c r="H7584">
        <v>150</v>
      </c>
      <c r="I7584">
        <v>0</v>
      </c>
      <c r="J7584">
        <v>1.89</v>
      </c>
      <c r="K7584">
        <v>0</v>
      </c>
    </row>
    <row r="7585" spans="1:11" x14ac:dyDescent="0.2">
      <c r="A7585">
        <v>57264</v>
      </c>
      <c r="B7585">
        <v>5606901</v>
      </c>
      <c r="C7585" t="s">
        <v>10679</v>
      </c>
      <c r="D7585">
        <v>10</v>
      </c>
      <c r="E7585">
        <v>12</v>
      </c>
      <c r="F7585">
        <v>0</v>
      </c>
      <c r="G7585">
        <v>0</v>
      </c>
      <c r="H7585">
        <v>117</v>
      </c>
      <c r="I7585">
        <v>0</v>
      </c>
      <c r="J7585">
        <v>1.05</v>
      </c>
      <c r="K7585">
        <v>0</v>
      </c>
    </row>
    <row r="7586" spans="1:11" x14ac:dyDescent="0.2">
      <c r="B7586">
        <v>5606902</v>
      </c>
      <c r="C7586" t="s">
        <v>10680</v>
      </c>
      <c r="D7586">
        <v>11</v>
      </c>
      <c r="E7586">
        <v>12</v>
      </c>
      <c r="F7586">
        <v>0</v>
      </c>
      <c r="G7586">
        <v>0</v>
      </c>
      <c r="H7586">
        <v>117</v>
      </c>
      <c r="I7586">
        <v>0</v>
      </c>
      <c r="J7586">
        <v>1.05</v>
      </c>
      <c r="K7586">
        <v>0</v>
      </c>
    </row>
    <row r="7587" spans="1:11" x14ac:dyDescent="0.2">
      <c r="A7587">
        <v>26610</v>
      </c>
      <c r="B7587">
        <v>5606904</v>
      </c>
      <c r="C7587" t="s">
        <v>10681</v>
      </c>
      <c r="D7587">
        <v>10</v>
      </c>
      <c r="E7587">
        <v>6</v>
      </c>
      <c r="F7587">
        <v>0</v>
      </c>
      <c r="G7587">
        <v>0</v>
      </c>
      <c r="H7587">
        <v>70</v>
      </c>
      <c r="I7587">
        <v>0</v>
      </c>
      <c r="J7587">
        <v>2.99</v>
      </c>
      <c r="K7587">
        <v>0</v>
      </c>
    </row>
    <row r="7588" spans="1:11" x14ac:dyDescent="0.2">
      <c r="A7588">
        <v>30634</v>
      </c>
      <c r="B7588">
        <v>5606907</v>
      </c>
      <c r="C7588" t="s">
        <v>10682</v>
      </c>
      <c r="D7588">
        <v>10</v>
      </c>
      <c r="E7588">
        <v>9</v>
      </c>
      <c r="F7588">
        <v>0</v>
      </c>
      <c r="G7588">
        <v>0</v>
      </c>
      <c r="H7588">
        <v>75</v>
      </c>
      <c r="I7588">
        <v>0</v>
      </c>
      <c r="J7588">
        <v>2</v>
      </c>
      <c r="K7588">
        <v>0</v>
      </c>
    </row>
    <row r="7589" spans="1:11" x14ac:dyDescent="0.2">
      <c r="A7589">
        <v>30635</v>
      </c>
      <c r="B7589">
        <v>5606908</v>
      </c>
      <c r="C7589" t="s">
        <v>10683</v>
      </c>
      <c r="D7589">
        <v>10</v>
      </c>
      <c r="E7589">
        <v>9</v>
      </c>
      <c r="F7589">
        <v>0</v>
      </c>
      <c r="G7589">
        <v>0</v>
      </c>
      <c r="H7589">
        <v>75</v>
      </c>
      <c r="I7589">
        <v>0</v>
      </c>
      <c r="J7589">
        <v>3.29</v>
      </c>
      <c r="K7589">
        <v>0</v>
      </c>
    </row>
    <row r="7590" spans="1:11" x14ac:dyDescent="0.2">
      <c r="A7590">
        <v>86007</v>
      </c>
      <c r="B7590">
        <v>5606910</v>
      </c>
      <c r="C7590" t="s">
        <v>10684</v>
      </c>
      <c r="D7590">
        <v>8</v>
      </c>
      <c r="E7590">
        <v>60</v>
      </c>
      <c r="F7590">
        <v>48</v>
      </c>
      <c r="G7590">
        <v>2880</v>
      </c>
      <c r="H7590">
        <v>48</v>
      </c>
      <c r="I7590">
        <v>1</v>
      </c>
      <c r="J7590">
        <v>0.75</v>
      </c>
      <c r="K7590">
        <v>2160</v>
      </c>
    </row>
    <row r="7591" spans="1:11" x14ac:dyDescent="0.2">
      <c r="A7591">
        <v>86049</v>
      </c>
      <c r="B7591">
        <v>5606919</v>
      </c>
      <c r="C7591" t="s">
        <v>10685</v>
      </c>
      <c r="D7591">
        <v>8</v>
      </c>
      <c r="E7591">
        <v>26</v>
      </c>
      <c r="F7591">
        <v>72</v>
      </c>
      <c r="G7591">
        <v>1872</v>
      </c>
      <c r="H7591">
        <v>24</v>
      </c>
      <c r="I7591">
        <v>3</v>
      </c>
      <c r="J7591">
        <v>1.79</v>
      </c>
      <c r="K7591">
        <v>3350.88</v>
      </c>
    </row>
    <row r="7592" spans="1:11" x14ac:dyDescent="0.2">
      <c r="A7592">
        <v>86047</v>
      </c>
      <c r="B7592">
        <v>5606923</v>
      </c>
      <c r="C7592" t="s">
        <v>10686</v>
      </c>
      <c r="D7592">
        <v>8</v>
      </c>
      <c r="E7592">
        <v>22</v>
      </c>
      <c r="F7592">
        <v>288</v>
      </c>
      <c r="G7592">
        <v>6336</v>
      </c>
      <c r="H7592">
        <v>72</v>
      </c>
      <c r="I7592">
        <v>4</v>
      </c>
      <c r="J7592">
        <v>1.79</v>
      </c>
      <c r="K7592">
        <v>11341.44</v>
      </c>
    </row>
    <row r="7593" spans="1:11" x14ac:dyDescent="0.2">
      <c r="A7593">
        <v>57627</v>
      </c>
      <c r="B7593">
        <v>5606929</v>
      </c>
      <c r="C7593" t="s">
        <v>10687</v>
      </c>
      <c r="D7593">
        <v>10</v>
      </c>
      <c r="E7593">
        <v>6</v>
      </c>
      <c r="F7593">
        <v>25</v>
      </c>
      <c r="G7593">
        <v>147</v>
      </c>
      <c r="H7593">
        <v>84</v>
      </c>
      <c r="I7593">
        <v>0.3</v>
      </c>
      <c r="J7593">
        <v>1.29</v>
      </c>
      <c r="K7593">
        <v>189.63</v>
      </c>
    </row>
    <row r="7594" spans="1:11" x14ac:dyDescent="0.2">
      <c r="A7594">
        <v>99262</v>
      </c>
      <c r="B7594">
        <v>5606930</v>
      </c>
      <c r="C7594" t="s">
        <v>10688</v>
      </c>
      <c r="D7594">
        <v>10</v>
      </c>
      <c r="E7594">
        <v>8</v>
      </c>
      <c r="F7594">
        <v>0</v>
      </c>
      <c r="G7594">
        <v>0</v>
      </c>
      <c r="H7594">
        <v>144</v>
      </c>
      <c r="I7594">
        <v>0</v>
      </c>
      <c r="J7594">
        <v>2.4900000000000002</v>
      </c>
      <c r="K7594">
        <v>0</v>
      </c>
    </row>
    <row r="7595" spans="1:11" x14ac:dyDescent="0.2">
      <c r="A7595">
        <v>99450</v>
      </c>
      <c r="B7595">
        <v>5606931</v>
      </c>
      <c r="C7595" t="s">
        <v>10689</v>
      </c>
      <c r="D7595">
        <v>10</v>
      </c>
      <c r="E7595">
        <v>8</v>
      </c>
      <c r="F7595">
        <v>0</v>
      </c>
      <c r="G7595">
        <v>0</v>
      </c>
      <c r="H7595">
        <v>144</v>
      </c>
      <c r="I7595">
        <v>0</v>
      </c>
      <c r="J7595">
        <v>1.99</v>
      </c>
      <c r="K7595">
        <v>0</v>
      </c>
    </row>
    <row r="7596" spans="1:11" x14ac:dyDescent="0.2">
      <c r="A7596">
        <v>99993</v>
      </c>
      <c r="B7596">
        <v>5606932</v>
      </c>
      <c r="C7596" t="s">
        <v>10690</v>
      </c>
      <c r="D7596">
        <v>10</v>
      </c>
      <c r="E7596">
        <v>8</v>
      </c>
      <c r="F7596">
        <v>0</v>
      </c>
      <c r="G7596">
        <v>0</v>
      </c>
      <c r="H7596">
        <v>144</v>
      </c>
      <c r="I7596">
        <v>0</v>
      </c>
      <c r="J7596">
        <v>2.4900000000000002</v>
      </c>
      <c r="K7596">
        <v>0</v>
      </c>
    </row>
    <row r="7597" spans="1:11" x14ac:dyDescent="0.2">
      <c r="A7597">
        <v>99977</v>
      </c>
      <c r="B7597">
        <v>5606933</v>
      </c>
      <c r="C7597" t="s">
        <v>10691</v>
      </c>
      <c r="D7597">
        <v>10</v>
      </c>
      <c r="E7597">
        <v>8</v>
      </c>
      <c r="F7597">
        <v>0</v>
      </c>
      <c r="G7597">
        <v>0</v>
      </c>
      <c r="H7597">
        <v>144</v>
      </c>
      <c r="I7597">
        <v>0</v>
      </c>
      <c r="J7597">
        <v>1.99</v>
      </c>
      <c r="K7597">
        <v>0</v>
      </c>
    </row>
    <row r="7598" spans="1:11" x14ac:dyDescent="0.2">
      <c r="A7598">
        <v>99976</v>
      </c>
      <c r="B7598">
        <v>5606934</v>
      </c>
      <c r="C7598" t="s">
        <v>10692</v>
      </c>
      <c r="D7598">
        <v>10</v>
      </c>
      <c r="E7598">
        <v>8</v>
      </c>
      <c r="F7598">
        <v>0</v>
      </c>
      <c r="G7598">
        <v>0</v>
      </c>
      <c r="H7598">
        <v>144</v>
      </c>
      <c r="I7598">
        <v>0</v>
      </c>
      <c r="J7598">
        <v>1.99</v>
      </c>
      <c r="K7598">
        <v>0</v>
      </c>
    </row>
    <row r="7599" spans="1:11" x14ac:dyDescent="0.2">
      <c r="A7599">
        <v>99542</v>
      </c>
      <c r="B7599">
        <v>5606935</v>
      </c>
      <c r="C7599" t="s">
        <v>10693</v>
      </c>
      <c r="D7599">
        <v>6</v>
      </c>
      <c r="E7599">
        <v>8</v>
      </c>
      <c r="F7599">
        <v>0</v>
      </c>
      <c r="G7599">
        <v>0</v>
      </c>
      <c r="H7599">
        <v>144</v>
      </c>
      <c r="I7599">
        <v>0</v>
      </c>
      <c r="J7599">
        <v>1.99</v>
      </c>
      <c r="K7599">
        <v>0</v>
      </c>
    </row>
    <row r="7600" spans="1:11" x14ac:dyDescent="0.2">
      <c r="A7600">
        <v>99263</v>
      </c>
      <c r="B7600">
        <v>5606936</v>
      </c>
      <c r="C7600" t="s">
        <v>10694</v>
      </c>
      <c r="D7600">
        <v>10</v>
      </c>
      <c r="E7600">
        <v>8</v>
      </c>
      <c r="F7600">
        <v>0</v>
      </c>
      <c r="G7600">
        <v>0</v>
      </c>
      <c r="H7600">
        <v>144</v>
      </c>
      <c r="I7600">
        <v>0</v>
      </c>
      <c r="J7600">
        <v>2.4900000000000002</v>
      </c>
      <c r="K7600">
        <v>0</v>
      </c>
    </row>
    <row r="7601" spans="1:12" x14ac:dyDescent="0.2">
      <c r="A7601">
        <v>99975</v>
      </c>
      <c r="B7601">
        <v>5606937</v>
      </c>
      <c r="C7601" t="s">
        <v>10695</v>
      </c>
      <c r="D7601">
        <v>10</v>
      </c>
      <c r="E7601">
        <v>8</v>
      </c>
      <c r="F7601">
        <v>0</v>
      </c>
      <c r="G7601">
        <v>0</v>
      </c>
      <c r="H7601">
        <v>144</v>
      </c>
      <c r="I7601">
        <v>0</v>
      </c>
      <c r="J7601">
        <v>1.99</v>
      </c>
      <c r="K7601">
        <v>0</v>
      </c>
    </row>
    <row r="7602" spans="1:12" x14ac:dyDescent="0.2">
      <c r="A7602">
        <v>99543</v>
      </c>
      <c r="B7602">
        <v>5606938</v>
      </c>
      <c r="C7602" t="s">
        <v>10696</v>
      </c>
      <c r="D7602">
        <v>10</v>
      </c>
      <c r="E7602">
        <v>8</v>
      </c>
      <c r="F7602">
        <v>0</v>
      </c>
      <c r="G7602">
        <v>0</v>
      </c>
      <c r="H7602">
        <v>144</v>
      </c>
      <c r="I7602">
        <v>0</v>
      </c>
      <c r="J7602">
        <v>2.4900000000000002</v>
      </c>
      <c r="K7602">
        <v>0</v>
      </c>
    </row>
    <row r="7603" spans="1:12" x14ac:dyDescent="0.2">
      <c r="B7603">
        <v>5606939</v>
      </c>
      <c r="C7603" t="s">
        <v>10697</v>
      </c>
      <c r="D7603">
        <v>12</v>
      </c>
      <c r="E7603">
        <v>6</v>
      </c>
      <c r="F7603">
        <v>0</v>
      </c>
      <c r="G7603">
        <v>0</v>
      </c>
      <c r="H7603">
        <v>120</v>
      </c>
      <c r="I7603">
        <v>0</v>
      </c>
      <c r="J7603">
        <v>2</v>
      </c>
      <c r="K7603">
        <v>0</v>
      </c>
      <c r="L7603" t="s">
        <v>3699</v>
      </c>
    </row>
    <row r="7604" spans="1:12" x14ac:dyDescent="0.2">
      <c r="B7604">
        <v>5606941</v>
      </c>
      <c r="C7604" t="s">
        <v>10698</v>
      </c>
      <c r="D7604">
        <v>11</v>
      </c>
      <c r="E7604">
        <v>6</v>
      </c>
      <c r="F7604">
        <v>0</v>
      </c>
      <c r="G7604">
        <v>0</v>
      </c>
      <c r="H7604">
        <v>120</v>
      </c>
      <c r="I7604">
        <v>0</v>
      </c>
      <c r="J7604">
        <v>2.99</v>
      </c>
      <c r="K7604">
        <v>0</v>
      </c>
    </row>
    <row r="7605" spans="1:12" x14ac:dyDescent="0.2">
      <c r="B7605">
        <v>5606943</v>
      </c>
      <c r="C7605" t="s">
        <v>10699</v>
      </c>
      <c r="D7605">
        <v>12</v>
      </c>
      <c r="E7605">
        <v>6</v>
      </c>
      <c r="F7605">
        <v>0</v>
      </c>
      <c r="G7605">
        <v>0</v>
      </c>
      <c r="H7605">
        <v>120</v>
      </c>
      <c r="I7605">
        <v>0</v>
      </c>
      <c r="J7605">
        <v>2</v>
      </c>
      <c r="K7605">
        <v>0</v>
      </c>
      <c r="L7605" t="s">
        <v>3699</v>
      </c>
    </row>
    <row r="7606" spans="1:12" x14ac:dyDescent="0.2">
      <c r="B7606">
        <v>5606957</v>
      </c>
      <c r="C7606" t="s">
        <v>10700</v>
      </c>
      <c r="D7606">
        <v>12</v>
      </c>
      <c r="E7606">
        <v>6</v>
      </c>
      <c r="F7606">
        <v>0</v>
      </c>
      <c r="G7606">
        <v>0</v>
      </c>
      <c r="H7606">
        <v>100</v>
      </c>
      <c r="I7606">
        <v>0</v>
      </c>
      <c r="J7606">
        <v>2</v>
      </c>
      <c r="K7606">
        <v>0</v>
      </c>
      <c r="L7606" t="s">
        <v>3699</v>
      </c>
    </row>
    <row r="7607" spans="1:12" x14ac:dyDescent="0.2">
      <c r="A7607">
        <v>51606</v>
      </c>
      <c r="B7607">
        <v>5606960</v>
      </c>
      <c r="C7607" t="s">
        <v>10701</v>
      </c>
      <c r="D7607">
        <v>10</v>
      </c>
      <c r="E7607">
        <v>20</v>
      </c>
      <c r="F7607">
        <v>0</v>
      </c>
      <c r="G7607">
        <v>0</v>
      </c>
      <c r="H7607">
        <v>90</v>
      </c>
      <c r="I7607">
        <v>0</v>
      </c>
      <c r="J7607">
        <v>2.39</v>
      </c>
      <c r="K7607">
        <v>0</v>
      </c>
    </row>
    <row r="7608" spans="1:12" x14ac:dyDescent="0.2">
      <c r="B7608">
        <v>5606961</v>
      </c>
      <c r="C7608" t="s">
        <v>10702</v>
      </c>
      <c r="D7608">
        <v>11</v>
      </c>
      <c r="E7608">
        <v>1</v>
      </c>
      <c r="F7608">
        <v>0</v>
      </c>
      <c r="G7608">
        <v>0</v>
      </c>
      <c r="H7608">
        <v>480</v>
      </c>
      <c r="I7608">
        <v>0</v>
      </c>
      <c r="J7608">
        <v>4.49</v>
      </c>
      <c r="K7608">
        <v>0</v>
      </c>
    </row>
    <row r="7609" spans="1:12" x14ac:dyDescent="0.2">
      <c r="B7609">
        <v>5606962</v>
      </c>
      <c r="C7609" t="s">
        <v>10703</v>
      </c>
      <c r="D7609">
        <v>11</v>
      </c>
      <c r="E7609">
        <v>1</v>
      </c>
      <c r="F7609">
        <v>0</v>
      </c>
      <c r="G7609">
        <v>0</v>
      </c>
      <c r="H7609">
        <v>480</v>
      </c>
      <c r="I7609">
        <v>0</v>
      </c>
      <c r="J7609">
        <v>6.99</v>
      </c>
      <c r="K7609">
        <v>0</v>
      </c>
    </row>
    <row r="7610" spans="1:12" x14ac:dyDescent="0.2">
      <c r="B7610">
        <v>5606963</v>
      </c>
      <c r="C7610" t="s">
        <v>10704</v>
      </c>
      <c r="D7610">
        <v>11</v>
      </c>
      <c r="E7610">
        <v>1</v>
      </c>
      <c r="F7610">
        <v>0</v>
      </c>
      <c r="G7610">
        <v>0</v>
      </c>
      <c r="H7610">
        <v>480</v>
      </c>
      <c r="I7610">
        <v>0</v>
      </c>
      <c r="J7610">
        <v>5.49</v>
      </c>
      <c r="K7610">
        <v>0</v>
      </c>
    </row>
    <row r="7611" spans="1:12" x14ac:dyDescent="0.2">
      <c r="B7611">
        <v>5606964</v>
      </c>
      <c r="C7611" t="s">
        <v>10705</v>
      </c>
      <c r="D7611">
        <v>11</v>
      </c>
      <c r="E7611">
        <v>1</v>
      </c>
      <c r="F7611">
        <v>0</v>
      </c>
      <c r="G7611">
        <v>0</v>
      </c>
      <c r="H7611">
        <v>30</v>
      </c>
      <c r="I7611">
        <v>0</v>
      </c>
      <c r="J7611">
        <v>3.05</v>
      </c>
      <c r="K7611">
        <v>0</v>
      </c>
    </row>
    <row r="7612" spans="1:12" x14ac:dyDescent="0.2">
      <c r="B7612">
        <v>5606965</v>
      </c>
      <c r="C7612" t="s">
        <v>10706</v>
      </c>
      <c r="D7612">
        <v>11</v>
      </c>
      <c r="E7612">
        <v>6</v>
      </c>
      <c r="F7612">
        <v>1</v>
      </c>
      <c r="G7612">
        <v>6</v>
      </c>
      <c r="H7612">
        <v>120</v>
      </c>
      <c r="I7612">
        <v>0</v>
      </c>
      <c r="J7612">
        <v>2.99</v>
      </c>
      <c r="K7612">
        <v>17.940000000000001</v>
      </c>
    </row>
    <row r="7613" spans="1:12" x14ac:dyDescent="0.2">
      <c r="B7613">
        <v>5606969</v>
      </c>
      <c r="C7613" t="s">
        <v>10707</v>
      </c>
      <c r="D7613">
        <v>11</v>
      </c>
      <c r="E7613">
        <v>1</v>
      </c>
      <c r="F7613">
        <v>0</v>
      </c>
      <c r="G7613">
        <v>0</v>
      </c>
      <c r="H7613">
        <v>384</v>
      </c>
      <c r="I7613">
        <v>0</v>
      </c>
      <c r="J7613">
        <v>7.29</v>
      </c>
      <c r="K7613">
        <v>0</v>
      </c>
    </row>
    <row r="7614" spans="1:12" x14ac:dyDescent="0.2">
      <c r="B7614">
        <v>5606971</v>
      </c>
      <c r="C7614" t="s">
        <v>10708</v>
      </c>
      <c r="D7614">
        <v>10</v>
      </c>
      <c r="E7614">
        <v>6</v>
      </c>
      <c r="F7614">
        <v>0</v>
      </c>
      <c r="G7614">
        <v>0</v>
      </c>
      <c r="H7614">
        <v>100</v>
      </c>
      <c r="I7614">
        <v>0</v>
      </c>
      <c r="J7614">
        <v>6.49</v>
      </c>
      <c r="K7614">
        <v>0</v>
      </c>
    </row>
    <row r="7615" spans="1:12" x14ac:dyDescent="0.2">
      <c r="B7615">
        <v>5606976</v>
      </c>
      <c r="C7615" t="s">
        <v>10709</v>
      </c>
      <c r="D7615">
        <v>10</v>
      </c>
      <c r="E7615">
        <v>6</v>
      </c>
      <c r="F7615">
        <v>0</v>
      </c>
      <c r="G7615">
        <v>0</v>
      </c>
      <c r="H7615">
        <v>120</v>
      </c>
      <c r="I7615">
        <v>0</v>
      </c>
      <c r="J7615">
        <v>2.29</v>
      </c>
      <c r="K7615">
        <v>0</v>
      </c>
    </row>
    <row r="7616" spans="1:12" x14ac:dyDescent="0.2">
      <c r="B7616">
        <v>5606977</v>
      </c>
      <c r="C7616" t="s">
        <v>10710</v>
      </c>
      <c r="D7616">
        <v>10</v>
      </c>
      <c r="E7616">
        <v>6</v>
      </c>
      <c r="F7616">
        <v>0</v>
      </c>
      <c r="G7616">
        <v>0</v>
      </c>
      <c r="H7616">
        <v>100</v>
      </c>
      <c r="I7616">
        <v>0</v>
      </c>
      <c r="J7616">
        <v>5.99</v>
      </c>
      <c r="K7616">
        <v>0</v>
      </c>
    </row>
    <row r="7617" spans="1:11" x14ac:dyDescent="0.2">
      <c r="B7617">
        <v>5606981</v>
      </c>
      <c r="C7617" t="s">
        <v>10711</v>
      </c>
      <c r="D7617">
        <v>10</v>
      </c>
      <c r="E7617">
        <v>6</v>
      </c>
      <c r="F7617">
        <v>0</v>
      </c>
      <c r="G7617">
        <v>0</v>
      </c>
      <c r="H7617">
        <v>100</v>
      </c>
      <c r="I7617">
        <v>0</v>
      </c>
      <c r="J7617">
        <v>4.29</v>
      </c>
      <c r="K7617">
        <v>0</v>
      </c>
    </row>
    <row r="7618" spans="1:11" x14ac:dyDescent="0.2">
      <c r="B7618">
        <v>5606994</v>
      </c>
      <c r="C7618" t="s">
        <v>10712</v>
      </c>
      <c r="D7618">
        <v>11</v>
      </c>
      <c r="E7618">
        <v>1</v>
      </c>
      <c r="F7618">
        <v>0</v>
      </c>
      <c r="G7618">
        <v>0</v>
      </c>
      <c r="H7618">
        <v>640</v>
      </c>
      <c r="I7618">
        <v>0</v>
      </c>
      <c r="J7618">
        <v>2.99</v>
      </c>
      <c r="K7618">
        <v>0</v>
      </c>
    </row>
    <row r="7619" spans="1:11" x14ac:dyDescent="0.2">
      <c r="B7619">
        <v>5606995</v>
      </c>
      <c r="C7619" t="s">
        <v>10713</v>
      </c>
      <c r="D7619">
        <v>11</v>
      </c>
      <c r="E7619">
        <v>1</v>
      </c>
      <c r="F7619">
        <v>0</v>
      </c>
      <c r="G7619">
        <v>0</v>
      </c>
      <c r="H7619">
        <v>320</v>
      </c>
      <c r="I7619">
        <v>0</v>
      </c>
      <c r="J7619">
        <v>5.49</v>
      </c>
      <c r="K7619">
        <v>0</v>
      </c>
    </row>
    <row r="7620" spans="1:11" x14ac:dyDescent="0.2">
      <c r="A7620">
        <v>99651</v>
      </c>
      <c r="B7620">
        <v>5606999</v>
      </c>
      <c r="C7620" t="s">
        <v>10714</v>
      </c>
      <c r="D7620">
        <v>10</v>
      </c>
      <c r="E7620">
        <v>9</v>
      </c>
      <c r="F7620">
        <v>0</v>
      </c>
      <c r="G7620">
        <v>0</v>
      </c>
      <c r="H7620">
        <v>144</v>
      </c>
      <c r="I7620">
        <v>0</v>
      </c>
      <c r="J7620">
        <v>2.29</v>
      </c>
      <c r="K7620">
        <v>0</v>
      </c>
    </row>
    <row r="7621" spans="1:11" x14ac:dyDescent="0.2">
      <c r="A7621">
        <v>29530</v>
      </c>
      <c r="B7621">
        <v>5607002</v>
      </c>
      <c r="C7621" t="s">
        <v>10715</v>
      </c>
      <c r="D7621">
        <v>10</v>
      </c>
      <c r="E7621">
        <v>6</v>
      </c>
      <c r="F7621">
        <v>0</v>
      </c>
      <c r="G7621">
        <v>0</v>
      </c>
      <c r="H7621">
        <v>120</v>
      </c>
      <c r="I7621">
        <v>0</v>
      </c>
      <c r="J7621">
        <v>1.99</v>
      </c>
      <c r="K7621">
        <v>0</v>
      </c>
    </row>
    <row r="7622" spans="1:11" x14ac:dyDescent="0.2">
      <c r="A7622">
        <v>29531</v>
      </c>
      <c r="B7622">
        <v>5607003</v>
      </c>
      <c r="C7622" t="s">
        <v>10716</v>
      </c>
      <c r="D7622">
        <v>10</v>
      </c>
      <c r="E7622">
        <v>6</v>
      </c>
      <c r="F7622">
        <v>0</v>
      </c>
      <c r="G7622">
        <v>0</v>
      </c>
      <c r="H7622">
        <v>105</v>
      </c>
      <c r="I7622">
        <v>0</v>
      </c>
      <c r="J7622">
        <v>1.69</v>
      </c>
      <c r="K7622">
        <v>0</v>
      </c>
    </row>
    <row r="7623" spans="1:11" x14ac:dyDescent="0.2">
      <c r="A7623">
        <v>30518</v>
      </c>
      <c r="B7623">
        <v>5607004</v>
      </c>
      <c r="C7623" t="s">
        <v>5387</v>
      </c>
      <c r="D7623">
        <v>10</v>
      </c>
      <c r="E7623">
        <v>6</v>
      </c>
      <c r="F7623">
        <v>0</v>
      </c>
      <c r="G7623">
        <v>0</v>
      </c>
      <c r="H7623">
        <v>120</v>
      </c>
      <c r="I7623">
        <v>0</v>
      </c>
      <c r="J7623">
        <v>1.99</v>
      </c>
      <c r="K7623">
        <v>0</v>
      </c>
    </row>
    <row r="7624" spans="1:11" x14ac:dyDescent="0.2">
      <c r="A7624">
        <v>29532</v>
      </c>
      <c r="B7624">
        <v>5607005</v>
      </c>
      <c r="C7624" t="s">
        <v>10667</v>
      </c>
      <c r="D7624">
        <v>10</v>
      </c>
      <c r="E7624">
        <v>6</v>
      </c>
      <c r="F7624">
        <v>0</v>
      </c>
      <c r="G7624">
        <v>0</v>
      </c>
      <c r="H7624">
        <v>120</v>
      </c>
      <c r="I7624">
        <v>0</v>
      </c>
      <c r="J7624">
        <v>1.69</v>
      </c>
      <c r="K7624">
        <v>0</v>
      </c>
    </row>
    <row r="7625" spans="1:11" x14ac:dyDescent="0.2">
      <c r="A7625">
        <v>30519</v>
      </c>
      <c r="B7625">
        <v>5607006</v>
      </c>
      <c r="C7625" t="s">
        <v>10717</v>
      </c>
      <c r="D7625">
        <v>10</v>
      </c>
      <c r="E7625">
        <v>6</v>
      </c>
      <c r="F7625">
        <v>0</v>
      </c>
      <c r="G7625">
        <v>0</v>
      </c>
      <c r="H7625">
        <v>120</v>
      </c>
      <c r="I7625">
        <v>0</v>
      </c>
      <c r="J7625">
        <v>1.99</v>
      </c>
      <c r="K7625">
        <v>0</v>
      </c>
    </row>
    <row r="7626" spans="1:11" x14ac:dyDescent="0.2">
      <c r="A7626">
        <v>57265</v>
      </c>
      <c r="B7626">
        <v>5607008</v>
      </c>
      <c r="C7626" t="s">
        <v>10718</v>
      </c>
      <c r="D7626">
        <v>10</v>
      </c>
      <c r="E7626">
        <v>6</v>
      </c>
      <c r="F7626">
        <v>0</v>
      </c>
      <c r="G7626">
        <v>0</v>
      </c>
      <c r="H7626">
        <v>84</v>
      </c>
      <c r="I7626">
        <v>0</v>
      </c>
      <c r="J7626">
        <v>1.59</v>
      </c>
      <c r="K7626">
        <v>0</v>
      </c>
    </row>
    <row r="7627" spans="1:11" x14ac:dyDescent="0.2">
      <c r="A7627">
        <v>57241</v>
      </c>
      <c r="B7627">
        <v>5607009</v>
      </c>
      <c r="C7627" t="s">
        <v>10719</v>
      </c>
      <c r="D7627">
        <v>10</v>
      </c>
      <c r="E7627">
        <v>6</v>
      </c>
      <c r="F7627">
        <v>0</v>
      </c>
      <c r="G7627">
        <v>0</v>
      </c>
      <c r="H7627">
        <v>84</v>
      </c>
      <c r="I7627">
        <v>0</v>
      </c>
      <c r="J7627">
        <v>1.59</v>
      </c>
      <c r="K7627">
        <v>0</v>
      </c>
    </row>
    <row r="7628" spans="1:11" x14ac:dyDescent="0.2">
      <c r="A7628">
        <v>57456</v>
      </c>
      <c r="B7628">
        <v>5607010</v>
      </c>
      <c r="C7628" t="s">
        <v>10720</v>
      </c>
      <c r="D7628">
        <v>10</v>
      </c>
      <c r="E7628">
        <v>6</v>
      </c>
      <c r="F7628">
        <v>0</v>
      </c>
      <c r="G7628">
        <v>0</v>
      </c>
      <c r="H7628">
        <v>84</v>
      </c>
      <c r="I7628">
        <v>0</v>
      </c>
      <c r="J7628">
        <v>0.99</v>
      </c>
      <c r="K7628">
        <v>0</v>
      </c>
    </row>
    <row r="7629" spans="1:11" x14ac:dyDescent="0.2">
      <c r="A7629">
        <v>39613</v>
      </c>
      <c r="B7629">
        <v>5607011</v>
      </c>
      <c r="C7629" t="s">
        <v>10721</v>
      </c>
      <c r="D7629">
        <v>10</v>
      </c>
      <c r="E7629">
        <v>6</v>
      </c>
      <c r="F7629">
        <v>-1</v>
      </c>
      <c r="G7629">
        <v>-6</v>
      </c>
      <c r="H7629">
        <v>171</v>
      </c>
      <c r="I7629">
        <v>0</v>
      </c>
      <c r="J7629">
        <v>2.19</v>
      </c>
      <c r="K7629">
        <v>-13.14</v>
      </c>
    </row>
    <row r="7630" spans="1:11" x14ac:dyDescent="0.2">
      <c r="A7630">
        <v>73019</v>
      </c>
      <c r="B7630">
        <v>5607012</v>
      </c>
      <c r="C7630" t="s">
        <v>10722</v>
      </c>
      <c r="D7630">
        <v>8</v>
      </c>
      <c r="E7630">
        <v>6</v>
      </c>
      <c r="F7630">
        <v>535</v>
      </c>
      <c r="G7630">
        <v>3210</v>
      </c>
      <c r="H7630">
        <v>171</v>
      </c>
      <c r="I7630">
        <v>3.1</v>
      </c>
      <c r="J7630">
        <v>2.19</v>
      </c>
      <c r="K7630">
        <v>7029.9</v>
      </c>
    </row>
    <row r="7631" spans="1:11" x14ac:dyDescent="0.2">
      <c r="A7631">
        <v>57266</v>
      </c>
      <c r="B7631">
        <v>5607013</v>
      </c>
      <c r="C7631" t="s">
        <v>10723</v>
      </c>
      <c r="D7631">
        <v>10</v>
      </c>
      <c r="E7631">
        <v>6</v>
      </c>
      <c r="F7631">
        <v>0</v>
      </c>
      <c r="G7631">
        <v>0</v>
      </c>
      <c r="H7631">
        <v>84</v>
      </c>
      <c r="I7631">
        <v>0</v>
      </c>
      <c r="J7631">
        <v>1.59</v>
      </c>
      <c r="K7631">
        <v>0</v>
      </c>
    </row>
    <row r="7632" spans="1:11" x14ac:dyDescent="0.2">
      <c r="A7632">
        <v>86078</v>
      </c>
      <c r="B7632">
        <v>5607015</v>
      </c>
      <c r="C7632" t="s">
        <v>10724</v>
      </c>
      <c r="D7632">
        <v>9</v>
      </c>
      <c r="E7632">
        <v>9</v>
      </c>
      <c r="F7632">
        <v>0</v>
      </c>
      <c r="G7632">
        <v>0</v>
      </c>
      <c r="H7632">
        <v>110</v>
      </c>
      <c r="I7632">
        <v>0</v>
      </c>
      <c r="J7632">
        <v>2.4900000000000002</v>
      </c>
      <c r="K7632">
        <v>0</v>
      </c>
    </row>
    <row r="7633" spans="1:12" x14ac:dyDescent="0.2">
      <c r="B7633">
        <v>5607020</v>
      </c>
      <c r="C7633" t="s">
        <v>10725</v>
      </c>
      <c r="D7633">
        <v>12</v>
      </c>
      <c r="E7633">
        <v>6</v>
      </c>
      <c r="F7633">
        <v>0</v>
      </c>
      <c r="G7633">
        <v>0</v>
      </c>
      <c r="H7633">
        <v>100</v>
      </c>
      <c r="I7633">
        <v>0</v>
      </c>
      <c r="J7633">
        <v>4</v>
      </c>
      <c r="K7633">
        <v>0</v>
      </c>
      <c r="L7633" t="s">
        <v>3699</v>
      </c>
    </row>
    <row r="7634" spans="1:12" x14ac:dyDescent="0.2">
      <c r="B7634">
        <v>5607022</v>
      </c>
      <c r="C7634" t="s">
        <v>10726</v>
      </c>
      <c r="D7634">
        <v>11</v>
      </c>
      <c r="E7634">
        <v>6</v>
      </c>
      <c r="F7634">
        <v>0</v>
      </c>
      <c r="G7634">
        <v>0</v>
      </c>
      <c r="H7634">
        <v>100</v>
      </c>
      <c r="I7634">
        <v>0</v>
      </c>
      <c r="J7634">
        <v>3.99</v>
      </c>
      <c r="K7634">
        <v>0</v>
      </c>
    </row>
    <row r="7635" spans="1:12" x14ac:dyDescent="0.2">
      <c r="B7635">
        <v>5607023</v>
      </c>
      <c r="C7635" t="s">
        <v>10727</v>
      </c>
      <c r="D7635">
        <v>10</v>
      </c>
      <c r="E7635">
        <v>6</v>
      </c>
      <c r="F7635">
        <v>0</v>
      </c>
      <c r="G7635">
        <v>0</v>
      </c>
      <c r="H7635">
        <v>100</v>
      </c>
      <c r="I7635">
        <v>0</v>
      </c>
      <c r="J7635">
        <v>3.95</v>
      </c>
      <c r="K7635">
        <v>0</v>
      </c>
    </row>
    <row r="7636" spans="1:12" x14ac:dyDescent="0.2">
      <c r="B7636">
        <v>5607024</v>
      </c>
      <c r="C7636" t="s">
        <v>10728</v>
      </c>
      <c r="D7636">
        <v>11</v>
      </c>
      <c r="E7636">
        <v>6</v>
      </c>
      <c r="F7636">
        <v>4</v>
      </c>
      <c r="G7636">
        <v>24</v>
      </c>
      <c r="H7636">
        <v>100</v>
      </c>
      <c r="I7636">
        <v>0</v>
      </c>
      <c r="J7636">
        <v>5.49</v>
      </c>
      <c r="K7636">
        <v>131.76</v>
      </c>
    </row>
    <row r="7637" spans="1:12" x14ac:dyDescent="0.2">
      <c r="B7637">
        <v>5607027</v>
      </c>
      <c r="C7637" t="s">
        <v>10729</v>
      </c>
      <c r="D7637">
        <v>11</v>
      </c>
      <c r="E7637">
        <v>6</v>
      </c>
      <c r="F7637">
        <v>0</v>
      </c>
      <c r="G7637">
        <v>0</v>
      </c>
      <c r="H7637">
        <v>100</v>
      </c>
      <c r="I7637">
        <v>0</v>
      </c>
      <c r="J7637">
        <v>3.79</v>
      </c>
      <c r="K7637">
        <v>0</v>
      </c>
    </row>
    <row r="7638" spans="1:12" x14ac:dyDescent="0.2">
      <c r="B7638">
        <v>5607032</v>
      </c>
      <c r="C7638" t="s">
        <v>10730</v>
      </c>
      <c r="D7638">
        <v>11</v>
      </c>
      <c r="E7638">
        <v>6</v>
      </c>
      <c r="F7638">
        <v>2</v>
      </c>
      <c r="G7638">
        <v>12</v>
      </c>
      <c r="H7638">
        <v>105</v>
      </c>
      <c r="I7638">
        <v>0</v>
      </c>
      <c r="J7638">
        <v>9.49</v>
      </c>
      <c r="K7638">
        <v>113.88</v>
      </c>
    </row>
    <row r="7639" spans="1:12" x14ac:dyDescent="0.2">
      <c r="B7639">
        <v>5607034</v>
      </c>
      <c r="C7639" t="s">
        <v>10731</v>
      </c>
      <c r="D7639">
        <v>10</v>
      </c>
      <c r="E7639">
        <v>6</v>
      </c>
      <c r="F7639">
        <v>0</v>
      </c>
      <c r="G7639">
        <v>0</v>
      </c>
      <c r="H7639">
        <v>120</v>
      </c>
      <c r="I7639">
        <v>0</v>
      </c>
      <c r="J7639">
        <v>2.68</v>
      </c>
      <c r="K7639">
        <v>0</v>
      </c>
    </row>
    <row r="7640" spans="1:12" x14ac:dyDescent="0.2">
      <c r="B7640">
        <v>5607035</v>
      </c>
      <c r="C7640" t="s">
        <v>10732</v>
      </c>
      <c r="D7640">
        <v>11</v>
      </c>
      <c r="E7640">
        <v>6</v>
      </c>
      <c r="F7640">
        <v>-2</v>
      </c>
      <c r="G7640">
        <v>-12</v>
      </c>
      <c r="H7640">
        <v>105</v>
      </c>
      <c r="I7640">
        <v>0</v>
      </c>
      <c r="J7640">
        <v>3.99</v>
      </c>
      <c r="K7640">
        <v>-47.88</v>
      </c>
    </row>
    <row r="7641" spans="1:12" x14ac:dyDescent="0.2">
      <c r="B7641">
        <v>5607037</v>
      </c>
      <c r="C7641" t="s">
        <v>10733</v>
      </c>
      <c r="D7641">
        <v>10</v>
      </c>
      <c r="E7641">
        <v>6</v>
      </c>
      <c r="F7641">
        <v>0</v>
      </c>
      <c r="G7641">
        <v>0</v>
      </c>
      <c r="H7641">
        <v>105</v>
      </c>
      <c r="I7641">
        <v>0</v>
      </c>
      <c r="J7641">
        <v>3.29</v>
      </c>
      <c r="K7641">
        <v>0</v>
      </c>
    </row>
    <row r="7642" spans="1:12" x14ac:dyDescent="0.2">
      <c r="A7642">
        <v>47696</v>
      </c>
      <c r="B7642">
        <v>5607039</v>
      </c>
      <c r="C7642" t="s">
        <v>10734</v>
      </c>
      <c r="D7642">
        <v>10</v>
      </c>
      <c r="E7642">
        <v>6</v>
      </c>
      <c r="F7642">
        <v>-44</v>
      </c>
      <c r="G7642">
        <v>-265</v>
      </c>
      <c r="H7642">
        <v>120</v>
      </c>
      <c r="I7642">
        <v>-0.4</v>
      </c>
      <c r="J7642">
        <v>1.99</v>
      </c>
      <c r="K7642">
        <v>-527.35</v>
      </c>
    </row>
    <row r="7643" spans="1:12" x14ac:dyDescent="0.2">
      <c r="A7643">
        <v>57651</v>
      </c>
      <c r="B7643">
        <v>5607040</v>
      </c>
      <c r="C7643" t="s">
        <v>10735</v>
      </c>
      <c r="D7643">
        <v>10</v>
      </c>
      <c r="E7643">
        <v>6</v>
      </c>
      <c r="F7643">
        <v>24</v>
      </c>
      <c r="G7643">
        <v>146</v>
      </c>
      <c r="H7643">
        <v>84</v>
      </c>
      <c r="I7643">
        <v>0.3</v>
      </c>
      <c r="J7643">
        <v>1.29</v>
      </c>
      <c r="K7643">
        <v>188.34</v>
      </c>
    </row>
    <row r="7644" spans="1:12" x14ac:dyDescent="0.2">
      <c r="B7644">
        <v>5607041</v>
      </c>
      <c r="C7644" t="s">
        <v>10736</v>
      </c>
      <c r="D7644">
        <v>10</v>
      </c>
      <c r="E7644">
        <v>6</v>
      </c>
      <c r="F7644">
        <v>0</v>
      </c>
      <c r="G7644">
        <v>0</v>
      </c>
      <c r="H7644">
        <v>105</v>
      </c>
      <c r="I7644">
        <v>0</v>
      </c>
      <c r="J7644">
        <v>3.73</v>
      </c>
      <c r="K7644">
        <v>0</v>
      </c>
    </row>
    <row r="7645" spans="1:12" x14ac:dyDescent="0.2">
      <c r="B7645">
        <v>5607042</v>
      </c>
      <c r="C7645" t="s">
        <v>10737</v>
      </c>
      <c r="D7645">
        <v>11</v>
      </c>
      <c r="E7645">
        <v>6</v>
      </c>
      <c r="F7645">
        <v>2</v>
      </c>
      <c r="G7645">
        <v>12</v>
      </c>
      <c r="H7645">
        <v>105</v>
      </c>
      <c r="I7645">
        <v>0</v>
      </c>
      <c r="J7645">
        <v>3.99</v>
      </c>
      <c r="K7645">
        <v>47.88</v>
      </c>
    </row>
    <row r="7646" spans="1:12" x14ac:dyDescent="0.2">
      <c r="B7646">
        <v>5607044</v>
      </c>
      <c r="C7646" t="s">
        <v>10738</v>
      </c>
      <c r="D7646">
        <v>10</v>
      </c>
      <c r="E7646">
        <v>6</v>
      </c>
      <c r="F7646">
        <v>0</v>
      </c>
      <c r="G7646">
        <v>0</v>
      </c>
      <c r="H7646">
        <v>105</v>
      </c>
      <c r="I7646">
        <v>0</v>
      </c>
      <c r="J7646">
        <v>2.99</v>
      </c>
      <c r="K7646">
        <v>0</v>
      </c>
    </row>
    <row r="7647" spans="1:12" x14ac:dyDescent="0.2">
      <c r="A7647">
        <v>36620</v>
      </c>
      <c r="B7647">
        <v>5607045</v>
      </c>
      <c r="C7647" t="s">
        <v>10739</v>
      </c>
      <c r="D7647">
        <v>10</v>
      </c>
      <c r="E7647">
        <v>6</v>
      </c>
      <c r="F7647">
        <v>-64</v>
      </c>
      <c r="G7647">
        <v>-381</v>
      </c>
      <c r="H7647">
        <v>120</v>
      </c>
      <c r="I7647">
        <v>-0.5</v>
      </c>
      <c r="J7647">
        <v>3.18</v>
      </c>
      <c r="K7647">
        <v>-1211.58</v>
      </c>
    </row>
    <row r="7648" spans="1:12" x14ac:dyDescent="0.2">
      <c r="B7648">
        <v>5607047</v>
      </c>
      <c r="C7648" t="s">
        <v>10740</v>
      </c>
      <c r="D7648">
        <v>10</v>
      </c>
      <c r="E7648">
        <v>6</v>
      </c>
      <c r="F7648">
        <v>0</v>
      </c>
      <c r="G7648">
        <v>0</v>
      </c>
      <c r="H7648">
        <v>120</v>
      </c>
      <c r="I7648">
        <v>0</v>
      </c>
      <c r="J7648">
        <v>2.29</v>
      </c>
      <c r="K7648">
        <v>0</v>
      </c>
    </row>
    <row r="7649" spans="1:11" x14ac:dyDescent="0.2">
      <c r="B7649">
        <v>5607048</v>
      </c>
      <c r="C7649" t="s">
        <v>10741</v>
      </c>
      <c r="D7649">
        <v>10</v>
      </c>
      <c r="E7649">
        <v>6</v>
      </c>
      <c r="F7649">
        <v>46</v>
      </c>
      <c r="G7649">
        <v>274</v>
      </c>
      <c r="H7649">
        <v>120</v>
      </c>
      <c r="I7649">
        <v>0.4</v>
      </c>
      <c r="J7649">
        <v>2.98</v>
      </c>
      <c r="K7649">
        <v>816.52</v>
      </c>
    </row>
    <row r="7650" spans="1:11" x14ac:dyDescent="0.2">
      <c r="B7650">
        <v>5607049</v>
      </c>
      <c r="C7650" t="s">
        <v>10742</v>
      </c>
      <c r="D7650">
        <v>11</v>
      </c>
      <c r="E7650">
        <v>6</v>
      </c>
      <c r="F7650">
        <v>1</v>
      </c>
      <c r="G7650">
        <v>6</v>
      </c>
      <c r="H7650">
        <v>105</v>
      </c>
      <c r="I7650">
        <v>0</v>
      </c>
      <c r="J7650">
        <v>3.99</v>
      </c>
      <c r="K7650">
        <v>23.94</v>
      </c>
    </row>
    <row r="7651" spans="1:11" x14ac:dyDescent="0.2">
      <c r="A7651">
        <v>61050</v>
      </c>
      <c r="B7651">
        <v>5607050</v>
      </c>
      <c r="C7651" t="s">
        <v>10743</v>
      </c>
      <c r="D7651">
        <v>8</v>
      </c>
      <c r="E7651">
        <v>6</v>
      </c>
      <c r="F7651">
        <v>386</v>
      </c>
      <c r="G7651">
        <v>2316</v>
      </c>
      <c r="H7651">
        <v>100</v>
      </c>
      <c r="I7651">
        <v>3.9</v>
      </c>
      <c r="J7651">
        <v>3.99</v>
      </c>
      <c r="K7651">
        <v>9240.84</v>
      </c>
    </row>
    <row r="7652" spans="1:11" x14ac:dyDescent="0.2">
      <c r="B7652">
        <v>5607055</v>
      </c>
      <c r="C7652" t="s">
        <v>10744</v>
      </c>
      <c r="D7652">
        <v>11</v>
      </c>
      <c r="E7652">
        <v>6</v>
      </c>
      <c r="F7652">
        <v>0</v>
      </c>
      <c r="G7652">
        <v>0</v>
      </c>
      <c r="H7652">
        <v>100</v>
      </c>
      <c r="I7652">
        <v>0</v>
      </c>
      <c r="J7652">
        <v>8.49</v>
      </c>
      <c r="K7652">
        <v>0</v>
      </c>
    </row>
    <row r="7653" spans="1:11" x14ac:dyDescent="0.2">
      <c r="B7653">
        <v>5607060</v>
      </c>
      <c r="C7653" t="s">
        <v>10745</v>
      </c>
      <c r="D7653">
        <v>11</v>
      </c>
      <c r="E7653">
        <v>6</v>
      </c>
      <c r="F7653">
        <v>0</v>
      </c>
      <c r="G7653">
        <v>0</v>
      </c>
      <c r="H7653">
        <v>100</v>
      </c>
      <c r="I7653">
        <v>0</v>
      </c>
      <c r="J7653">
        <v>6.99</v>
      </c>
      <c r="K7653">
        <v>0</v>
      </c>
    </row>
    <row r="7654" spans="1:11" x14ac:dyDescent="0.2">
      <c r="A7654">
        <v>61210</v>
      </c>
      <c r="B7654">
        <v>5607061</v>
      </c>
      <c r="C7654" t="s">
        <v>10746</v>
      </c>
      <c r="D7654">
        <v>7</v>
      </c>
      <c r="E7654">
        <v>6</v>
      </c>
      <c r="F7654">
        <v>8</v>
      </c>
      <c r="G7654">
        <v>48</v>
      </c>
      <c r="H7654">
        <v>100</v>
      </c>
      <c r="I7654">
        <v>0.1</v>
      </c>
      <c r="J7654">
        <v>4.29</v>
      </c>
      <c r="K7654">
        <v>205.92</v>
      </c>
    </row>
    <row r="7655" spans="1:11" x14ac:dyDescent="0.2">
      <c r="A7655">
        <v>61102</v>
      </c>
      <c r="B7655">
        <v>5607062</v>
      </c>
      <c r="C7655" t="s">
        <v>10747</v>
      </c>
      <c r="D7655">
        <v>8</v>
      </c>
      <c r="E7655">
        <v>6</v>
      </c>
      <c r="F7655">
        <v>245</v>
      </c>
      <c r="G7655">
        <v>1470</v>
      </c>
      <c r="H7655">
        <v>100</v>
      </c>
      <c r="I7655">
        <v>2.5</v>
      </c>
      <c r="J7655">
        <v>4.6500000000000004</v>
      </c>
      <c r="K7655">
        <v>6835.5</v>
      </c>
    </row>
    <row r="7656" spans="1:11" x14ac:dyDescent="0.2">
      <c r="B7656">
        <v>5607064</v>
      </c>
      <c r="C7656" t="s">
        <v>10748</v>
      </c>
      <c r="D7656">
        <v>11</v>
      </c>
      <c r="E7656">
        <v>6</v>
      </c>
      <c r="F7656">
        <v>-1</v>
      </c>
      <c r="G7656">
        <v>-6</v>
      </c>
      <c r="H7656">
        <v>100</v>
      </c>
      <c r="I7656">
        <v>0</v>
      </c>
      <c r="J7656">
        <v>6.99</v>
      </c>
      <c r="K7656">
        <v>-41.94</v>
      </c>
    </row>
    <row r="7657" spans="1:11" x14ac:dyDescent="0.2">
      <c r="B7657">
        <v>5607065</v>
      </c>
      <c r="C7657" t="s">
        <v>10749</v>
      </c>
      <c r="D7657">
        <v>11</v>
      </c>
      <c r="E7657">
        <v>6</v>
      </c>
      <c r="F7657">
        <v>15</v>
      </c>
      <c r="G7657">
        <v>90</v>
      </c>
      <c r="H7657">
        <v>105</v>
      </c>
      <c r="I7657">
        <v>0.1</v>
      </c>
      <c r="J7657">
        <v>3.59</v>
      </c>
      <c r="K7657">
        <v>323.10000000000002</v>
      </c>
    </row>
    <row r="7658" spans="1:11" x14ac:dyDescent="0.2">
      <c r="B7658">
        <v>5607071</v>
      </c>
      <c r="C7658" t="s">
        <v>10750</v>
      </c>
      <c r="D7658">
        <v>10</v>
      </c>
      <c r="E7658">
        <v>6</v>
      </c>
      <c r="F7658">
        <v>0</v>
      </c>
      <c r="G7658">
        <v>0</v>
      </c>
      <c r="H7658">
        <v>100</v>
      </c>
      <c r="I7658">
        <v>0</v>
      </c>
      <c r="J7658">
        <v>8.99</v>
      </c>
      <c r="K7658">
        <v>0</v>
      </c>
    </row>
    <row r="7659" spans="1:11" x14ac:dyDescent="0.2">
      <c r="A7659">
        <v>46618</v>
      </c>
      <c r="B7659">
        <v>5607075</v>
      </c>
      <c r="C7659" t="s">
        <v>10751</v>
      </c>
      <c r="D7659">
        <v>10</v>
      </c>
      <c r="E7659">
        <v>12</v>
      </c>
      <c r="F7659">
        <v>-3</v>
      </c>
      <c r="G7659">
        <v>-36</v>
      </c>
      <c r="H7659">
        <v>14</v>
      </c>
      <c r="I7659">
        <v>-0.2</v>
      </c>
      <c r="J7659">
        <v>7.89</v>
      </c>
      <c r="K7659">
        <v>-284.04000000000002</v>
      </c>
    </row>
    <row r="7660" spans="1:11" x14ac:dyDescent="0.2">
      <c r="A7660">
        <v>46619</v>
      </c>
      <c r="B7660">
        <v>5607077</v>
      </c>
      <c r="C7660" t="s">
        <v>10752</v>
      </c>
      <c r="D7660">
        <v>10</v>
      </c>
      <c r="E7660">
        <v>18</v>
      </c>
      <c r="F7660">
        <v>1</v>
      </c>
      <c r="G7660">
        <v>18</v>
      </c>
      <c r="H7660">
        <v>28</v>
      </c>
      <c r="I7660">
        <v>0</v>
      </c>
      <c r="J7660">
        <v>5.69</v>
      </c>
      <c r="K7660">
        <v>102.42</v>
      </c>
    </row>
    <row r="7661" spans="1:11" x14ac:dyDescent="0.2">
      <c r="A7661">
        <v>57025</v>
      </c>
      <c r="B7661">
        <v>5607078</v>
      </c>
      <c r="C7661" t="s">
        <v>10753</v>
      </c>
      <c r="D7661">
        <v>11</v>
      </c>
      <c r="E7661">
        <v>6</v>
      </c>
      <c r="F7661">
        <v>0</v>
      </c>
      <c r="G7661">
        <v>0</v>
      </c>
      <c r="H7661">
        <v>92</v>
      </c>
      <c r="I7661">
        <v>0</v>
      </c>
      <c r="J7661">
        <v>1.0900000000000001</v>
      </c>
      <c r="K7661">
        <v>0</v>
      </c>
    </row>
    <row r="7662" spans="1:11" x14ac:dyDescent="0.2">
      <c r="B7662">
        <v>5607080</v>
      </c>
      <c r="C7662" t="s">
        <v>10754</v>
      </c>
      <c r="D7662">
        <v>10</v>
      </c>
      <c r="E7662">
        <v>6</v>
      </c>
      <c r="F7662">
        <v>0</v>
      </c>
      <c r="G7662">
        <v>0</v>
      </c>
      <c r="H7662">
        <v>100</v>
      </c>
      <c r="I7662">
        <v>0</v>
      </c>
      <c r="J7662">
        <v>4.99</v>
      </c>
      <c r="K7662">
        <v>0</v>
      </c>
    </row>
    <row r="7663" spans="1:11" x14ac:dyDescent="0.2">
      <c r="A7663">
        <v>86055</v>
      </c>
      <c r="B7663">
        <v>5607082</v>
      </c>
      <c r="C7663" t="s">
        <v>10755</v>
      </c>
      <c r="D7663">
        <v>8</v>
      </c>
      <c r="E7663">
        <v>36</v>
      </c>
      <c r="F7663">
        <v>360</v>
      </c>
      <c r="G7663">
        <v>12960</v>
      </c>
      <c r="H7663">
        <v>72</v>
      </c>
      <c r="I7663">
        <v>5</v>
      </c>
      <c r="J7663">
        <v>0.75</v>
      </c>
      <c r="K7663">
        <v>9720</v>
      </c>
    </row>
    <row r="7664" spans="1:11" x14ac:dyDescent="0.2">
      <c r="B7664">
        <v>5607084</v>
      </c>
      <c r="C7664" t="s">
        <v>10756</v>
      </c>
      <c r="D7664">
        <v>11</v>
      </c>
      <c r="E7664">
        <v>1</v>
      </c>
      <c r="F7664">
        <v>0</v>
      </c>
      <c r="G7664">
        <v>0</v>
      </c>
      <c r="H7664">
        <v>960</v>
      </c>
      <c r="I7664">
        <v>0</v>
      </c>
      <c r="J7664">
        <v>3.25</v>
      </c>
      <c r="K7664">
        <v>0</v>
      </c>
    </row>
    <row r="7665" spans="1:11" x14ac:dyDescent="0.2">
      <c r="A7665">
        <v>91463</v>
      </c>
      <c r="B7665">
        <v>5607085</v>
      </c>
      <c r="C7665" t="s">
        <v>10757</v>
      </c>
      <c r="D7665">
        <v>11</v>
      </c>
      <c r="E7665">
        <v>1</v>
      </c>
      <c r="F7665">
        <v>0</v>
      </c>
      <c r="G7665">
        <v>0</v>
      </c>
      <c r="H7665">
        <v>960</v>
      </c>
      <c r="I7665">
        <v>0</v>
      </c>
      <c r="J7665">
        <v>3.89</v>
      </c>
      <c r="K7665">
        <v>0</v>
      </c>
    </row>
    <row r="7666" spans="1:11" x14ac:dyDescent="0.2">
      <c r="A7666">
        <v>32515</v>
      </c>
      <c r="B7666">
        <v>5607091</v>
      </c>
      <c r="C7666" t="s">
        <v>10758</v>
      </c>
      <c r="D7666">
        <v>10</v>
      </c>
      <c r="E7666">
        <v>4</v>
      </c>
      <c r="F7666">
        <v>0</v>
      </c>
      <c r="G7666">
        <v>0</v>
      </c>
      <c r="H7666">
        <v>70</v>
      </c>
      <c r="I7666">
        <v>0</v>
      </c>
      <c r="J7666">
        <v>5.89</v>
      </c>
      <c r="K7666">
        <v>0</v>
      </c>
    </row>
    <row r="7667" spans="1:11" x14ac:dyDescent="0.2">
      <c r="A7667">
        <v>32516</v>
      </c>
      <c r="B7667">
        <v>5607092</v>
      </c>
      <c r="C7667" t="s">
        <v>10759</v>
      </c>
      <c r="D7667">
        <v>10</v>
      </c>
      <c r="E7667">
        <v>4</v>
      </c>
      <c r="F7667">
        <v>0</v>
      </c>
      <c r="G7667">
        <v>0</v>
      </c>
      <c r="H7667">
        <v>70</v>
      </c>
      <c r="I7667">
        <v>0</v>
      </c>
      <c r="J7667">
        <v>5.89</v>
      </c>
      <c r="K7667">
        <v>0</v>
      </c>
    </row>
    <row r="7668" spans="1:11" x14ac:dyDescent="0.2">
      <c r="B7668">
        <v>5607098</v>
      </c>
      <c r="C7668" t="s">
        <v>10760</v>
      </c>
      <c r="D7668">
        <v>11</v>
      </c>
      <c r="E7668">
        <v>8</v>
      </c>
      <c r="F7668">
        <v>3</v>
      </c>
      <c r="G7668">
        <v>24</v>
      </c>
      <c r="H7668">
        <v>112</v>
      </c>
      <c r="I7668">
        <v>0</v>
      </c>
      <c r="J7668">
        <v>2.89</v>
      </c>
      <c r="K7668">
        <v>69.36</v>
      </c>
    </row>
    <row r="7669" spans="1:11" x14ac:dyDescent="0.2">
      <c r="A7669">
        <v>30520</v>
      </c>
      <c r="B7669">
        <v>5607099</v>
      </c>
      <c r="C7669" t="s">
        <v>10761</v>
      </c>
      <c r="D7669">
        <v>10</v>
      </c>
      <c r="E7669">
        <v>4</v>
      </c>
      <c r="F7669">
        <v>0</v>
      </c>
      <c r="G7669">
        <v>0</v>
      </c>
      <c r="H7669">
        <v>72</v>
      </c>
      <c r="I7669">
        <v>0</v>
      </c>
      <c r="J7669">
        <v>3.49</v>
      </c>
      <c r="K7669">
        <v>0</v>
      </c>
    </row>
    <row r="7670" spans="1:11" x14ac:dyDescent="0.2">
      <c r="A7670">
        <v>29533</v>
      </c>
      <c r="B7670">
        <v>5607100</v>
      </c>
      <c r="C7670" t="s">
        <v>10762</v>
      </c>
      <c r="D7670">
        <v>10</v>
      </c>
      <c r="E7670">
        <v>4</v>
      </c>
      <c r="F7670">
        <v>0</v>
      </c>
      <c r="G7670">
        <v>0</v>
      </c>
      <c r="H7670">
        <v>72</v>
      </c>
      <c r="I7670">
        <v>0</v>
      </c>
      <c r="J7670">
        <v>4.1900000000000004</v>
      </c>
      <c r="K7670">
        <v>0</v>
      </c>
    </row>
    <row r="7671" spans="1:11" x14ac:dyDescent="0.2">
      <c r="A7671">
        <v>40508</v>
      </c>
      <c r="B7671">
        <v>5607101</v>
      </c>
      <c r="C7671" t="s">
        <v>10763</v>
      </c>
      <c r="D7671">
        <v>10</v>
      </c>
      <c r="E7671">
        <v>4</v>
      </c>
      <c r="F7671">
        <v>5</v>
      </c>
      <c r="G7671">
        <v>20</v>
      </c>
      <c r="H7671">
        <v>90</v>
      </c>
      <c r="I7671">
        <v>0.1</v>
      </c>
      <c r="J7671">
        <v>2.99</v>
      </c>
      <c r="K7671">
        <v>59.8</v>
      </c>
    </row>
    <row r="7672" spans="1:11" x14ac:dyDescent="0.2">
      <c r="A7672">
        <v>43536</v>
      </c>
      <c r="B7672">
        <v>5607102</v>
      </c>
      <c r="C7672" t="s">
        <v>10764</v>
      </c>
      <c r="D7672">
        <v>10</v>
      </c>
      <c r="E7672">
        <v>4</v>
      </c>
      <c r="F7672">
        <v>3</v>
      </c>
      <c r="G7672">
        <v>12</v>
      </c>
      <c r="H7672">
        <v>90</v>
      </c>
      <c r="I7672">
        <v>0</v>
      </c>
      <c r="J7672">
        <v>2.99</v>
      </c>
      <c r="K7672">
        <v>35.880000000000003</v>
      </c>
    </row>
    <row r="7673" spans="1:11" x14ac:dyDescent="0.2">
      <c r="A7673">
        <v>40509</v>
      </c>
      <c r="B7673">
        <v>5607103</v>
      </c>
      <c r="C7673" t="s">
        <v>10765</v>
      </c>
      <c r="D7673">
        <v>10</v>
      </c>
      <c r="E7673">
        <v>4</v>
      </c>
      <c r="F7673">
        <v>3</v>
      </c>
      <c r="G7673">
        <v>12</v>
      </c>
      <c r="H7673">
        <v>90</v>
      </c>
      <c r="I7673">
        <v>0</v>
      </c>
      <c r="J7673">
        <v>2.99</v>
      </c>
      <c r="K7673">
        <v>35.880000000000003</v>
      </c>
    </row>
    <row r="7674" spans="1:11" x14ac:dyDescent="0.2">
      <c r="A7674">
        <v>40510</v>
      </c>
      <c r="B7674">
        <v>5607104</v>
      </c>
      <c r="C7674" t="s">
        <v>10766</v>
      </c>
      <c r="D7674">
        <v>10</v>
      </c>
      <c r="E7674">
        <v>4</v>
      </c>
      <c r="F7674">
        <v>4</v>
      </c>
      <c r="G7674">
        <v>16</v>
      </c>
      <c r="H7674">
        <v>90</v>
      </c>
      <c r="I7674">
        <v>0</v>
      </c>
      <c r="J7674">
        <v>2.99</v>
      </c>
      <c r="K7674">
        <v>47.84</v>
      </c>
    </row>
    <row r="7675" spans="1:11" x14ac:dyDescent="0.2">
      <c r="A7675">
        <v>40511</v>
      </c>
      <c r="B7675">
        <v>5607105</v>
      </c>
      <c r="C7675" t="s">
        <v>10767</v>
      </c>
      <c r="D7675">
        <v>10</v>
      </c>
      <c r="E7675">
        <v>4</v>
      </c>
      <c r="F7675">
        <v>3</v>
      </c>
      <c r="G7675">
        <v>12</v>
      </c>
      <c r="H7675">
        <v>72</v>
      </c>
      <c r="I7675">
        <v>0</v>
      </c>
      <c r="J7675">
        <v>4.99</v>
      </c>
      <c r="K7675">
        <v>59.88</v>
      </c>
    </row>
    <row r="7676" spans="1:11" x14ac:dyDescent="0.2">
      <c r="A7676">
        <v>40512</v>
      </c>
      <c r="B7676">
        <v>5607106</v>
      </c>
      <c r="C7676" t="s">
        <v>10768</v>
      </c>
      <c r="D7676">
        <v>10</v>
      </c>
      <c r="E7676">
        <v>4</v>
      </c>
      <c r="F7676">
        <v>3</v>
      </c>
      <c r="G7676">
        <v>12</v>
      </c>
      <c r="H7676">
        <v>72</v>
      </c>
      <c r="I7676">
        <v>0</v>
      </c>
      <c r="J7676">
        <v>3.99</v>
      </c>
      <c r="K7676">
        <v>47.88</v>
      </c>
    </row>
    <row r="7677" spans="1:11" x14ac:dyDescent="0.2">
      <c r="A7677">
        <v>30523</v>
      </c>
      <c r="B7677">
        <v>5607107</v>
      </c>
      <c r="C7677" t="s">
        <v>10769</v>
      </c>
      <c r="D7677">
        <v>10</v>
      </c>
      <c r="E7677">
        <v>4</v>
      </c>
      <c r="F7677">
        <v>0</v>
      </c>
      <c r="G7677">
        <v>0</v>
      </c>
      <c r="H7677">
        <v>72</v>
      </c>
      <c r="I7677">
        <v>0</v>
      </c>
      <c r="J7677">
        <v>3.99</v>
      </c>
      <c r="K7677">
        <v>0</v>
      </c>
    </row>
    <row r="7678" spans="1:11" x14ac:dyDescent="0.2">
      <c r="B7678">
        <v>5607108</v>
      </c>
      <c r="C7678" t="s">
        <v>10770</v>
      </c>
      <c r="D7678">
        <v>11</v>
      </c>
      <c r="E7678">
        <v>4</v>
      </c>
      <c r="F7678">
        <v>0</v>
      </c>
      <c r="G7678">
        <v>0</v>
      </c>
      <c r="H7678">
        <v>72</v>
      </c>
      <c r="I7678">
        <v>0</v>
      </c>
      <c r="J7678">
        <v>3.99</v>
      </c>
      <c r="K7678">
        <v>0</v>
      </c>
    </row>
    <row r="7679" spans="1:11" x14ac:dyDescent="0.2">
      <c r="A7679">
        <v>29534</v>
      </c>
      <c r="B7679">
        <v>5607109</v>
      </c>
      <c r="C7679" t="s">
        <v>10771</v>
      </c>
      <c r="D7679">
        <v>10</v>
      </c>
      <c r="E7679">
        <v>4</v>
      </c>
      <c r="F7679">
        <v>0</v>
      </c>
      <c r="G7679">
        <v>0</v>
      </c>
      <c r="H7679">
        <v>72</v>
      </c>
      <c r="I7679">
        <v>0</v>
      </c>
      <c r="J7679">
        <v>3.49</v>
      </c>
      <c r="K7679">
        <v>0</v>
      </c>
    </row>
    <row r="7680" spans="1:11" x14ac:dyDescent="0.2">
      <c r="B7680">
        <v>5607114</v>
      </c>
      <c r="C7680" t="s">
        <v>10772</v>
      </c>
      <c r="D7680">
        <v>11</v>
      </c>
      <c r="E7680">
        <v>1</v>
      </c>
      <c r="F7680">
        <v>0</v>
      </c>
      <c r="G7680">
        <v>0</v>
      </c>
      <c r="H7680">
        <v>256</v>
      </c>
      <c r="I7680">
        <v>0</v>
      </c>
      <c r="J7680">
        <v>7.98</v>
      </c>
      <c r="K7680">
        <v>0</v>
      </c>
    </row>
    <row r="7681" spans="1:11" x14ac:dyDescent="0.2">
      <c r="B7681">
        <v>5607115</v>
      </c>
      <c r="C7681" t="s">
        <v>10773</v>
      </c>
      <c r="D7681">
        <v>11</v>
      </c>
      <c r="E7681">
        <v>1</v>
      </c>
      <c r="F7681">
        <v>0</v>
      </c>
      <c r="G7681">
        <v>0</v>
      </c>
      <c r="H7681">
        <v>256</v>
      </c>
      <c r="I7681">
        <v>0</v>
      </c>
      <c r="J7681">
        <v>7.98</v>
      </c>
      <c r="K7681">
        <v>0</v>
      </c>
    </row>
    <row r="7682" spans="1:11" x14ac:dyDescent="0.2">
      <c r="B7682">
        <v>5607117</v>
      </c>
      <c r="C7682" t="s">
        <v>10774</v>
      </c>
      <c r="D7682">
        <v>11</v>
      </c>
      <c r="E7682">
        <v>1</v>
      </c>
      <c r="F7682">
        <v>0</v>
      </c>
      <c r="G7682">
        <v>0</v>
      </c>
      <c r="H7682">
        <v>320</v>
      </c>
      <c r="I7682">
        <v>0</v>
      </c>
      <c r="J7682">
        <v>5.69</v>
      </c>
      <c r="K7682">
        <v>0</v>
      </c>
    </row>
    <row r="7683" spans="1:11" x14ac:dyDescent="0.2">
      <c r="B7683">
        <v>5607118</v>
      </c>
      <c r="C7683" t="s">
        <v>10775</v>
      </c>
      <c r="D7683">
        <v>11</v>
      </c>
      <c r="E7683">
        <v>1</v>
      </c>
      <c r="F7683">
        <v>0</v>
      </c>
      <c r="G7683">
        <v>0</v>
      </c>
      <c r="H7683">
        <v>1024</v>
      </c>
      <c r="I7683">
        <v>0</v>
      </c>
      <c r="J7683">
        <v>4.99</v>
      </c>
      <c r="K7683">
        <v>0</v>
      </c>
    </row>
    <row r="7684" spans="1:11" x14ac:dyDescent="0.2">
      <c r="B7684">
        <v>5607122</v>
      </c>
      <c r="C7684" t="s">
        <v>10776</v>
      </c>
      <c r="D7684">
        <v>11</v>
      </c>
      <c r="E7684">
        <v>6</v>
      </c>
      <c r="F7684">
        <v>0</v>
      </c>
      <c r="G7684">
        <v>0</v>
      </c>
      <c r="H7684">
        <v>224</v>
      </c>
      <c r="I7684">
        <v>0</v>
      </c>
      <c r="J7684">
        <v>1.89</v>
      </c>
      <c r="K7684">
        <v>0</v>
      </c>
    </row>
    <row r="7685" spans="1:11" x14ac:dyDescent="0.2">
      <c r="A7685">
        <v>29535</v>
      </c>
      <c r="B7685">
        <v>5607123</v>
      </c>
      <c r="C7685" t="s">
        <v>10777</v>
      </c>
      <c r="D7685">
        <v>10</v>
      </c>
      <c r="E7685">
        <v>6</v>
      </c>
      <c r="F7685">
        <v>0</v>
      </c>
      <c r="G7685">
        <v>0</v>
      </c>
      <c r="H7685">
        <v>224</v>
      </c>
      <c r="I7685">
        <v>0</v>
      </c>
      <c r="J7685">
        <v>1.89</v>
      </c>
      <c r="K7685">
        <v>0</v>
      </c>
    </row>
    <row r="7686" spans="1:11" x14ac:dyDescent="0.2">
      <c r="B7686">
        <v>5607124</v>
      </c>
      <c r="C7686" t="s">
        <v>10778</v>
      </c>
      <c r="D7686">
        <v>11</v>
      </c>
      <c r="E7686">
        <v>5</v>
      </c>
      <c r="F7686">
        <v>0</v>
      </c>
      <c r="G7686">
        <v>0</v>
      </c>
      <c r="H7686">
        <v>140</v>
      </c>
      <c r="I7686">
        <v>0</v>
      </c>
      <c r="J7686">
        <v>2.19</v>
      </c>
      <c r="K7686">
        <v>0</v>
      </c>
    </row>
    <row r="7687" spans="1:11" x14ac:dyDescent="0.2">
      <c r="B7687">
        <v>5607125</v>
      </c>
      <c r="C7687" t="s">
        <v>10779</v>
      </c>
      <c r="D7687">
        <v>11</v>
      </c>
      <c r="E7687">
        <v>12</v>
      </c>
      <c r="F7687">
        <v>0</v>
      </c>
      <c r="G7687">
        <v>0</v>
      </c>
      <c r="H7687">
        <v>112</v>
      </c>
      <c r="I7687">
        <v>0</v>
      </c>
      <c r="J7687">
        <v>0.99</v>
      </c>
      <c r="K7687">
        <v>0</v>
      </c>
    </row>
    <row r="7688" spans="1:11" x14ac:dyDescent="0.2">
      <c r="B7688">
        <v>5607128</v>
      </c>
      <c r="C7688" t="s">
        <v>10780</v>
      </c>
      <c r="D7688">
        <v>11</v>
      </c>
      <c r="E7688">
        <v>6</v>
      </c>
      <c r="F7688">
        <v>0</v>
      </c>
      <c r="G7688">
        <v>0</v>
      </c>
      <c r="H7688">
        <v>120</v>
      </c>
      <c r="I7688">
        <v>0</v>
      </c>
      <c r="J7688">
        <v>1.99</v>
      </c>
      <c r="K7688">
        <v>0</v>
      </c>
    </row>
    <row r="7689" spans="1:11" x14ac:dyDescent="0.2">
      <c r="B7689">
        <v>5607130</v>
      </c>
      <c r="C7689" t="s">
        <v>10781</v>
      </c>
      <c r="D7689">
        <v>11</v>
      </c>
      <c r="E7689">
        <v>1</v>
      </c>
      <c r="F7689">
        <v>0</v>
      </c>
      <c r="G7689">
        <v>0</v>
      </c>
      <c r="H7689">
        <v>1024</v>
      </c>
      <c r="I7689">
        <v>0</v>
      </c>
      <c r="J7689">
        <v>4.99</v>
      </c>
      <c r="K7689">
        <v>0</v>
      </c>
    </row>
    <row r="7690" spans="1:11" x14ac:dyDescent="0.2">
      <c r="A7690">
        <v>26531</v>
      </c>
      <c r="B7690">
        <v>5607131</v>
      </c>
      <c r="C7690" t="s">
        <v>10782</v>
      </c>
      <c r="D7690">
        <v>10</v>
      </c>
      <c r="E7690">
        <v>18</v>
      </c>
      <c r="F7690">
        <v>0</v>
      </c>
      <c r="G7690">
        <v>0</v>
      </c>
      <c r="H7690">
        <v>60</v>
      </c>
      <c r="I7690">
        <v>0</v>
      </c>
      <c r="J7690">
        <v>1.39</v>
      </c>
      <c r="K7690">
        <v>0</v>
      </c>
    </row>
    <row r="7691" spans="1:11" x14ac:dyDescent="0.2">
      <c r="B7691">
        <v>5607135</v>
      </c>
      <c r="C7691" t="s">
        <v>10783</v>
      </c>
      <c r="D7691">
        <v>11</v>
      </c>
      <c r="E7691">
        <v>15</v>
      </c>
      <c r="F7691">
        <v>-1</v>
      </c>
      <c r="G7691">
        <v>-15</v>
      </c>
      <c r="H7691">
        <v>60</v>
      </c>
      <c r="I7691">
        <v>0</v>
      </c>
      <c r="J7691">
        <v>1.59</v>
      </c>
      <c r="K7691">
        <v>-23.85</v>
      </c>
    </row>
    <row r="7692" spans="1:11" x14ac:dyDescent="0.2">
      <c r="B7692">
        <v>5607138</v>
      </c>
      <c r="C7692" t="s">
        <v>10784</v>
      </c>
      <c r="D7692">
        <v>10</v>
      </c>
      <c r="E7692">
        <v>6</v>
      </c>
      <c r="F7692">
        <v>0</v>
      </c>
      <c r="G7692">
        <v>0</v>
      </c>
      <c r="H7692">
        <v>100</v>
      </c>
      <c r="I7692">
        <v>0</v>
      </c>
      <c r="J7692">
        <v>3.39</v>
      </c>
      <c r="K7692">
        <v>0</v>
      </c>
    </row>
    <row r="7693" spans="1:11" x14ac:dyDescent="0.2">
      <c r="B7693">
        <v>5607139</v>
      </c>
      <c r="C7693" t="s">
        <v>10785</v>
      </c>
      <c r="D7693">
        <v>11</v>
      </c>
      <c r="E7693">
        <v>6</v>
      </c>
      <c r="F7693">
        <v>3</v>
      </c>
      <c r="G7693">
        <v>18</v>
      </c>
      <c r="H7693">
        <v>105</v>
      </c>
      <c r="I7693">
        <v>0</v>
      </c>
      <c r="J7693">
        <v>3.99</v>
      </c>
      <c r="K7693">
        <v>71.819999999999993</v>
      </c>
    </row>
    <row r="7694" spans="1:11" x14ac:dyDescent="0.2">
      <c r="B7694">
        <v>5607141</v>
      </c>
      <c r="C7694" t="s">
        <v>10786</v>
      </c>
      <c r="D7694">
        <v>10</v>
      </c>
      <c r="E7694">
        <v>6</v>
      </c>
      <c r="F7694">
        <v>0</v>
      </c>
      <c r="G7694">
        <v>0</v>
      </c>
      <c r="H7694">
        <v>100</v>
      </c>
      <c r="I7694">
        <v>0</v>
      </c>
      <c r="J7694">
        <v>6.49</v>
      </c>
      <c r="K7694">
        <v>0</v>
      </c>
    </row>
    <row r="7695" spans="1:11" x14ac:dyDescent="0.2">
      <c r="B7695">
        <v>5607142</v>
      </c>
      <c r="C7695" t="s">
        <v>10787</v>
      </c>
      <c r="D7695">
        <v>10</v>
      </c>
      <c r="E7695">
        <v>6</v>
      </c>
      <c r="F7695">
        <v>0</v>
      </c>
      <c r="G7695">
        <v>0</v>
      </c>
      <c r="H7695">
        <v>100</v>
      </c>
      <c r="I7695">
        <v>0</v>
      </c>
      <c r="J7695">
        <v>3.99</v>
      </c>
      <c r="K7695">
        <v>0</v>
      </c>
    </row>
    <row r="7696" spans="1:11" x14ac:dyDescent="0.2">
      <c r="B7696">
        <v>5607143</v>
      </c>
      <c r="C7696" t="s">
        <v>10788</v>
      </c>
      <c r="D7696">
        <v>10</v>
      </c>
      <c r="E7696">
        <v>6</v>
      </c>
      <c r="F7696">
        <v>0</v>
      </c>
      <c r="G7696">
        <v>0</v>
      </c>
      <c r="H7696">
        <v>100</v>
      </c>
      <c r="I7696">
        <v>0</v>
      </c>
      <c r="J7696">
        <v>6.89</v>
      </c>
      <c r="K7696">
        <v>0</v>
      </c>
    </row>
    <row r="7697" spans="1:11" x14ac:dyDescent="0.2">
      <c r="A7697">
        <v>43617</v>
      </c>
      <c r="B7697">
        <v>5607144</v>
      </c>
      <c r="C7697" t="s">
        <v>10789</v>
      </c>
      <c r="D7697">
        <v>10</v>
      </c>
      <c r="E7697">
        <v>6</v>
      </c>
      <c r="F7697">
        <v>0</v>
      </c>
      <c r="G7697">
        <v>0</v>
      </c>
      <c r="H7697">
        <v>100</v>
      </c>
      <c r="I7697">
        <v>0</v>
      </c>
      <c r="J7697">
        <v>3</v>
      </c>
      <c r="K7697">
        <v>0</v>
      </c>
    </row>
    <row r="7698" spans="1:11" x14ac:dyDescent="0.2">
      <c r="B7698">
        <v>5607145</v>
      </c>
      <c r="C7698" t="s">
        <v>10790</v>
      </c>
      <c r="D7698">
        <v>11</v>
      </c>
      <c r="E7698">
        <v>1</v>
      </c>
      <c r="F7698">
        <v>0</v>
      </c>
      <c r="G7698">
        <v>0</v>
      </c>
      <c r="H7698">
        <v>480</v>
      </c>
      <c r="I7698">
        <v>0</v>
      </c>
      <c r="J7698">
        <v>6.99</v>
      </c>
      <c r="K7698">
        <v>0</v>
      </c>
    </row>
    <row r="7699" spans="1:11" x14ac:dyDescent="0.2">
      <c r="B7699">
        <v>5607146</v>
      </c>
      <c r="C7699" t="s">
        <v>10791</v>
      </c>
      <c r="D7699">
        <v>11</v>
      </c>
      <c r="E7699">
        <v>1</v>
      </c>
      <c r="F7699">
        <v>0</v>
      </c>
      <c r="G7699">
        <v>0</v>
      </c>
      <c r="H7699">
        <v>120</v>
      </c>
      <c r="I7699">
        <v>0</v>
      </c>
      <c r="J7699">
        <v>3.75</v>
      </c>
      <c r="K7699">
        <v>0</v>
      </c>
    </row>
    <row r="7700" spans="1:11" x14ac:dyDescent="0.2">
      <c r="B7700">
        <v>5607147</v>
      </c>
      <c r="C7700" t="s">
        <v>10792</v>
      </c>
      <c r="D7700">
        <v>11</v>
      </c>
      <c r="E7700">
        <v>1</v>
      </c>
      <c r="F7700">
        <v>0</v>
      </c>
      <c r="G7700">
        <v>0</v>
      </c>
      <c r="H7700">
        <v>432</v>
      </c>
      <c r="I7700">
        <v>0</v>
      </c>
      <c r="J7700">
        <v>5.49</v>
      </c>
      <c r="K7700">
        <v>0</v>
      </c>
    </row>
    <row r="7701" spans="1:11" x14ac:dyDescent="0.2">
      <c r="B7701">
        <v>5607153</v>
      </c>
      <c r="C7701" t="s">
        <v>10793</v>
      </c>
      <c r="D7701">
        <v>10</v>
      </c>
      <c r="E7701">
        <v>6</v>
      </c>
      <c r="F7701">
        <v>0</v>
      </c>
      <c r="G7701">
        <v>0</v>
      </c>
      <c r="H7701">
        <v>105</v>
      </c>
      <c r="I7701">
        <v>0</v>
      </c>
      <c r="J7701">
        <v>5.49</v>
      </c>
      <c r="K7701">
        <v>0</v>
      </c>
    </row>
    <row r="7702" spans="1:11" x14ac:dyDescent="0.2">
      <c r="A7702">
        <v>62129</v>
      </c>
      <c r="B7702">
        <v>5607156</v>
      </c>
      <c r="C7702" t="s">
        <v>10794</v>
      </c>
      <c r="D7702">
        <v>8</v>
      </c>
      <c r="E7702">
        <v>6</v>
      </c>
      <c r="F7702">
        <v>73</v>
      </c>
      <c r="G7702">
        <v>438</v>
      </c>
      <c r="H7702">
        <v>80</v>
      </c>
      <c r="I7702">
        <v>0.9</v>
      </c>
      <c r="J7702">
        <v>16.989999999999998</v>
      </c>
      <c r="K7702">
        <v>7441.62</v>
      </c>
    </row>
    <row r="7703" spans="1:11" x14ac:dyDescent="0.2">
      <c r="B7703">
        <v>5607157</v>
      </c>
      <c r="C7703" t="s">
        <v>10795</v>
      </c>
      <c r="D7703">
        <v>10</v>
      </c>
      <c r="E7703">
        <v>6</v>
      </c>
      <c r="F7703">
        <v>0</v>
      </c>
      <c r="G7703">
        <v>0</v>
      </c>
      <c r="H7703">
        <v>80</v>
      </c>
      <c r="I7703">
        <v>0</v>
      </c>
      <c r="J7703">
        <v>16.989999999999998</v>
      </c>
      <c r="K7703">
        <v>0</v>
      </c>
    </row>
    <row r="7704" spans="1:11" x14ac:dyDescent="0.2">
      <c r="A7704">
        <v>61159</v>
      </c>
      <c r="B7704">
        <v>5607158</v>
      </c>
      <c r="C7704" t="s">
        <v>10796</v>
      </c>
      <c r="D7704">
        <v>8</v>
      </c>
      <c r="E7704">
        <v>6</v>
      </c>
      <c r="F7704">
        <v>245</v>
      </c>
      <c r="G7704">
        <v>1470</v>
      </c>
      <c r="H7704">
        <v>100</v>
      </c>
      <c r="I7704">
        <v>2.5</v>
      </c>
      <c r="J7704">
        <v>2.39</v>
      </c>
      <c r="K7704">
        <v>3513.3</v>
      </c>
    </row>
    <row r="7705" spans="1:11" x14ac:dyDescent="0.2">
      <c r="B7705">
        <v>5607159</v>
      </c>
      <c r="C7705" t="s">
        <v>10797</v>
      </c>
      <c r="D7705">
        <v>10</v>
      </c>
      <c r="E7705">
        <v>6</v>
      </c>
      <c r="F7705">
        <v>0</v>
      </c>
      <c r="G7705">
        <v>0</v>
      </c>
      <c r="H7705">
        <v>105</v>
      </c>
      <c r="I7705">
        <v>0</v>
      </c>
      <c r="J7705">
        <v>3</v>
      </c>
      <c r="K7705">
        <v>0</v>
      </c>
    </row>
    <row r="7706" spans="1:11" x14ac:dyDescent="0.2">
      <c r="A7706">
        <v>61089</v>
      </c>
      <c r="B7706">
        <v>5607161</v>
      </c>
      <c r="C7706" t="s">
        <v>10798</v>
      </c>
      <c r="D7706">
        <v>8</v>
      </c>
      <c r="E7706">
        <v>6</v>
      </c>
      <c r="F7706">
        <v>117</v>
      </c>
      <c r="G7706">
        <v>702</v>
      </c>
      <c r="H7706">
        <v>105</v>
      </c>
      <c r="I7706">
        <v>1.1000000000000001</v>
      </c>
      <c r="J7706">
        <v>3.99</v>
      </c>
      <c r="K7706">
        <v>2800.98</v>
      </c>
    </row>
    <row r="7707" spans="1:11" x14ac:dyDescent="0.2">
      <c r="B7707">
        <v>5607162</v>
      </c>
      <c r="C7707" t="s">
        <v>10799</v>
      </c>
      <c r="D7707">
        <v>10</v>
      </c>
      <c r="E7707">
        <v>6</v>
      </c>
      <c r="F7707">
        <v>0</v>
      </c>
      <c r="G7707">
        <v>0</v>
      </c>
      <c r="H7707">
        <v>105</v>
      </c>
      <c r="I7707">
        <v>0</v>
      </c>
      <c r="J7707">
        <v>9.99</v>
      </c>
      <c r="K7707">
        <v>0</v>
      </c>
    </row>
    <row r="7708" spans="1:11" x14ac:dyDescent="0.2">
      <c r="B7708">
        <v>5607164</v>
      </c>
      <c r="C7708" t="s">
        <v>10800</v>
      </c>
      <c r="D7708">
        <v>10</v>
      </c>
      <c r="E7708">
        <v>6</v>
      </c>
      <c r="F7708">
        <v>0</v>
      </c>
      <c r="G7708">
        <v>0</v>
      </c>
      <c r="H7708">
        <v>100</v>
      </c>
      <c r="I7708">
        <v>0</v>
      </c>
      <c r="J7708">
        <v>7.49</v>
      </c>
      <c r="K7708">
        <v>0</v>
      </c>
    </row>
    <row r="7709" spans="1:11" x14ac:dyDescent="0.2">
      <c r="B7709">
        <v>5607168</v>
      </c>
      <c r="C7709" t="s">
        <v>10801</v>
      </c>
      <c r="D7709">
        <v>11</v>
      </c>
      <c r="E7709">
        <v>6</v>
      </c>
      <c r="F7709">
        <v>14</v>
      </c>
      <c r="G7709">
        <v>84</v>
      </c>
      <c r="H7709">
        <v>100</v>
      </c>
      <c r="I7709">
        <v>0.1</v>
      </c>
      <c r="J7709">
        <v>3.29</v>
      </c>
      <c r="K7709">
        <v>276.36</v>
      </c>
    </row>
    <row r="7710" spans="1:11" x14ac:dyDescent="0.2">
      <c r="B7710">
        <v>5607169</v>
      </c>
      <c r="C7710" t="s">
        <v>10802</v>
      </c>
      <c r="D7710">
        <v>11</v>
      </c>
      <c r="E7710">
        <v>6</v>
      </c>
      <c r="F7710">
        <v>4</v>
      </c>
      <c r="G7710">
        <v>24</v>
      </c>
      <c r="H7710">
        <v>100</v>
      </c>
      <c r="I7710">
        <v>0</v>
      </c>
      <c r="J7710">
        <v>3.49</v>
      </c>
      <c r="K7710">
        <v>83.76</v>
      </c>
    </row>
    <row r="7711" spans="1:11" x14ac:dyDescent="0.2">
      <c r="B7711">
        <v>5607170</v>
      </c>
      <c r="C7711" t="s">
        <v>10803</v>
      </c>
      <c r="D7711">
        <v>10</v>
      </c>
      <c r="E7711">
        <v>6</v>
      </c>
      <c r="F7711">
        <v>0</v>
      </c>
      <c r="G7711">
        <v>0</v>
      </c>
      <c r="H7711">
        <v>100</v>
      </c>
      <c r="I7711">
        <v>0</v>
      </c>
      <c r="J7711">
        <v>3.49</v>
      </c>
      <c r="K7711">
        <v>0</v>
      </c>
    </row>
    <row r="7712" spans="1:11" x14ac:dyDescent="0.2">
      <c r="B7712">
        <v>5607172</v>
      </c>
      <c r="C7712" t="s">
        <v>10804</v>
      </c>
      <c r="D7712">
        <v>11</v>
      </c>
      <c r="E7712">
        <v>6</v>
      </c>
      <c r="F7712">
        <v>109</v>
      </c>
      <c r="G7712">
        <v>654</v>
      </c>
      <c r="H7712">
        <v>100</v>
      </c>
      <c r="I7712">
        <v>1.1000000000000001</v>
      </c>
      <c r="J7712">
        <v>4.33</v>
      </c>
      <c r="K7712">
        <v>2831.82</v>
      </c>
    </row>
    <row r="7713" spans="1:11" x14ac:dyDescent="0.2">
      <c r="B7713">
        <v>5607173</v>
      </c>
      <c r="C7713" t="s">
        <v>10805</v>
      </c>
      <c r="D7713">
        <v>10</v>
      </c>
      <c r="E7713">
        <v>6</v>
      </c>
      <c r="F7713">
        <v>0</v>
      </c>
      <c r="G7713">
        <v>0</v>
      </c>
      <c r="H7713">
        <v>100</v>
      </c>
      <c r="I7713">
        <v>0</v>
      </c>
      <c r="J7713">
        <v>4.99</v>
      </c>
      <c r="K7713">
        <v>0</v>
      </c>
    </row>
    <row r="7714" spans="1:11" x14ac:dyDescent="0.2">
      <c r="B7714">
        <v>5607174</v>
      </c>
      <c r="C7714" t="s">
        <v>10806</v>
      </c>
      <c r="D7714">
        <v>10</v>
      </c>
      <c r="E7714">
        <v>6</v>
      </c>
      <c r="F7714">
        <v>0</v>
      </c>
      <c r="G7714">
        <v>0</v>
      </c>
      <c r="H7714">
        <v>100</v>
      </c>
      <c r="I7714">
        <v>0</v>
      </c>
      <c r="J7714">
        <v>4.93</v>
      </c>
      <c r="K7714">
        <v>0</v>
      </c>
    </row>
    <row r="7715" spans="1:11" x14ac:dyDescent="0.2">
      <c r="A7715">
        <v>36752</v>
      </c>
      <c r="B7715">
        <v>5607175</v>
      </c>
      <c r="C7715" t="s">
        <v>10807</v>
      </c>
      <c r="D7715">
        <v>10</v>
      </c>
      <c r="E7715">
        <v>6</v>
      </c>
      <c r="F7715">
        <v>0</v>
      </c>
      <c r="G7715">
        <v>0</v>
      </c>
      <c r="H7715">
        <v>100</v>
      </c>
      <c r="I7715">
        <v>0</v>
      </c>
      <c r="J7715">
        <v>4</v>
      </c>
      <c r="K7715">
        <v>0</v>
      </c>
    </row>
    <row r="7716" spans="1:11" x14ac:dyDescent="0.2">
      <c r="B7716">
        <v>5607176</v>
      </c>
      <c r="C7716" t="s">
        <v>10808</v>
      </c>
      <c r="D7716">
        <v>10</v>
      </c>
      <c r="E7716">
        <v>6</v>
      </c>
      <c r="F7716">
        <v>0</v>
      </c>
      <c r="G7716">
        <v>0</v>
      </c>
      <c r="H7716">
        <v>100</v>
      </c>
      <c r="I7716">
        <v>0</v>
      </c>
      <c r="J7716">
        <v>8.99</v>
      </c>
      <c r="K7716">
        <v>0</v>
      </c>
    </row>
    <row r="7717" spans="1:11" x14ac:dyDescent="0.2">
      <c r="A7717">
        <v>61072</v>
      </c>
      <c r="B7717">
        <v>5607177</v>
      </c>
      <c r="C7717" t="s">
        <v>10809</v>
      </c>
      <c r="D7717">
        <v>8</v>
      </c>
      <c r="E7717">
        <v>6</v>
      </c>
      <c r="F7717">
        <v>198</v>
      </c>
      <c r="G7717">
        <v>1185</v>
      </c>
      <c r="H7717">
        <v>100</v>
      </c>
      <c r="I7717">
        <v>2</v>
      </c>
      <c r="J7717">
        <v>2.89</v>
      </c>
      <c r="K7717">
        <v>3424.65</v>
      </c>
    </row>
    <row r="7718" spans="1:11" x14ac:dyDescent="0.2">
      <c r="A7718">
        <v>36738</v>
      </c>
      <c r="B7718">
        <v>5607180</v>
      </c>
      <c r="C7718" t="s">
        <v>10810</v>
      </c>
      <c r="D7718">
        <v>10</v>
      </c>
      <c r="E7718">
        <v>6</v>
      </c>
      <c r="F7718">
        <v>-28</v>
      </c>
      <c r="G7718">
        <v>-168</v>
      </c>
      <c r="H7718">
        <v>100</v>
      </c>
      <c r="I7718">
        <v>-0.3</v>
      </c>
      <c r="J7718">
        <v>2.98</v>
      </c>
      <c r="K7718">
        <v>-500.64</v>
      </c>
    </row>
    <row r="7719" spans="1:11" x14ac:dyDescent="0.2">
      <c r="B7719">
        <v>5607182</v>
      </c>
      <c r="C7719" t="s">
        <v>10811</v>
      </c>
      <c r="D7719">
        <v>11</v>
      </c>
      <c r="E7719">
        <v>6</v>
      </c>
      <c r="F7719">
        <v>50</v>
      </c>
      <c r="G7719">
        <v>300</v>
      </c>
      <c r="H7719">
        <v>100</v>
      </c>
      <c r="I7719">
        <v>0.5</v>
      </c>
      <c r="J7719">
        <v>3.28</v>
      </c>
      <c r="K7719">
        <v>984</v>
      </c>
    </row>
    <row r="7720" spans="1:11" x14ac:dyDescent="0.2">
      <c r="B7720">
        <v>5607184</v>
      </c>
      <c r="C7720" t="s">
        <v>10812</v>
      </c>
      <c r="D7720">
        <v>11</v>
      </c>
      <c r="E7720">
        <v>6</v>
      </c>
      <c r="F7720">
        <v>4</v>
      </c>
      <c r="G7720">
        <v>24</v>
      </c>
      <c r="H7720">
        <v>100</v>
      </c>
      <c r="I7720">
        <v>0</v>
      </c>
      <c r="J7720">
        <v>5.69</v>
      </c>
      <c r="K7720">
        <v>136.56</v>
      </c>
    </row>
    <row r="7721" spans="1:11" x14ac:dyDescent="0.2">
      <c r="B7721">
        <v>5607185</v>
      </c>
      <c r="C7721" t="s">
        <v>10813</v>
      </c>
      <c r="D7721">
        <v>10</v>
      </c>
      <c r="E7721">
        <v>6</v>
      </c>
      <c r="F7721">
        <v>0</v>
      </c>
      <c r="G7721">
        <v>0</v>
      </c>
      <c r="H7721">
        <v>100</v>
      </c>
      <c r="I7721">
        <v>0</v>
      </c>
      <c r="J7721">
        <v>13.99</v>
      </c>
      <c r="K7721">
        <v>0</v>
      </c>
    </row>
    <row r="7722" spans="1:11" x14ac:dyDescent="0.2">
      <c r="B7722">
        <v>5607186</v>
      </c>
      <c r="C7722" t="s">
        <v>10814</v>
      </c>
      <c r="D7722">
        <v>10</v>
      </c>
      <c r="E7722">
        <v>6</v>
      </c>
      <c r="F7722">
        <v>19</v>
      </c>
      <c r="G7722">
        <v>115</v>
      </c>
      <c r="H7722">
        <v>100</v>
      </c>
      <c r="I7722">
        <v>0.2</v>
      </c>
      <c r="J7722">
        <v>3.73</v>
      </c>
      <c r="K7722">
        <v>428.95</v>
      </c>
    </row>
    <row r="7723" spans="1:11" x14ac:dyDescent="0.2">
      <c r="A7723">
        <v>36756</v>
      </c>
      <c r="B7723">
        <v>5607187</v>
      </c>
      <c r="C7723" t="s">
        <v>10815</v>
      </c>
      <c r="D7723">
        <v>10</v>
      </c>
      <c r="E7723">
        <v>6</v>
      </c>
      <c r="F7723">
        <v>-7</v>
      </c>
      <c r="G7723">
        <v>-42</v>
      </c>
      <c r="H7723">
        <v>100</v>
      </c>
      <c r="I7723">
        <v>-0.1</v>
      </c>
      <c r="J7723">
        <v>4.38</v>
      </c>
      <c r="K7723">
        <v>-183.96</v>
      </c>
    </row>
    <row r="7724" spans="1:11" x14ac:dyDescent="0.2">
      <c r="A7724">
        <v>36757</v>
      </c>
      <c r="B7724">
        <v>5607188</v>
      </c>
      <c r="C7724" t="s">
        <v>10816</v>
      </c>
      <c r="D7724">
        <v>10</v>
      </c>
      <c r="E7724">
        <v>6</v>
      </c>
      <c r="F7724">
        <v>1</v>
      </c>
      <c r="G7724">
        <v>6</v>
      </c>
      <c r="H7724">
        <v>100</v>
      </c>
      <c r="I7724">
        <v>0</v>
      </c>
      <c r="J7724">
        <v>3.58</v>
      </c>
      <c r="K7724">
        <v>21.48</v>
      </c>
    </row>
    <row r="7725" spans="1:11" x14ac:dyDescent="0.2">
      <c r="B7725">
        <v>5607189</v>
      </c>
      <c r="C7725" t="s">
        <v>10817</v>
      </c>
      <c r="D7725">
        <v>10</v>
      </c>
      <c r="E7725">
        <v>6</v>
      </c>
      <c r="F7725">
        <v>0</v>
      </c>
      <c r="G7725">
        <v>0</v>
      </c>
      <c r="H7725">
        <v>100</v>
      </c>
      <c r="I7725">
        <v>0</v>
      </c>
      <c r="J7725">
        <v>3.69</v>
      </c>
      <c r="K7725">
        <v>0</v>
      </c>
    </row>
    <row r="7726" spans="1:11" x14ac:dyDescent="0.2">
      <c r="B7726">
        <v>5607190</v>
      </c>
      <c r="C7726" t="s">
        <v>10818</v>
      </c>
      <c r="D7726">
        <v>10</v>
      </c>
      <c r="E7726">
        <v>6</v>
      </c>
      <c r="F7726">
        <v>0</v>
      </c>
      <c r="G7726">
        <v>0</v>
      </c>
      <c r="H7726">
        <v>105</v>
      </c>
      <c r="I7726">
        <v>0</v>
      </c>
      <c r="J7726">
        <v>3.79</v>
      </c>
      <c r="K7726">
        <v>0</v>
      </c>
    </row>
    <row r="7727" spans="1:11" x14ac:dyDescent="0.2">
      <c r="B7727">
        <v>5607191</v>
      </c>
      <c r="C7727" t="s">
        <v>10819</v>
      </c>
      <c r="D7727">
        <v>10</v>
      </c>
      <c r="E7727">
        <v>6</v>
      </c>
      <c r="F7727">
        <v>0</v>
      </c>
      <c r="G7727">
        <v>0</v>
      </c>
      <c r="H7727">
        <v>105</v>
      </c>
      <c r="I7727">
        <v>0</v>
      </c>
      <c r="J7727">
        <v>6.99</v>
      </c>
      <c r="K7727">
        <v>0</v>
      </c>
    </row>
    <row r="7728" spans="1:11" x14ac:dyDescent="0.2">
      <c r="B7728">
        <v>5607193</v>
      </c>
      <c r="C7728" t="s">
        <v>10820</v>
      </c>
      <c r="D7728">
        <v>11</v>
      </c>
      <c r="E7728">
        <v>6</v>
      </c>
      <c r="F7728">
        <v>0</v>
      </c>
      <c r="G7728">
        <v>0</v>
      </c>
      <c r="H7728">
        <v>105</v>
      </c>
      <c r="I7728">
        <v>0</v>
      </c>
      <c r="J7728">
        <v>5.99</v>
      </c>
      <c r="K7728">
        <v>0</v>
      </c>
    </row>
    <row r="7729" spans="1:12" x14ac:dyDescent="0.2">
      <c r="A7729">
        <v>28522</v>
      </c>
      <c r="B7729">
        <v>5607195</v>
      </c>
      <c r="C7729" t="s">
        <v>10821</v>
      </c>
      <c r="D7729">
        <v>10</v>
      </c>
      <c r="E7729">
        <v>5</v>
      </c>
      <c r="F7729">
        <v>0</v>
      </c>
      <c r="G7729">
        <v>0</v>
      </c>
      <c r="H7729">
        <v>64</v>
      </c>
      <c r="I7729">
        <v>0</v>
      </c>
      <c r="J7729">
        <v>3.89</v>
      </c>
      <c r="K7729">
        <v>0</v>
      </c>
    </row>
    <row r="7730" spans="1:12" x14ac:dyDescent="0.2">
      <c r="A7730">
        <v>27515</v>
      </c>
      <c r="B7730">
        <v>5607196</v>
      </c>
      <c r="C7730" t="s">
        <v>10822</v>
      </c>
      <c r="D7730">
        <v>10</v>
      </c>
      <c r="E7730">
        <v>5</v>
      </c>
      <c r="F7730">
        <v>0</v>
      </c>
      <c r="G7730">
        <v>0</v>
      </c>
      <c r="H7730">
        <v>64</v>
      </c>
      <c r="I7730">
        <v>0</v>
      </c>
      <c r="J7730">
        <v>5.99</v>
      </c>
      <c r="K7730">
        <v>0</v>
      </c>
    </row>
    <row r="7731" spans="1:12" x14ac:dyDescent="0.2">
      <c r="A7731">
        <v>35532</v>
      </c>
      <c r="B7731">
        <v>5607197</v>
      </c>
      <c r="C7731" t="s">
        <v>10823</v>
      </c>
      <c r="D7731">
        <v>10</v>
      </c>
      <c r="E7731">
        <v>6</v>
      </c>
      <c r="F7731">
        <v>0</v>
      </c>
      <c r="G7731">
        <v>0</v>
      </c>
      <c r="H7731">
        <v>64</v>
      </c>
      <c r="I7731">
        <v>0</v>
      </c>
      <c r="J7731">
        <v>3.69</v>
      </c>
      <c r="K7731">
        <v>0</v>
      </c>
    </row>
    <row r="7732" spans="1:12" x14ac:dyDescent="0.2">
      <c r="B7732">
        <v>5607199</v>
      </c>
      <c r="C7732" t="s">
        <v>10824</v>
      </c>
      <c r="D7732">
        <v>11</v>
      </c>
      <c r="E7732">
        <v>6</v>
      </c>
      <c r="F7732">
        <v>2</v>
      </c>
      <c r="G7732">
        <v>12</v>
      </c>
      <c r="H7732">
        <v>105</v>
      </c>
      <c r="I7732">
        <v>0</v>
      </c>
      <c r="J7732">
        <v>6.99</v>
      </c>
      <c r="K7732">
        <v>83.88</v>
      </c>
    </row>
    <row r="7733" spans="1:12" x14ac:dyDescent="0.2">
      <c r="B7733">
        <v>5607200</v>
      </c>
      <c r="C7733" t="s">
        <v>10825</v>
      </c>
      <c r="D7733">
        <v>11</v>
      </c>
      <c r="E7733">
        <v>6</v>
      </c>
      <c r="F7733">
        <v>0</v>
      </c>
      <c r="G7733">
        <v>0</v>
      </c>
      <c r="H7733">
        <v>105</v>
      </c>
      <c r="I7733">
        <v>0</v>
      </c>
      <c r="J7733">
        <v>8.49</v>
      </c>
      <c r="K7733">
        <v>0</v>
      </c>
    </row>
    <row r="7734" spans="1:12" x14ac:dyDescent="0.2">
      <c r="B7734">
        <v>5607203</v>
      </c>
      <c r="C7734" t="s">
        <v>10826</v>
      </c>
      <c r="D7734">
        <v>10</v>
      </c>
      <c r="E7734">
        <v>6</v>
      </c>
      <c r="F7734">
        <v>0</v>
      </c>
      <c r="G7734">
        <v>0</v>
      </c>
      <c r="H7734">
        <v>105</v>
      </c>
      <c r="I7734">
        <v>0</v>
      </c>
      <c r="J7734">
        <v>4.6900000000000004</v>
      </c>
      <c r="K7734">
        <v>0</v>
      </c>
    </row>
    <row r="7735" spans="1:12" x14ac:dyDescent="0.2">
      <c r="B7735">
        <v>5607205</v>
      </c>
      <c r="C7735" t="s">
        <v>10827</v>
      </c>
      <c r="D7735">
        <v>11</v>
      </c>
      <c r="E7735">
        <v>6</v>
      </c>
      <c r="F7735">
        <v>0</v>
      </c>
      <c r="G7735">
        <v>0</v>
      </c>
      <c r="H7735">
        <v>100</v>
      </c>
      <c r="I7735">
        <v>0</v>
      </c>
      <c r="J7735">
        <v>9.9499999999999993</v>
      </c>
      <c r="K7735">
        <v>0</v>
      </c>
    </row>
    <row r="7736" spans="1:12" x14ac:dyDescent="0.2">
      <c r="B7736">
        <v>5607211</v>
      </c>
      <c r="C7736" t="s">
        <v>10828</v>
      </c>
      <c r="D7736">
        <v>11</v>
      </c>
      <c r="E7736">
        <v>6</v>
      </c>
      <c r="F7736">
        <v>1</v>
      </c>
      <c r="G7736">
        <v>6</v>
      </c>
      <c r="H7736">
        <v>100</v>
      </c>
      <c r="I7736">
        <v>0</v>
      </c>
      <c r="J7736">
        <v>10.99</v>
      </c>
      <c r="K7736">
        <v>65.94</v>
      </c>
    </row>
    <row r="7737" spans="1:12" x14ac:dyDescent="0.2">
      <c r="B7737">
        <v>5607213</v>
      </c>
      <c r="C7737" t="s">
        <v>10829</v>
      </c>
      <c r="D7737">
        <v>10</v>
      </c>
      <c r="E7737">
        <v>6</v>
      </c>
      <c r="F7737">
        <v>0</v>
      </c>
      <c r="G7737">
        <v>0</v>
      </c>
      <c r="H7737">
        <v>100</v>
      </c>
      <c r="I7737">
        <v>0</v>
      </c>
      <c r="J7737">
        <v>4.8899999999999997</v>
      </c>
      <c r="K7737">
        <v>0</v>
      </c>
    </row>
    <row r="7738" spans="1:12" x14ac:dyDescent="0.2">
      <c r="B7738">
        <v>5607221</v>
      </c>
      <c r="C7738" t="s">
        <v>10830</v>
      </c>
      <c r="D7738">
        <v>11</v>
      </c>
      <c r="E7738">
        <v>6</v>
      </c>
      <c r="F7738">
        <v>12</v>
      </c>
      <c r="G7738">
        <v>72</v>
      </c>
      <c r="H7738">
        <v>100</v>
      </c>
      <c r="I7738">
        <v>0.1</v>
      </c>
      <c r="J7738">
        <v>2.4900000000000002</v>
      </c>
      <c r="K7738">
        <v>179.28</v>
      </c>
    </row>
    <row r="7739" spans="1:12" x14ac:dyDescent="0.2">
      <c r="A7739">
        <v>29606</v>
      </c>
      <c r="B7739">
        <v>5607223</v>
      </c>
      <c r="C7739" t="s">
        <v>10831</v>
      </c>
      <c r="D7739">
        <v>12</v>
      </c>
      <c r="E7739">
        <v>6</v>
      </c>
      <c r="F7739">
        <v>0</v>
      </c>
      <c r="G7739">
        <v>0</v>
      </c>
      <c r="H7739">
        <v>100</v>
      </c>
      <c r="I7739">
        <v>0</v>
      </c>
      <c r="J7739">
        <v>1</v>
      </c>
      <c r="K7739">
        <v>0</v>
      </c>
      <c r="L7739" t="s">
        <v>3699</v>
      </c>
    </row>
    <row r="7740" spans="1:12" x14ac:dyDescent="0.2">
      <c r="A7740">
        <v>36655</v>
      </c>
      <c r="B7740">
        <v>5607225</v>
      </c>
      <c r="C7740" t="s">
        <v>10832</v>
      </c>
      <c r="D7740">
        <v>10</v>
      </c>
      <c r="E7740">
        <v>6</v>
      </c>
      <c r="F7740">
        <v>-16</v>
      </c>
      <c r="G7740">
        <v>-96</v>
      </c>
      <c r="H7740">
        <v>100</v>
      </c>
      <c r="I7740">
        <v>-0.2</v>
      </c>
      <c r="J7740">
        <v>3.58</v>
      </c>
      <c r="K7740">
        <v>-343.68</v>
      </c>
    </row>
    <row r="7741" spans="1:12" x14ac:dyDescent="0.2">
      <c r="B7741">
        <v>5607226</v>
      </c>
      <c r="C7741" t="s">
        <v>10833</v>
      </c>
      <c r="D7741">
        <v>11</v>
      </c>
      <c r="E7741">
        <v>6</v>
      </c>
      <c r="F7741">
        <v>5</v>
      </c>
      <c r="G7741">
        <v>30</v>
      </c>
      <c r="H7741">
        <v>100</v>
      </c>
      <c r="I7741">
        <v>0.1</v>
      </c>
      <c r="J7741">
        <v>3.28</v>
      </c>
      <c r="K7741">
        <v>98.4</v>
      </c>
    </row>
    <row r="7742" spans="1:12" x14ac:dyDescent="0.2">
      <c r="B7742">
        <v>5607228</v>
      </c>
      <c r="C7742" t="s">
        <v>10834</v>
      </c>
      <c r="D7742">
        <v>10</v>
      </c>
      <c r="E7742">
        <v>6</v>
      </c>
      <c r="F7742">
        <v>0</v>
      </c>
      <c r="G7742">
        <v>0</v>
      </c>
      <c r="H7742">
        <v>100</v>
      </c>
      <c r="I7742">
        <v>0</v>
      </c>
      <c r="J7742">
        <v>2.89</v>
      </c>
      <c r="K7742">
        <v>0</v>
      </c>
    </row>
    <row r="7743" spans="1:12" x14ac:dyDescent="0.2">
      <c r="B7743">
        <v>5607229</v>
      </c>
      <c r="C7743" t="s">
        <v>10835</v>
      </c>
      <c r="D7743">
        <v>11</v>
      </c>
      <c r="E7743">
        <v>6</v>
      </c>
      <c r="F7743">
        <v>-2</v>
      </c>
      <c r="G7743">
        <v>-12</v>
      </c>
      <c r="H7743">
        <v>100</v>
      </c>
      <c r="I7743">
        <v>0</v>
      </c>
      <c r="J7743">
        <v>2.99</v>
      </c>
      <c r="K7743">
        <v>-35.880000000000003</v>
      </c>
    </row>
    <row r="7744" spans="1:12" x14ac:dyDescent="0.2">
      <c r="B7744">
        <v>5607233</v>
      </c>
      <c r="C7744" t="s">
        <v>10836</v>
      </c>
      <c r="D7744">
        <v>11</v>
      </c>
      <c r="E7744">
        <v>6</v>
      </c>
      <c r="F7744">
        <v>17</v>
      </c>
      <c r="G7744">
        <v>102</v>
      </c>
      <c r="H7744">
        <v>100</v>
      </c>
      <c r="I7744">
        <v>0.2</v>
      </c>
      <c r="J7744">
        <v>4.93</v>
      </c>
      <c r="K7744">
        <v>502.86</v>
      </c>
    </row>
    <row r="7745" spans="1:11" x14ac:dyDescent="0.2">
      <c r="B7745">
        <v>5607238</v>
      </c>
      <c r="C7745" t="s">
        <v>10837</v>
      </c>
      <c r="D7745">
        <v>10</v>
      </c>
      <c r="E7745">
        <v>6</v>
      </c>
      <c r="F7745">
        <v>0</v>
      </c>
      <c r="G7745">
        <v>0</v>
      </c>
      <c r="H7745">
        <v>100</v>
      </c>
      <c r="I7745">
        <v>0</v>
      </c>
      <c r="J7745">
        <v>5</v>
      </c>
      <c r="K7745">
        <v>0</v>
      </c>
    </row>
    <row r="7746" spans="1:11" x14ac:dyDescent="0.2">
      <c r="B7746">
        <v>5607239</v>
      </c>
      <c r="C7746" t="s">
        <v>10838</v>
      </c>
      <c r="D7746">
        <v>11</v>
      </c>
      <c r="E7746">
        <v>6</v>
      </c>
      <c r="F7746">
        <v>5</v>
      </c>
      <c r="G7746">
        <v>30</v>
      </c>
      <c r="H7746">
        <v>100</v>
      </c>
      <c r="I7746">
        <v>0.1</v>
      </c>
      <c r="J7746">
        <v>4.99</v>
      </c>
      <c r="K7746">
        <v>149.69999999999999</v>
      </c>
    </row>
    <row r="7747" spans="1:11" x14ac:dyDescent="0.2">
      <c r="B7747">
        <v>5607242</v>
      </c>
      <c r="C7747" t="s">
        <v>10839</v>
      </c>
      <c r="D7747">
        <v>10</v>
      </c>
      <c r="E7747">
        <v>6</v>
      </c>
      <c r="F7747">
        <v>0</v>
      </c>
      <c r="G7747">
        <v>0</v>
      </c>
      <c r="H7747">
        <v>105</v>
      </c>
      <c r="I7747">
        <v>0</v>
      </c>
      <c r="J7747">
        <v>3.99</v>
      </c>
      <c r="K7747">
        <v>0</v>
      </c>
    </row>
    <row r="7748" spans="1:11" x14ac:dyDescent="0.2">
      <c r="A7748">
        <v>61160</v>
      </c>
      <c r="B7748">
        <v>5607244</v>
      </c>
      <c r="C7748" t="s">
        <v>10840</v>
      </c>
      <c r="D7748">
        <v>8</v>
      </c>
      <c r="E7748">
        <v>6</v>
      </c>
      <c r="F7748">
        <v>331</v>
      </c>
      <c r="G7748">
        <v>1986</v>
      </c>
      <c r="H7748">
        <v>105</v>
      </c>
      <c r="I7748">
        <v>3.2</v>
      </c>
      <c r="J7748">
        <v>7.49</v>
      </c>
      <c r="K7748">
        <v>14875.14</v>
      </c>
    </row>
    <row r="7749" spans="1:11" x14ac:dyDescent="0.2">
      <c r="B7749">
        <v>5607249</v>
      </c>
      <c r="C7749" t="s">
        <v>10841</v>
      </c>
      <c r="D7749">
        <v>11</v>
      </c>
      <c r="E7749">
        <v>6</v>
      </c>
      <c r="F7749">
        <v>1</v>
      </c>
      <c r="G7749">
        <v>6</v>
      </c>
      <c r="H7749">
        <v>100</v>
      </c>
      <c r="I7749">
        <v>0</v>
      </c>
      <c r="J7749">
        <v>3.99</v>
      </c>
      <c r="K7749">
        <v>23.94</v>
      </c>
    </row>
    <row r="7750" spans="1:11" x14ac:dyDescent="0.2">
      <c r="B7750">
        <v>5607253</v>
      </c>
      <c r="C7750" t="s">
        <v>10842</v>
      </c>
      <c r="D7750">
        <v>11</v>
      </c>
      <c r="E7750">
        <v>6</v>
      </c>
      <c r="F7750">
        <v>10</v>
      </c>
      <c r="G7750">
        <v>60</v>
      </c>
      <c r="H7750">
        <v>100</v>
      </c>
      <c r="I7750">
        <v>0.1</v>
      </c>
      <c r="J7750">
        <v>3.49</v>
      </c>
      <c r="K7750">
        <v>209.4</v>
      </c>
    </row>
    <row r="7751" spans="1:11" x14ac:dyDescent="0.2">
      <c r="B7751">
        <v>5607262</v>
      </c>
      <c r="C7751" t="s">
        <v>10843</v>
      </c>
      <c r="D7751">
        <v>11</v>
      </c>
      <c r="E7751">
        <v>6</v>
      </c>
      <c r="F7751">
        <v>0</v>
      </c>
      <c r="G7751">
        <v>0</v>
      </c>
      <c r="H7751">
        <v>100</v>
      </c>
      <c r="I7751">
        <v>0</v>
      </c>
      <c r="J7751">
        <v>5.49</v>
      </c>
      <c r="K7751">
        <v>0</v>
      </c>
    </row>
    <row r="7752" spans="1:11" x14ac:dyDescent="0.2">
      <c r="B7752">
        <v>5607263</v>
      </c>
      <c r="C7752" t="s">
        <v>10844</v>
      </c>
      <c r="D7752">
        <v>11</v>
      </c>
      <c r="E7752">
        <v>6</v>
      </c>
      <c r="F7752">
        <v>7</v>
      </c>
      <c r="G7752">
        <v>42</v>
      </c>
      <c r="H7752">
        <v>100</v>
      </c>
      <c r="I7752">
        <v>0.1</v>
      </c>
      <c r="J7752">
        <v>7.49</v>
      </c>
      <c r="K7752">
        <v>314.58</v>
      </c>
    </row>
    <row r="7753" spans="1:11" x14ac:dyDescent="0.2">
      <c r="B7753">
        <v>5607264</v>
      </c>
      <c r="C7753" t="s">
        <v>10845</v>
      </c>
      <c r="D7753">
        <v>10</v>
      </c>
      <c r="E7753">
        <v>6</v>
      </c>
      <c r="F7753">
        <v>0</v>
      </c>
      <c r="G7753">
        <v>0</v>
      </c>
      <c r="H7753">
        <v>100</v>
      </c>
      <c r="I7753">
        <v>0</v>
      </c>
      <c r="J7753">
        <v>7.99</v>
      </c>
      <c r="K7753">
        <v>0</v>
      </c>
    </row>
    <row r="7754" spans="1:11" x14ac:dyDescent="0.2">
      <c r="B7754">
        <v>5607266</v>
      </c>
      <c r="C7754" t="s">
        <v>10846</v>
      </c>
      <c r="D7754">
        <v>11</v>
      </c>
      <c r="E7754">
        <v>6</v>
      </c>
      <c r="F7754">
        <v>0</v>
      </c>
      <c r="G7754">
        <v>0</v>
      </c>
      <c r="H7754">
        <v>100</v>
      </c>
      <c r="I7754">
        <v>0</v>
      </c>
      <c r="J7754">
        <v>9.99</v>
      </c>
      <c r="K7754">
        <v>0</v>
      </c>
    </row>
    <row r="7755" spans="1:11" x14ac:dyDescent="0.2">
      <c r="B7755">
        <v>5607271</v>
      </c>
      <c r="C7755" t="s">
        <v>10847</v>
      </c>
      <c r="D7755">
        <v>10</v>
      </c>
      <c r="E7755">
        <v>6</v>
      </c>
      <c r="F7755">
        <v>0</v>
      </c>
      <c r="G7755">
        <v>0</v>
      </c>
      <c r="H7755">
        <v>100</v>
      </c>
      <c r="I7755">
        <v>0</v>
      </c>
      <c r="J7755">
        <v>3.29</v>
      </c>
      <c r="K7755">
        <v>0</v>
      </c>
    </row>
    <row r="7756" spans="1:11" x14ac:dyDescent="0.2">
      <c r="B7756">
        <v>5607291</v>
      </c>
      <c r="C7756" t="s">
        <v>10848</v>
      </c>
      <c r="D7756">
        <v>10</v>
      </c>
      <c r="E7756">
        <v>6</v>
      </c>
      <c r="F7756">
        <v>0</v>
      </c>
      <c r="G7756">
        <v>0</v>
      </c>
      <c r="H7756">
        <v>95</v>
      </c>
      <c r="I7756">
        <v>0</v>
      </c>
      <c r="J7756">
        <v>11.99</v>
      </c>
      <c r="K7756">
        <v>0</v>
      </c>
    </row>
    <row r="7757" spans="1:11" x14ac:dyDescent="0.2">
      <c r="B7757">
        <v>5607292</v>
      </c>
      <c r="C7757" t="s">
        <v>10849</v>
      </c>
      <c r="D7757">
        <v>11</v>
      </c>
      <c r="E7757">
        <v>6</v>
      </c>
      <c r="F7757">
        <v>2</v>
      </c>
      <c r="G7757">
        <v>12</v>
      </c>
      <c r="H7757">
        <v>100</v>
      </c>
      <c r="I7757">
        <v>0</v>
      </c>
      <c r="J7757">
        <v>6.49</v>
      </c>
      <c r="K7757">
        <v>77.88</v>
      </c>
    </row>
    <row r="7758" spans="1:11" x14ac:dyDescent="0.2">
      <c r="B7758">
        <v>5607294</v>
      </c>
      <c r="C7758" t="s">
        <v>10850</v>
      </c>
      <c r="D7758">
        <v>10</v>
      </c>
      <c r="E7758">
        <v>6</v>
      </c>
      <c r="F7758">
        <v>0</v>
      </c>
      <c r="G7758">
        <v>0</v>
      </c>
      <c r="H7758">
        <v>100</v>
      </c>
      <c r="I7758">
        <v>0</v>
      </c>
      <c r="J7758">
        <v>8.99</v>
      </c>
      <c r="K7758">
        <v>0</v>
      </c>
    </row>
    <row r="7759" spans="1:11" x14ac:dyDescent="0.2">
      <c r="B7759">
        <v>5607297</v>
      </c>
      <c r="C7759" t="s">
        <v>10851</v>
      </c>
      <c r="D7759">
        <v>10</v>
      </c>
      <c r="E7759">
        <v>6</v>
      </c>
      <c r="F7759">
        <v>0</v>
      </c>
      <c r="G7759">
        <v>0</v>
      </c>
      <c r="H7759">
        <v>105</v>
      </c>
      <c r="I7759">
        <v>0</v>
      </c>
      <c r="J7759">
        <v>4.99</v>
      </c>
      <c r="K7759">
        <v>0</v>
      </c>
    </row>
    <row r="7760" spans="1:11" x14ac:dyDescent="0.2">
      <c r="A7760">
        <v>36645</v>
      </c>
      <c r="B7760">
        <v>5607299</v>
      </c>
      <c r="C7760" t="s">
        <v>10852</v>
      </c>
      <c r="D7760">
        <v>6</v>
      </c>
      <c r="E7760">
        <v>6</v>
      </c>
      <c r="F7760">
        <v>0</v>
      </c>
      <c r="G7760">
        <v>0</v>
      </c>
      <c r="H7760">
        <v>96</v>
      </c>
      <c r="I7760">
        <v>0</v>
      </c>
      <c r="J7760">
        <v>7.99</v>
      </c>
      <c r="K7760">
        <v>0</v>
      </c>
    </row>
    <row r="7761" spans="2:11" x14ac:dyDescent="0.2">
      <c r="B7761">
        <v>5607301</v>
      </c>
      <c r="C7761" t="s">
        <v>10853</v>
      </c>
      <c r="D7761">
        <v>10</v>
      </c>
      <c r="E7761">
        <v>6</v>
      </c>
      <c r="F7761">
        <v>0</v>
      </c>
      <c r="G7761">
        <v>0</v>
      </c>
      <c r="H7761">
        <v>95</v>
      </c>
      <c r="I7761">
        <v>0</v>
      </c>
      <c r="J7761">
        <v>5.99</v>
      </c>
      <c r="K7761">
        <v>0</v>
      </c>
    </row>
    <row r="7762" spans="2:11" x14ac:dyDescent="0.2">
      <c r="B7762">
        <v>5607302</v>
      </c>
      <c r="C7762" t="s">
        <v>10854</v>
      </c>
      <c r="D7762">
        <v>11</v>
      </c>
      <c r="E7762">
        <v>6</v>
      </c>
      <c r="F7762">
        <v>0</v>
      </c>
      <c r="G7762">
        <v>0</v>
      </c>
      <c r="H7762">
        <v>95</v>
      </c>
      <c r="I7762">
        <v>0</v>
      </c>
      <c r="J7762">
        <v>5.99</v>
      </c>
      <c r="K7762">
        <v>0</v>
      </c>
    </row>
    <row r="7763" spans="2:11" x14ac:dyDescent="0.2">
      <c r="B7763">
        <v>5607304</v>
      </c>
      <c r="C7763" t="s">
        <v>10855</v>
      </c>
      <c r="D7763">
        <v>11</v>
      </c>
      <c r="E7763">
        <v>6</v>
      </c>
      <c r="F7763">
        <v>0</v>
      </c>
      <c r="G7763">
        <v>0</v>
      </c>
      <c r="H7763">
        <v>105</v>
      </c>
      <c r="I7763">
        <v>0</v>
      </c>
      <c r="J7763">
        <v>7.49</v>
      </c>
      <c r="K7763">
        <v>0</v>
      </c>
    </row>
    <row r="7764" spans="2:11" x14ac:dyDescent="0.2">
      <c r="B7764">
        <v>5607306</v>
      </c>
      <c r="C7764" t="s">
        <v>10856</v>
      </c>
      <c r="D7764">
        <v>10</v>
      </c>
      <c r="E7764">
        <v>6</v>
      </c>
      <c r="F7764">
        <v>0</v>
      </c>
      <c r="G7764">
        <v>0</v>
      </c>
      <c r="H7764">
        <v>105</v>
      </c>
      <c r="I7764">
        <v>0</v>
      </c>
      <c r="J7764">
        <v>6.99</v>
      </c>
      <c r="K7764">
        <v>0</v>
      </c>
    </row>
    <row r="7765" spans="2:11" x14ac:dyDescent="0.2">
      <c r="B7765">
        <v>5607308</v>
      </c>
      <c r="C7765" t="s">
        <v>10857</v>
      </c>
      <c r="D7765">
        <v>11</v>
      </c>
      <c r="E7765">
        <v>6</v>
      </c>
      <c r="F7765">
        <v>1</v>
      </c>
      <c r="G7765">
        <v>6</v>
      </c>
      <c r="H7765">
        <v>100</v>
      </c>
      <c r="I7765">
        <v>0</v>
      </c>
      <c r="J7765">
        <v>4.49</v>
      </c>
      <c r="K7765">
        <v>26.94</v>
      </c>
    </row>
    <row r="7766" spans="2:11" x14ac:dyDescent="0.2">
      <c r="B7766">
        <v>5607309</v>
      </c>
      <c r="C7766" t="s">
        <v>10858</v>
      </c>
      <c r="D7766">
        <v>10</v>
      </c>
      <c r="E7766">
        <v>6</v>
      </c>
      <c r="F7766">
        <v>0</v>
      </c>
      <c r="G7766">
        <v>0</v>
      </c>
      <c r="H7766">
        <v>100</v>
      </c>
      <c r="I7766">
        <v>0</v>
      </c>
      <c r="J7766">
        <v>5.99</v>
      </c>
      <c r="K7766">
        <v>0</v>
      </c>
    </row>
    <row r="7767" spans="2:11" x14ac:dyDescent="0.2">
      <c r="B7767">
        <v>5607310</v>
      </c>
      <c r="C7767" t="s">
        <v>10859</v>
      </c>
      <c r="D7767">
        <v>11</v>
      </c>
      <c r="E7767">
        <v>6</v>
      </c>
      <c r="F7767">
        <v>0</v>
      </c>
      <c r="G7767">
        <v>0</v>
      </c>
      <c r="H7767">
        <v>100</v>
      </c>
      <c r="I7767">
        <v>0</v>
      </c>
      <c r="J7767">
        <v>15.99</v>
      </c>
      <c r="K7767">
        <v>0</v>
      </c>
    </row>
    <row r="7768" spans="2:11" x14ac:dyDescent="0.2">
      <c r="B7768">
        <v>5607312</v>
      </c>
      <c r="C7768" t="s">
        <v>10860</v>
      </c>
      <c r="D7768">
        <v>11</v>
      </c>
      <c r="E7768">
        <v>6</v>
      </c>
      <c r="F7768">
        <v>1</v>
      </c>
      <c r="G7768">
        <v>6</v>
      </c>
      <c r="H7768">
        <v>100</v>
      </c>
      <c r="I7768">
        <v>0</v>
      </c>
      <c r="J7768">
        <v>8.99</v>
      </c>
      <c r="K7768">
        <v>53.94</v>
      </c>
    </row>
    <row r="7769" spans="2:11" x14ac:dyDescent="0.2">
      <c r="B7769">
        <v>5607314</v>
      </c>
      <c r="C7769" t="s">
        <v>10861</v>
      </c>
      <c r="D7769">
        <v>11</v>
      </c>
      <c r="E7769">
        <v>6</v>
      </c>
      <c r="F7769">
        <v>4</v>
      </c>
      <c r="G7769">
        <v>24</v>
      </c>
      <c r="H7769">
        <v>105</v>
      </c>
      <c r="I7769">
        <v>0</v>
      </c>
      <c r="J7769">
        <v>3.39</v>
      </c>
      <c r="K7769">
        <v>81.36</v>
      </c>
    </row>
    <row r="7770" spans="2:11" x14ac:dyDescent="0.2">
      <c r="B7770">
        <v>5607317</v>
      </c>
      <c r="C7770" t="s">
        <v>10862</v>
      </c>
      <c r="D7770">
        <v>11</v>
      </c>
      <c r="E7770">
        <v>6</v>
      </c>
      <c r="F7770">
        <v>-6</v>
      </c>
      <c r="G7770">
        <v>-36</v>
      </c>
      <c r="H7770">
        <v>100</v>
      </c>
      <c r="I7770">
        <v>-0.1</v>
      </c>
      <c r="J7770">
        <v>4.59</v>
      </c>
      <c r="K7770">
        <v>-165.24</v>
      </c>
    </row>
    <row r="7771" spans="2:11" x14ac:dyDescent="0.2">
      <c r="B7771">
        <v>5607318</v>
      </c>
      <c r="C7771" t="s">
        <v>10863</v>
      </c>
      <c r="D7771">
        <v>10</v>
      </c>
      <c r="E7771">
        <v>6</v>
      </c>
      <c r="F7771">
        <v>0</v>
      </c>
      <c r="G7771">
        <v>0</v>
      </c>
      <c r="H7771">
        <v>100</v>
      </c>
      <c r="I7771">
        <v>0</v>
      </c>
      <c r="J7771">
        <v>9.99</v>
      </c>
      <c r="K7771">
        <v>0</v>
      </c>
    </row>
    <row r="7772" spans="2:11" x14ac:dyDescent="0.2">
      <c r="B7772">
        <v>5607319</v>
      </c>
      <c r="C7772" t="s">
        <v>10864</v>
      </c>
      <c r="D7772">
        <v>11</v>
      </c>
      <c r="E7772">
        <v>6</v>
      </c>
      <c r="F7772">
        <v>5</v>
      </c>
      <c r="G7772">
        <v>30</v>
      </c>
      <c r="H7772">
        <v>105</v>
      </c>
      <c r="I7772">
        <v>0</v>
      </c>
      <c r="J7772">
        <v>3.49</v>
      </c>
      <c r="K7772">
        <v>104.7</v>
      </c>
    </row>
    <row r="7773" spans="2:11" x14ac:dyDescent="0.2">
      <c r="B7773">
        <v>5607320</v>
      </c>
      <c r="C7773" t="s">
        <v>10865</v>
      </c>
      <c r="D7773">
        <v>10</v>
      </c>
      <c r="E7773">
        <v>6</v>
      </c>
      <c r="F7773">
        <v>0</v>
      </c>
      <c r="G7773">
        <v>0</v>
      </c>
      <c r="H7773">
        <v>100</v>
      </c>
      <c r="I7773">
        <v>0</v>
      </c>
      <c r="J7773">
        <v>14.99</v>
      </c>
      <c r="K7773">
        <v>0</v>
      </c>
    </row>
    <row r="7774" spans="2:11" x14ac:dyDescent="0.2">
      <c r="B7774">
        <v>5607321</v>
      </c>
      <c r="C7774" t="s">
        <v>10866</v>
      </c>
      <c r="D7774">
        <v>10</v>
      </c>
      <c r="E7774">
        <v>6</v>
      </c>
      <c r="F7774">
        <v>0</v>
      </c>
      <c r="G7774">
        <v>0</v>
      </c>
      <c r="H7774">
        <v>100</v>
      </c>
      <c r="I7774">
        <v>0</v>
      </c>
      <c r="J7774">
        <v>8.7899999999999991</v>
      </c>
      <c r="K7774">
        <v>0</v>
      </c>
    </row>
    <row r="7775" spans="2:11" x14ac:dyDescent="0.2">
      <c r="B7775">
        <v>5607324</v>
      </c>
      <c r="C7775" t="s">
        <v>10867</v>
      </c>
      <c r="D7775">
        <v>10</v>
      </c>
      <c r="E7775">
        <v>6</v>
      </c>
      <c r="F7775">
        <v>0</v>
      </c>
      <c r="G7775">
        <v>0</v>
      </c>
      <c r="H7775">
        <v>105</v>
      </c>
      <c r="I7775">
        <v>0</v>
      </c>
      <c r="J7775">
        <v>3.49</v>
      </c>
      <c r="K7775">
        <v>0</v>
      </c>
    </row>
    <row r="7776" spans="2:11" x14ac:dyDescent="0.2">
      <c r="B7776">
        <v>5607325</v>
      </c>
      <c r="C7776" t="s">
        <v>10868</v>
      </c>
      <c r="D7776">
        <v>11</v>
      </c>
      <c r="E7776">
        <v>1</v>
      </c>
      <c r="F7776">
        <v>0</v>
      </c>
      <c r="G7776">
        <v>0</v>
      </c>
      <c r="H7776">
        <v>576</v>
      </c>
      <c r="I7776">
        <v>0</v>
      </c>
      <c r="J7776">
        <v>4.49</v>
      </c>
      <c r="K7776">
        <v>0</v>
      </c>
    </row>
    <row r="7777" spans="1:11" x14ac:dyDescent="0.2">
      <c r="B7777">
        <v>5607326</v>
      </c>
      <c r="C7777" t="s">
        <v>10869</v>
      </c>
      <c r="D7777">
        <v>11</v>
      </c>
      <c r="E7777">
        <v>1</v>
      </c>
      <c r="F7777">
        <v>0</v>
      </c>
      <c r="G7777">
        <v>0</v>
      </c>
      <c r="H7777">
        <v>576</v>
      </c>
      <c r="I7777">
        <v>0</v>
      </c>
      <c r="J7777">
        <v>4.49</v>
      </c>
      <c r="K7777">
        <v>0</v>
      </c>
    </row>
    <row r="7778" spans="1:11" x14ac:dyDescent="0.2">
      <c r="B7778">
        <v>5607327</v>
      </c>
      <c r="C7778" t="s">
        <v>10870</v>
      </c>
      <c r="D7778">
        <v>10</v>
      </c>
      <c r="E7778">
        <v>6</v>
      </c>
      <c r="F7778">
        <v>0</v>
      </c>
      <c r="G7778">
        <v>0</v>
      </c>
      <c r="H7778">
        <v>105</v>
      </c>
      <c r="I7778">
        <v>0</v>
      </c>
      <c r="J7778">
        <v>10.99</v>
      </c>
      <c r="K7778">
        <v>0</v>
      </c>
    </row>
    <row r="7779" spans="1:11" x14ac:dyDescent="0.2">
      <c r="A7779">
        <v>72237</v>
      </c>
      <c r="B7779">
        <v>5607328</v>
      </c>
      <c r="C7779" t="s">
        <v>10871</v>
      </c>
      <c r="D7779">
        <v>8</v>
      </c>
      <c r="E7779">
        <v>6</v>
      </c>
      <c r="F7779">
        <v>435</v>
      </c>
      <c r="G7779">
        <v>2610</v>
      </c>
      <c r="H7779">
        <v>128</v>
      </c>
      <c r="I7779">
        <v>3.4</v>
      </c>
      <c r="J7779">
        <v>2.39</v>
      </c>
      <c r="K7779">
        <v>6237.9</v>
      </c>
    </row>
    <row r="7780" spans="1:11" x14ac:dyDescent="0.2">
      <c r="A7780">
        <v>30638</v>
      </c>
      <c r="B7780">
        <v>5607329</v>
      </c>
      <c r="C7780" t="s">
        <v>10872</v>
      </c>
      <c r="D7780">
        <v>10</v>
      </c>
      <c r="E7780">
        <v>6</v>
      </c>
      <c r="F7780">
        <v>0</v>
      </c>
      <c r="G7780">
        <v>0</v>
      </c>
      <c r="H7780">
        <v>128</v>
      </c>
      <c r="I7780">
        <v>0</v>
      </c>
      <c r="J7780">
        <v>2.89</v>
      </c>
      <c r="K7780">
        <v>0</v>
      </c>
    </row>
    <row r="7781" spans="1:11" x14ac:dyDescent="0.2">
      <c r="B7781">
        <v>5607330</v>
      </c>
      <c r="C7781" t="s">
        <v>10873</v>
      </c>
      <c r="D7781">
        <v>11</v>
      </c>
      <c r="E7781">
        <v>1</v>
      </c>
      <c r="F7781">
        <v>0</v>
      </c>
      <c r="G7781">
        <v>0</v>
      </c>
      <c r="H7781">
        <v>880</v>
      </c>
      <c r="I7781">
        <v>0</v>
      </c>
      <c r="J7781">
        <v>2.99</v>
      </c>
      <c r="K7781">
        <v>0</v>
      </c>
    </row>
    <row r="7782" spans="1:11" x14ac:dyDescent="0.2">
      <c r="B7782">
        <v>5607347</v>
      </c>
      <c r="C7782" t="s">
        <v>10874</v>
      </c>
      <c r="D7782">
        <v>10</v>
      </c>
      <c r="E7782">
        <v>6</v>
      </c>
      <c r="F7782">
        <v>0</v>
      </c>
      <c r="G7782">
        <v>0</v>
      </c>
      <c r="H7782">
        <v>100</v>
      </c>
      <c r="I7782">
        <v>0</v>
      </c>
      <c r="J7782">
        <v>3.29</v>
      </c>
      <c r="K7782">
        <v>0</v>
      </c>
    </row>
    <row r="7783" spans="1:11" x14ac:dyDescent="0.2">
      <c r="B7783">
        <v>5607348</v>
      </c>
      <c r="C7783" t="s">
        <v>10875</v>
      </c>
      <c r="D7783">
        <v>11</v>
      </c>
      <c r="E7783">
        <v>6</v>
      </c>
      <c r="F7783">
        <v>10</v>
      </c>
      <c r="G7783">
        <v>60</v>
      </c>
      <c r="H7783">
        <v>100</v>
      </c>
      <c r="I7783">
        <v>0.1</v>
      </c>
      <c r="J7783">
        <v>5.99</v>
      </c>
      <c r="K7783">
        <v>359.4</v>
      </c>
    </row>
    <row r="7784" spans="1:11" x14ac:dyDescent="0.2">
      <c r="A7784">
        <v>37522</v>
      </c>
      <c r="B7784">
        <v>5607349</v>
      </c>
      <c r="C7784" t="s">
        <v>10876</v>
      </c>
      <c r="D7784">
        <v>10</v>
      </c>
      <c r="E7784">
        <v>6</v>
      </c>
      <c r="F7784">
        <v>0</v>
      </c>
      <c r="G7784">
        <v>0</v>
      </c>
      <c r="H7784">
        <v>80</v>
      </c>
      <c r="I7784">
        <v>0</v>
      </c>
      <c r="J7784">
        <v>1.79</v>
      </c>
      <c r="K7784">
        <v>0</v>
      </c>
    </row>
    <row r="7785" spans="1:11" x14ac:dyDescent="0.2">
      <c r="A7785">
        <v>37523</v>
      </c>
      <c r="B7785">
        <v>5607350</v>
      </c>
      <c r="C7785" t="s">
        <v>10877</v>
      </c>
      <c r="D7785">
        <v>10</v>
      </c>
      <c r="E7785">
        <v>6</v>
      </c>
      <c r="F7785">
        <v>0</v>
      </c>
      <c r="G7785">
        <v>0</v>
      </c>
      <c r="H7785">
        <v>80</v>
      </c>
      <c r="I7785">
        <v>0</v>
      </c>
      <c r="J7785">
        <v>1.79</v>
      </c>
      <c r="K7785">
        <v>0</v>
      </c>
    </row>
    <row r="7786" spans="1:11" x14ac:dyDescent="0.2">
      <c r="A7786">
        <v>37524</v>
      </c>
      <c r="B7786">
        <v>5607351</v>
      </c>
      <c r="C7786" t="s">
        <v>10878</v>
      </c>
      <c r="D7786">
        <v>10</v>
      </c>
      <c r="E7786">
        <v>6</v>
      </c>
      <c r="F7786">
        <v>0</v>
      </c>
      <c r="G7786">
        <v>0</v>
      </c>
      <c r="H7786">
        <v>80</v>
      </c>
      <c r="I7786">
        <v>0</v>
      </c>
      <c r="J7786">
        <v>1.79</v>
      </c>
      <c r="K7786">
        <v>0</v>
      </c>
    </row>
    <row r="7787" spans="1:11" x14ac:dyDescent="0.2">
      <c r="A7787">
        <v>57267</v>
      </c>
      <c r="B7787">
        <v>5607352</v>
      </c>
      <c r="C7787" t="s">
        <v>10879</v>
      </c>
      <c r="D7787">
        <v>10</v>
      </c>
      <c r="E7787">
        <v>6</v>
      </c>
      <c r="F7787">
        <v>0</v>
      </c>
      <c r="G7787">
        <v>0</v>
      </c>
      <c r="H7787">
        <v>168</v>
      </c>
      <c r="I7787">
        <v>0</v>
      </c>
      <c r="J7787">
        <v>3.19</v>
      </c>
      <c r="K7787">
        <v>0</v>
      </c>
    </row>
    <row r="7788" spans="1:11" x14ac:dyDescent="0.2">
      <c r="A7788">
        <v>32517</v>
      </c>
      <c r="B7788">
        <v>5607353</v>
      </c>
      <c r="C7788" t="s">
        <v>10880</v>
      </c>
      <c r="D7788">
        <v>10</v>
      </c>
      <c r="E7788">
        <v>8</v>
      </c>
      <c r="F7788">
        <v>0</v>
      </c>
      <c r="G7788">
        <v>0</v>
      </c>
      <c r="H7788">
        <v>80</v>
      </c>
      <c r="I7788">
        <v>0</v>
      </c>
      <c r="J7788">
        <v>3.99</v>
      </c>
      <c r="K7788">
        <v>0</v>
      </c>
    </row>
    <row r="7789" spans="1:11" x14ac:dyDescent="0.2">
      <c r="A7789">
        <v>29536</v>
      </c>
      <c r="B7789">
        <v>5607354</v>
      </c>
      <c r="C7789" t="s">
        <v>10881</v>
      </c>
      <c r="D7789">
        <v>10</v>
      </c>
      <c r="E7789">
        <v>8</v>
      </c>
      <c r="F7789">
        <v>0</v>
      </c>
      <c r="G7789">
        <v>0</v>
      </c>
      <c r="H7789">
        <v>80</v>
      </c>
      <c r="I7789">
        <v>0</v>
      </c>
      <c r="J7789">
        <v>2.99</v>
      </c>
      <c r="K7789">
        <v>0</v>
      </c>
    </row>
    <row r="7790" spans="1:11" x14ac:dyDescent="0.2">
      <c r="A7790">
        <v>28525</v>
      </c>
      <c r="B7790">
        <v>5607355</v>
      </c>
      <c r="C7790" t="s">
        <v>10882</v>
      </c>
      <c r="D7790">
        <v>10</v>
      </c>
      <c r="E7790">
        <v>8</v>
      </c>
      <c r="F7790">
        <v>0</v>
      </c>
      <c r="G7790">
        <v>0</v>
      </c>
      <c r="H7790">
        <v>80</v>
      </c>
      <c r="I7790">
        <v>0</v>
      </c>
      <c r="J7790">
        <v>2.99</v>
      </c>
      <c r="K7790">
        <v>0</v>
      </c>
    </row>
    <row r="7791" spans="1:11" x14ac:dyDescent="0.2">
      <c r="A7791">
        <v>38627</v>
      </c>
      <c r="B7791">
        <v>5607357</v>
      </c>
      <c r="C7791" t="s">
        <v>10883</v>
      </c>
      <c r="D7791">
        <v>10</v>
      </c>
      <c r="E7791">
        <v>6</v>
      </c>
      <c r="F7791">
        <v>0</v>
      </c>
      <c r="G7791">
        <v>0</v>
      </c>
      <c r="H7791">
        <v>105</v>
      </c>
      <c r="I7791">
        <v>0</v>
      </c>
      <c r="J7791">
        <v>2</v>
      </c>
      <c r="K7791">
        <v>0</v>
      </c>
    </row>
    <row r="7792" spans="1:11" x14ac:dyDescent="0.2">
      <c r="A7792">
        <v>38628</v>
      </c>
      <c r="B7792">
        <v>5607358</v>
      </c>
      <c r="C7792" t="s">
        <v>10884</v>
      </c>
      <c r="D7792">
        <v>10</v>
      </c>
      <c r="E7792">
        <v>6</v>
      </c>
      <c r="F7792">
        <v>6</v>
      </c>
      <c r="G7792">
        <v>36</v>
      </c>
      <c r="H7792">
        <v>105</v>
      </c>
      <c r="I7792">
        <v>0.1</v>
      </c>
      <c r="J7792">
        <v>2</v>
      </c>
      <c r="K7792">
        <v>72</v>
      </c>
    </row>
    <row r="7793" spans="1:11" x14ac:dyDescent="0.2">
      <c r="A7793">
        <v>38629</v>
      </c>
      <c r="B7793">
        <v>5607359</v>
      </c>
      <c r="C7793" t="s">
        <v>10885</v>
      </c>
      <c r="D7793">
        <v>10</v>
      </c>
      <c r="E7793">
        <v>6</v>
      </c>
      <c r="F7793">
        <v>0</v>
      </c>
      <c r="G7793">
        <v>0</v>
      </c>
      <c r="H7793">
        <v>105</v>
      </c>
      <c r="I7793">
        <v>0</v>
      </c>
      <c r="J7793">
        <v>2</v>
      </c>
      <c r="K7793">
        <v>0</v>
      </c>
    </row>
    <row r="7794" spans="1:11" x14ac:dyDescent="0.2">
      <c r="A7794">
        <v>38630</v>
      </c>
      <c r="B7794">
        <v>5607360</v>
      </c>
      <c r="C7794" t="s">
        <v>10886</v>
      </c>
      <c r="D7794">
        <v>10</v>
      </c>
      <c r="E7794">
        <v>6</v>
      </c>
      <c r="F7794">
        <v>0</v>
      </c>
      <c r="G7794">
        <v>0</v>
      </c>
      <c r="H7794">
        <v>105</v>
      </c>
      <c r="I7794">
        <v>0</v>
      </c>
      <c r="J7794">
        <v>2</v>
      </c>
      <c r="K7794">
        <v>0</v>
      </c>
    </row>
    <row r="7795" spans="1:11" x14ac:dyDescent="0.2">
      <c r="A7795">
        <v>27530</v>
      </c>
      <c r="B7795">
        <v>5607361</v>
      </c>
      <c r="C7795" t="s">
        <v>10887</v>
      </c>
      <c r="D7795">
        <v>11</v>
      </c>
      <c r="E7795">
        <v>10</v>
      </c>
      <c r="F7795">
        <v>0</v>
      </c>
      <c r="G7795">
        <v>0</v>
      </c>
      <c r="H7795">
        <v>115</v>
      </c>
      <c r="I7795">
        <v>0</v>
      </c>
      <c r="J7795">
        <v>2.69</v>
      </c>
      <c r="K7795">
        <v>0</v>
      </c>
    </row>
    <row r="7796" spans="1:11" x14ac:dyDescent="0.2">
      <c r="A7796">
        <v>57553</v>
      </c>
      <c r="B7796">
        <v>5607363</v>
      </c>
      <c r="C7796" t="s">
        <v>10888</v>
      </c>
      <c r="D7796">
        <v>10</v>
      </c>
      <c r="E7796">
        <v>12</v>
      </c>
      <c r="F7796">
        <v>0</v>
      </c>
      <c r="G7796">
        <v>0</v>
      </c>
      <c r="H7796">
        <v>108</v>
      </c>
      <c r="I7796">
        <v>0</v>
      </c>
      <c r="J7796">
        <v>2.4900000000000002</v>
      </c>
      <c r="K7796">
        <v>0</v>
      </c>
    </row>
    <row r="7797" spans="1:11" x14ac:dyDescent="0.2">
      <c r="A7797">
        <v>57499</v>
      </c>
      <c r="B7797">
        <v>5607364</v>
      </c>
      <c r="C7797" t="s">
        <v>10135</v>
      </c>
      <c r="D7797">
        <v>10</v>
      </c>
      <c r="E7797">
        <v>12</v>
      </c>
      <c r="F7797">
        <v>0</v>
      </c>
      <c r="G7797">
        <v>0</v>
      </c>
      <c r="H7797">
        <v>108</v>
      </c>
      <c r="I7797">
        <v>0</v>
      </c>
      <c r="J7797">
        <v>1.99</v>
      </c>
      <c r="K7797">
        <v>0</v>
      </c>
    </row>
    <row r="7798" spans="1:11" x14ac:dyDescent="0.2">
      <c r="A7798">
        <v>57500</v>
      </c>
      <c r="B7798">
        <v>5607365</v>
      </c>
      <c r="C7798" t="s">
        <v>10889</v>
      </c>
      <c r="D7798">
        <v>10</v>
      </c>
      <c r="E7798">
        <v>12</v>
      </c>
      <c r="F7798">
        <v>0</v>
      </c>
      <c r="G7798">
        <v>0</v>
      </c>
      <c r="H7798">
        <v>108</v>
      </c>
      <c r="I7798">
        <v>0</v>
      </c>
      <c r="J7798">
        <v>1.69</v>
      </c>
      <c r="K7798">
        <v>0</v>
      </c>
    </row>
    <row r="7799" spans="1:11" x14ac:dyDescent="0.2">
      <c r="A7799">
        <v>57554</v>
      </c>
      <c r="B7799">
        <v>5607366</v>
      </c>
      <c r="C7799" t="s">
        <v>10890</v>
      </c>
      <c r="D7799">
        <v>10</v>
      </c>
      <c r="E7799">
        <v>12</v>
      </c>
      <c r="F7799">
        <v>-1</v>
      </c>
      <c r="G7799">
        <v>-12</v>
      </c>
      <c r="H7799">
        <v>108</v>
      </c>
      <c r="I7799">
        <v>0</v>
      </c>
      <c r="J7799">
        <v>2.29</v>
      </c>
      <c r="K7799">
        <v>-27.48</v>
      </c>
    </row>
    <row r="7800" spans="1:11" x14ac:dyDescent="0.2">
      <c r="A7800">
        <v>57164</v>
      </c>
      <c r="B7800">
        <v>5607367</v>
      </c>
      <c r="C7800" t="s">
        <v>10891</v>
      </c>
      <c r="D7800">
        <v>10</v>
      </c>
      <c r="E7800">
        <v>7</v>
      </c>
      <c r="F7800">
        <v>0</v>
      </c>
      <c r="G7800">
        <v>0</v>
      </c>
      <c r="H7800">
        <v>30</v>
      </c>
      <c r="I7800">
        <v>0</v>
      </c>
      <c r="J7800">
        <v>4.79</v>
      </c>
      <c r="K7800">
        <v>0</v>
      </c>
    </row>
    <row r="7801" spans="1:11" x14ac:dyDescent="0.2">
      <c r="A7801">
        <v>57628</v>
      </c>
      <c r="B7801">
        <v>5607368</v>
      </c>
      <c r="C7801" t="s">
        <v>10892</v>
      </c>
      <c r="D7801">
        <v>10</v>
      </c>
      <c r="E7801">
        <v>20</v>
      </c>
      <c r="F7801">
        <v>6</v>
      </c>
      <c r="G7801">
        <v>112</v>
      </c>
      <c r="H7801">
        <v>84</v>
      </c>
      <c r="I7801">
        <v>0.1</v>
      </c>
      <c r="J7801">
        <v>1.39</v>
      </c>
      <c r="K7801">
        <v>155.68</v>
      </c>
    </row>
    <row r="7802" spans="1:11" x14ac:dyDescent="0.2">
      <c r="A7802">
        <v>57629</v>
      </c>
      <c r="B7802">
        <v>5607369</v>
      </c>
      <c r="C7802" t="s">
        <v>9799</v>
      </c>
      <c r="D7802">
        <v>10</v>
      </c>
      <c r="E7802">
        <v>20</v>
      </c>
      <c r="F7802">
        <v>20</v>
      </c>
      <c r="G7802">
        <v>399</v>
      </c>
      <c r="H7802">
        <v>72</v>
      </c>
      <c r="I7802">
        <v>0.3</v>
      </c>
      <c r="J7802">
        <v>0.99</v>
      </c>
      <c r="K7802">
        <v>395.01</v>
      </c>
    </row>
    <row r="7803" spans="1:11" x14ac:dyDescent="0.2">
      <c r="A7803">
        <v>41604</v>
      </c>
      <c r="B7803">
        <v>5607370</v>
      </c>
      <c r="C7803" t="s">
        <v>10893</v>
      </c>
      <c r="D7803">
        <v>10</v>
      </c>
      <c r="E7803">
        <v>20</v>
      </c>
      <c r="F7803">
        <v>2</v>
      </c>
      <c r="G7803">
        <v>40</v>
      </c>
      <c r="H7803">
        <v>72</v>
      </c>
      <c r="I7803">
        <v>0</v>
      </c>
      <c r="J7803">
        <v>0.99</v>
      </c>
      <c r="K7803">
        <v>39.6</v>
      </c>
    </row>
    <row r="7804" spans="1:11" x14ac:dyDescent="0.2">
      <c r="A7804">
        <v>73192</v>
      </c>
      <c r="B7804">
        <v>5607373</v>
      </c>
      <c r="C7804" t="s">
        <v>10894</v>
      </c>
      <c r="D7804">
        <v>8</v>
      </c>
      <c r="E7804">
        <v>10</v>
      </c>
      <c r="F7804">
        <v>399</v>
      </c>
      <c r="G7804">
        <v>3990</v>
      </c>
      <c r="H7804">
        <v>72</v>
      </c>
      <c r="I7804">
        <v>5.5</v>
      </c>
      <c r="J7804">
        <v>2.79</v>
      </c>
      <c r="K7804">
        <v>11132.1</v>
      </c>
    </row>
    <row r="7805" spans="1:11" x14ac:dyDescent="0.2">
      <c r="A7805">
        <v>73193</v>
      </c>
      <c r="B7805">
        <v>5607374</v>
      </c>
      <c r="C7805" t="s">
        <v>10895</v>
      </c>
      <c r="D7805">
        <v>8</v>
      </c>
      <c r="E7805">
        <v>10</v>
      </c>
      <c r="F7805">
        <v>929</v>
      </c>
      <c r="G7805">
        <v>9290</v>
      </c>
      <c r="H7805">
        <v>72</v>
      </c>
      <c r="I7805">
        <v>12.9</v>
      </c>
      <c r="J7805">
        <v>1.89</v>
      </c>
      <c r="K7805">
        <v>17558.099999999999</v>
      </c>
    </row>
    <row r="7806" spans="1:11" x14ac:dyDescent="0.2">
      <c r="A7806">
        <v>3506</v>
      </c>
      <c r="B7806">
        <v>5607379</v>
      </c>
      <c r="C7806" t="s">
        <v>10896</v>
      </c>
      <c r="D7806">
        <v>6</v>
      </c>
      <c r="E7806">
        <v>6</v>
      </c>
      <c r="F7806">
        <v>0</v>
      </c>
      <c r="G7806">
        <v>0</v>
      </c>
      <c r="H7806">
        <v>72</v>
      </c>
      <c r="I7806">
        <v>0</v>
      </c>
      <c r="J7806">
        <v>1.99</v>
      </c>
      <c r="K7806">
        <v>0</v>
      </c>
    </row>
    <row r="7807" spans="1:11" x14ac:dyDescent="0.2">
      <c r="A7807">
        <v>43667</v>
      </c>
      <c r="B7807">
        <v>5607385</v>
      </c>
      <c r="C7807" t="s">
        <v>10897</v>
      </c>
      <c r="D7807">
        <v>10</v>
      </c>
      <c r="E7807">
        <v>6</v>
      </c>
      <c r="F7807">
        <v>0</v>
      </c>
      <c r="G7807">
        <v>0</v>
      </c>
      <c r="H7807">
        <v>264</v>
      </c>
      <c r="I7807">
        <v>0</v>
      </c>
      <c r="J7807">
        <v>1.69</v>
      </c>
      <c r="K7807">
        <v>0</v>
      </c>
    </row>
    <row r="7808" spans="1:11" x14ac:dyDescent="0.2">
      <c r="A7808">
        <v>46634</v>
      </c>
      <c r="B7808">
        <v>5607386</v>
      </c>
      <c r="C7808" t="s">
        <v>10898</v>
      </c>
      <c r="D7808">
        <v>10</v>
      </c>
      <c r="E7808">
        <v>6</v>
      </c>
      <c r="F7808">
        <v>10</v>
      </c>
      <c r="G7808">
        <v>60</v>
      </c>
      <c r="H7808">
        <v>264</v>
      </c>
      <c r="I7808">
        <v>0</v>
      </c>
      <c r="J7808">
        <v>1.99</v>
      </c>
      <c r="K7808">
        <v>119.4</v>
      </c>
    </row>
    <row r="7809" spans="1:11" x14ac:dyDescent="0.2">
      <c r="A7809">
        <v>4623</v>
      </c>
      <c r="B7809">
        <v>5607387</v>
      </c>
      <c r="C7809" t="s">
        <v>10899</v>
      </c>
      <c r="D7809">
        <v>6</v>
      </c>
      <c r="E7809">
        <v>6</v>
      </c>
      <c r="F7809">
        <v>12</v>
      </c>
      <c r="G7809">
        <v>70</v>
      </c>
      <c r="H7809">
        <v>264</v>
      </c>
      <c r="I7809">
        <v>0</v>
      </c>
      <c r="J7809">
        <v>1.99</v>
      </c>
      <c r="K7809">
        <v>139.30000000000001</v>
      </c>
    </row>
    <row r="7810" spans="1:11" x14ac:dyDescent="0.2">
      <c r="A7810">
        <v>46635</v>
      </c>
      <c r="B7810">
        <v>5607388</v>
      </c>
      <c r="C7810" t="s">
        <v>10900</v>
      </c>
      <c r="D7810">
        <v>10</v>
      </c>
      <c r="E7810">
        <v>6</v>
      </c>
      <c r="F7810">
        <v>3</v>
      </c>
      <c r="G7810">
        <v>18</v>
      </c>
      <c r="H7810">
        <v>264</v>
      </c>
      <c r="I7810">
        <v>0</v>
      </c>
      <c r="J7810">
        <v>1.99</v>
      </c>
      <c r="K7810">
        <v>35.82</v>
      </c>
    </row>
    <row r="7811" spans="1:11" x14ac:dyDescent="0.2">
      <c r="A7811">
        <v>43630</v>
      </c>
      <c r="B7811">
        <v>5607394</v>
      </c>
      <c r="C7811" t="s">
        <v>10901</v>
      </c>
      <c r="D7811">
        <v>10</v>
      </c>
      <c r="E7811">
        <v>12</v>
      </c>
      <c r="F7811">
        <v>2</v>
      </c>
      <c r="G7811">
        <v>18</v>
      </c>
      <c r="H7811">
        <v>168</v>
      </c>
      <c r="I7811">
        <v>0</v>
      </c>
      <c r="J7811">
        <v>2.79</v>
      </c>
      <c r="K7811">
        <v>50.22</v>
      </c>
    </row>
    <row r="7812" spans="1:11" x14ac:dyDescent="0.2">
      <c r="B7812">
        <v>5607395</v>
      </c>
      <c r="C7812" t="s">
        <v>10902</v>
      </c>
      <c r="D7812">
        <v>11</v>
      </c>
      <c r="E7812">
        <v>1</v>
      </c>
      <c r="F7812">
        <v>6</v>
      </c>
      <c r="G7812">
        <v>6</v>
      </c>
      <c r="H7812">
        <v>480</v>
      </c>
      <c r="I7812">
        <v>0</v>
      </c>
      <c r="J7812">
        <v>4.49</v>
      </c>
      <c r="K7812">
        <v>26.94</v>
      </c>
    </row>
    <row r="7813" spans="1:11" x14ac:dyDescent="0.2">
      <c r="B7813">
        <v>5607396</v>
      </c>
      <c r="C7813" t="s">
        <v>10903</v>
      </c>
      <c r="D7813">
        <v>11</v>
      </c>
      <c r="E7813">
        <v>1</v>
      </c>
      <c r="F7813">
        <v>0</v>
      </c>
      <c r="G7813">
        <v>0</v>
      </c>
      <c r="H7813">
        <v>320</v>
      </c>
      <c r="I7813">
        <v>0</v>
      </c>
      <c r="J7813">
        <v>3.99</v>
      </c>
      <c r="K7813">
        <v>0</v>
      </c>
    </row>
    <row r="7814" spans="1:11" x14ac:dyDescent="0.2">
      <c r="A7814">
        <v>31680</v>
      </c>
      <c r="B7814">
        <v>5607397</v>
      </c>
      <c r="C7814" t="s">
        <v>10904</v>
      </c>
      <c r="D7814">
        <v>10</v>
      </c>
      <c r="E7814">
        <v>12</v>
      </c>
      <c r="F7814">
        <v>0</v>
      </c>
      <c r="G7814">
        <v>0</v>
      </c>
      <c r="H7814">
        <v>140</v>
      </c>
      <c r="I7814">
        <v>0</v>
      </c>
      <c r="J7814">
        <v>6.99</v>
      </c>
      <c r="K7814">
        <v>0</v>
      </c>
    </row>
    <row r="7815" spans="1:11" x14ac:dyDescent="0.2">
      <c r="A7815">
        <v>86079</v>
      </c>
      <c r="B7815">
        <v>5607398</v>
      </c>
      <c r="C7815" t="s">
        <v>10905</v>
      </c>
      <c r="D7815">
        <v>8</v>
      </c>
      <c r="E7815">
        <v>20</v>
      </c>
      <c r="F7815">
        <v>84</v>
      </c>
      <c r="G7815">
        <v>1680</v>
      </c>
      <c r="H7815">
        <v>42</v>
      </c>
      <c r="I7815">
        <v>2</v>
      </c>
      <c r="J7815">
        <v>4.99</v>
      </c>
      <c r="K7815">
        <v>8383.2000000000007</v>
      </c>
    </row>
    <row r="7816" spans="1:11" x14ac:dyDescent="0.2">
      <c r="A7816">
        <v>82181</v>
      </c>
      <c r="B7816">
        <v>5607399</v>
      </c>
      <c r="C7816" t="s">
        <v>10906</v>
      </c>
      <c r="D7816">
        <v>8</v>
      </c>
      <c r="E7816">
        <v>8</v>
      </c>
      <c r="F7816">
        <v>128</v>
      </c>
      <c r="G7816">
        <v>1024</v>
      </c>
      <c r="H7816">
        <v>84</v>
      </c>
      <c r="I7816">
        <v>1.5</v>
      </c>
      <c r="J7816">
        <v>1.59</v>
      </c>
      <c r="K7816">
        <v>1628.16</v>
      </c>
    </row>
    <row r="7817" spans="1:11" x14ac:dyDescent="0.2">
      <c r="A7817">
        <v>41526</v>
      </c>
      <c r="B7817">
        <v>5607400</v>
      </c>
      <c r="C7817" t="s">
        <v>10907</v>
      </c>
      <c r="D7817">
        <v>10</v>
      </c>
      <c r="E7817">
        <v>6</v>
      </c>
      <c r="F7817">
        <v>-3</v>
      </c>
      <c r="G7817">
        <v>-18</v>
      </c>
      <c r="H7817">
        <v>84</v>
      </c>
      <c r="I7817">
        <v>0</v>
      </c>
      <c r="J7817">
        <v>1.59</v>
      </c>
      <c r="K7817">
        <v>-28.62</v>
      </c>
    </row>
    <row r="7818" spans="1:11" x14ac:dyDescent="0.2">
      <c r="B7818">
        <v>5607401</v>
      </c>
      <c r="C7818" t="s">
        <v>10908</v>
      </c>
      <c r="D7818">
        <v>11</v>
      </c>
      <c r="E7818">
        <v>8</v>
      </c>
      <c r="F7818">
        <v>0</v>
      </c>
      <c r="G7818">
        <v>0</v>
      </c>
      <c r="H7818">
        <v>84</v>
      </c>
      <c r="I7818">
        <v>0</v>
      </c>
      <c r="J7818">
        <v>2.39</v>
      </c>
      <c r="K7818">
        <v>0</v>
      </c>
    </row>
    <row r="7819" spans="1:11" x14ac:dyDescent="0.2">
      <c r="A7819">
        <v>41527</v>
      </c>
      <c r="B7819">
        <v>5607402</v>
      </c>
      <c r="C7819" t="s">
        <v>10909</v>
      </c>
      <c r="D7819">
        <v>10</v>
      </c>
      <c r="E7819">
        <v>8</v>
      </c>
      <c r="F7819">
        <v>0</v>
      </c>
      <c r="G7819">
        <v>0</v>
      </c>
      <c r="H7819">
        <v>84</v>
      </c>
      <c r="I7819">
        <v>0</v>
      </c>
      <c r="J7819">
        <v>1.99</v>
      </c>
      <c r="K7819">
        <v>0</v>
      </c>
    </row>
    <row r="7820" spans="1:11" x14ac:dyDescent="0.2">
      <c r="A7820">
        <v>26537</v>
      </c>
      <c r="B7820">
        <v>5607403</v>
      </c>
      <c r="C7820" t="s">
        <v>10910</v>
      </c>
      <c r="D7820">
        <v>10</v>
      </c>
      <c r="E7820">
        <v>10</v>
      </c>
      <c r="F7820">
        <v>0</v>
      </c>
      <c r="G7820">
        <v>0</v>
      </c>
      <c r="H7820">
        <v>140</v>
      </c>
      <c r="I7820">
        <v>0</v>
      </c>
      <c r="J7820">
        <v>2.19</v>
      </c>
      <c r="K7820">
        <v>0</v>
      </c>
    </row>
    <row r="7821" spans="1:11" x14ac:dyDescent="0.2">
      <c r="A7821">
        <v>26538</v>
      </c>
      <c r="B7821">
        <v>5607404</v>
      </c>
      <c r="C7821" t="s">
        <v>10911</v>
      </c>
      <c r="D7821">
        <v>10</v>
      </c>
      <c r="E7821">
        <v>10</v>
      </c>
      <c r="F7821">
        <v>0</v>
      </c>
      <c r="G7821">
        <v>0</v>
      </c>
      <c r="H7821">
        <v>112</v>
      </c>
      <c r="I7821">
        <v>0</v>
      </c>
      <c r="J7821">
        <v>1.29</v>
      </c>
      <c r="K7821">
        <v>0</v>
      </c>
    </row>
    <row r="7822" spans="1:11" x14ac:dyDescent="0.2">
      <c r="A7822">
        <v>43537</v>
      </c>
      <c r="B7822">
        <v>5607405</v>
      </c>
      <c r="C7822" t="s">
        <v>10912</v>
      </c>
      <c r="D7822">
        <v>10</v>
      </c>
      <c r="E7822">
        <v>8</v>
      </c>
      <c r="F7822">
        <v>3</v>
      </c>
      <c r="G7822">
        <v>24</v>
      </c>
      <c r="H7822">
        <v>84</v>
      </c>
      <c r="I7822">
        <v>0</v>
      </c>
      <c r="J7822">
        <v>1.99</v>
      </c>
      <c r="K7822">
        <v>47.76</v>
      </c>
    </row>
    <row r="7823" spans="1:11" x14ac:dyDescent="0.2">
      <c r="A7823">
        <v>27517</v>
      </c>
      <c r="B7823">
        <v>5607406</v>
      </c>
      <c r="C7823" t="s">
        <v>10913</v>
      </c>
      <c r="D7823">
        <v>10</v>
      </c>
      <c r="E7823">
        <v>10</v>
      </c>
      <c r="F7823">
        <v>0</v>
      </c>
      <c r="G7823">
        <v>0</v>
      </c>
      <c r="H7823">
        <v>112</v>
      </c>
      <c r="I7823">
        <v>0</v>
      </c>
      <c r="J7823">
        <v>1.99</v>
      </c>
      <c r="K7823">
        <v>0</v>
      </c>
    </row>
    <row r="7824" spans="1:11" x14ac:dyDescent="0.2">
      <c r="A7824">
        <v>28526</v>
      </c>
      <c r="B7824">
        <v>5607408</v>
      </c>
      <c r="C7824" t="s">
        <v>10914</v>
      </c>
      <c r="D7824">
        <v>10</v>
      </c>
      <c r="E7824">
        <v>6</v>
      </c>
      <c r="F7824">
        <v>0</v>
      </c>
      <c r="G7824">
        <v>0</v>
      </c>
      <c r="H7824">
        <v>100</v>
      </c>
      <c r="I7824">
        <v>0</v>
      </c>
      <c r="J7824">
        <v>2.29</v>
      </c>
      <c r="K7824">
        <v>0</v>
      </c>
    </row>
    <row r="7825" spans="1:12" x14ac:dyDescent="0.2">
      <c r="A7825">
        <v>32519</v>
      </c>
      <c r="B7825">
        <v>5607409</v>
      </c>
      <c r="C7825" t="s">
        <v>10915</v>
      </c>
      <c r="D7825">
        <v>10</v>
      </c>
      <c r="E7825">
        <v>6</v>
      </c>
      <c r="F7825">
        <v>0</v>
      </c>
      <c r="G7825">
        <v>0</v>
      </c>
      <c r="H7825">
        <v>100</v>
      </c>
      <c r="I7825">
        <v>0</v>
      </c>
      <c r="J7825">
        <v>2.29</v>
      </c>
      <c r="K7825">
        <v>0</v>
      </c>
    </row>
    <row r="7826" spans="1:12" x14ac:dyDescent="0.2">
      <c r="A7826">
        <v>28527</v>
      </c>
      <c r="B7826">
        <v>5607410</v>
      </c>
      <c r="C7826" t="s">
        <v>10916</v>
      </c>
      <c r="D7826">
        <v>10</v>
      </c>
      <c r="E7826">
        <v>6</v>
      </c>
      <c r="F7826">
        <v>0</v>
      </c>
      <c r="G7826">
        <v>0</v>
      </c>
      <c r="H7826">
        <v>100</v>
      </c>
      <c r="I7826">
        <v>0</v>
      </c>
      <c r="J7826">
        <v>2.29</v>
      </c>
      <c r="K7826">
        <v>0</v>
      </c>
    </row>
    <row r="7827" spans="1:12" x14ac:dyDescent="0.2">
      <c r="A7827">
        <v>29537</v>
      </c>
      <c r="B7827">
        <v>5607414</v>
      </c>
      <c r="C7827" t="s">
        <v>10917</v>
      </c>
      <c r="D7827">
        <v>10</v>
      </c>
      <c r="E7827">
        <v>8</v>
      </c>
      <c r="F7827">
        <v>0</v>
      </c>
      <c r="G7827">
        <v>0</v>
      </c>
      <c r="H7827">
        <v>140</v>
      </c>
      <c r="I7827">
        <v>0</v>
      </c>
      <c r="J7827">
        <v>2.19</v>
      </c>
      <c r="K7827">
        <v>0</v>
      </c>
    </row>
    <row r="7828" spans="1:12" x14ac:dyDescent="0.2">
      <c r="A7828">
        <v>32520</v>
      </c>
      <c r="B7828">
        <v>5607418</v>
      </c>
      <c r="C7828" t="s">
        <v>10918</v>
      </c>
      <c r="D7828">
        <v>10</v>
      </c>
      <c r="E7828">
        <v>16</v>
      </c>
      <c r="F7828">
        <v>0</v>
      </c>
      <c r="G7828">
        <v>0</v>
      </c>
      <c r="H7828">
        <v>80</v>
      </c>
      <c r="I7828">
        <v>0</v>
      </c>
      <c r="J7828">
        <v>1.69</v>
      </c>
      <c r="K7828">
        <v>0</v>
      </c>
    </row>
    <row r="7829" spans="1:12" x14ac:dyDescent="0.2">
      <c r="B7829">
        <v>5607419</v>
      </c>
      <c r="C7829" t="s">
        <v>10919</v>
      </c>
      <c r="D7829">
        <v>11</v>
      </c>
      <c r="E7829">
        <v>8</v>
      </c>
      <c r="F7829">
        <v>0</v>
      </c>
      <c r="G7829">
        <v>0</v>
      </c>
      <c r="H7829">
        <v>140</v>
      </c>
      <c r="I7829">
        <v>0</v>
      </c>
      <c r="J7829">
        <v>1.99</v>
      </c>
      <c r="K7829">
        <v>0</v>
      </c>
    </row>
    <row r="7830" spans="1:12" x14ac:dyDescent="0.2">
      <c r="A7830">
        <v>74177</v>
      </c>
      <c r="B7830">
        <v>5607426</v>
      </c>
      <c r="C7830" t="s">
        <v>10920</v>
      </c>
      <c r="D7830">
        <v>8</v>
      </c>
      <c r="E7830">
        <v>45</v>
      </c>
      <c r="F7830">
        <v>403</v>
      </c>
      <c r="G7830">
        <v>18135</v>
      </c>
      <c r="H7830">
        <v>96</v>
      </c>
      <c r="I7830">
        <v>4.2</v>
      </c>
      <c r="J7830">
        <v>1.19</v>
      </c>
      <c r="K7830">
        <v>21580.65</v>
      </c>
    </row>
    <row r="7831" spans="1:12" x14ac:dyDescent="0.2">
      <c r="A7831">
        <v>29538</v>
      </c>
      <c r="B7831">
        <v>5607430</v>
      </c>
      <c r="C7831" t="s">
        <v>10921</v>
      </c>
      <c r="D7831">
        <v>10</v>
      </c>
      <c r="E7831">
        <v>8</v>
      </c>
      <c r="F7831">
        <v>0</v>
      </c>
      <c r="G7831">
        <v>0</v>
      </c>
      <c r="H7831">
        <v>140</v>
      </c>
      <c r="I7831">
        <v>0</v>
      </c>
      <c r="J7831">
        <v>2.19</v>
      </c>
      <c r="K7831">
        <v>0</v>
      </c>
    </row>
    <row r="7832" spans="1:12" x14ac:dyDescent="0.2">
      <c r="A7832">
        <v>57631</v>
      </c>
      <c r="B7832">
        <v>5607433</v>
      </c>
      <c r="C7832" t="s">
        <v>10922</v>
      </c>
      <c r="D7832">
        <v>10</v>
      </c>
      <c r="E7832">
        <v>14</v>
      </c>
      <c r="F7832">
        <v>6</v>
      </c>
      <c r="G7832">
        <v>90</v>
      </c>
      <c r="H7832">
        <v>112</v>
      </c>
      <c r="I7832">
        <v>0.1</v>
      </c>
      <c r="J7832">
        <v>1.69</v>
      </c>
      <c r="K7832">
        <v>152.1</v>
      </c>
    </row>
    <row r="7833" spans="1:12" x14ac:dyDescent="0.2">
      <c r="A7833">
        <v>47607</v>
      </c>
      <c r="B7833">
        <v>5607434</v>
      </c>
      <c r="C7833" t="s">
        <v>10923</v>
      </c>
      <c r="D7833">
        <v>10</v>
      </c>
      <c r="E7833">
        <v>28</v>
      </c>
      <c r="F7833">
        <v>2</v>
      </c>
      <c r="G7833">
        <v>56</v>
      </c>
      <c r="H7833">
        <v>162</v>
      </c>
      <c r="I7833">
        <v>0</v>
      </c>
      <c r="J7833">
        <v>0.89</v>
      </c>
      <c r="K7833">
        <v>49.84</v>
      </c>
    </row>
    <row r="7834" spans="1:12" x14ac:dyDescent="0.2">
      <c r="A7834">
        <v>47612</v>
      </c>
      <c r="B7834">
        <v>5607435</v>
      </c>
      <c r="C7834" t="s">
        <v>10924</v>
      </c>
      <c r="D7834">
        <v>10</v>
      </c>
      <c r="E7834">
        <v>30</v>
      </c>
      <c r="F7834">
        <v>-1</v>
      </c>
      <c r="G7834">
        <v>-30</v>
      </c>
      <c r="H7834">
        <v>64</v>
      </c>
      <c r="I7834">
        <v>0</v>
      </c>
      <c r="J7834">
        <v>3.19</v>
      </c>
      <c r="K7834">
        <v>-95.7</v>
      </c>
    </row>
    <row r="7835" spans="1:12" x14ac:dyDescent="0.2">
      <c r="A7835">
        <v>57586</v>
      </c>
      <c r="B7835">
        <v>5607436</v>
      </c>
      <c r="C7835" t="s">
        <v>10925</v>
      </c>
      <c r="D7835">
        <v>10</v>
      </c>
      <c r="E7835">
        <v>30</v>
      </c>
      <c r="F7835">
        <v>5</v>
      </c>
      <c r="G7835">
        <v>142</v>
      </c>
      <c r="H7835">
        <v>64</v>
      </c>
      <c r="I7835">
        <v>0.1</v>
      </c>
      <c r="J7835">
        <v>1</v>
      </c>
      <c r="K7835">
        <v>142</v>
      </c>
    </row>
    <row r="7836" spans="1:12" x14ac:dyDescent="0.2">
      <c r="A7836">
        <v>29635</v>
      </c>
      <c r="B7836">
        <v>5607442</v>
      </c>
      <c r="C7836" t="s">
        <v>10926</v>
      </c>
      <c r="D7836">
        <v>12</v>
      </c>
      <c r="E7836">
        <v>6</v>
      </c>
      <c r="F7836">
        <v>0</v>
      </c>
      <c r="G7836">
        <v>0</v>
      </c>
      <c r="H7836">
        <v>100</v>
      </c>
      <c r="I7836">
        <v>0</v>
      </c>
      <c r="J7836">
        <v>2</v>
      </c>
      <c r="K7836">
        <v>0</v>
      </c>
      <c r="L7836" t="s">
        <v>3699</v>
      </c>
    </row>
    <row r="7837" spans="1:12" x14ac:dyDescent="0.2">
      <c r="A7837">
        <v>52631</v>
      </c>
      <c r="B7837">
        <v>5607443</v>
      </c>
      <c r="C7837" t="s">
        <v>10927</v>
      </c>
      <c r="D7837">
        <v>6</v>
      </c>
      <c r="E7837">
        <v>6</v>
      </c>
      <c r="F7837">
        <v>152</v>
      </c>
      <c r="G7837">
        <v>912</v>
      </c>
      <c r="H7837">
        <v>76</v>
      </c>
      <c r="I7837">
        <v>2</v>
      </c>
      <c r="J7837">
        <v>12.95</v>
      </c>
      <c r="K7837">
        <v>11810.4</v>
      </c>
    </row>
    <row r="7838" spans="1:12" x14ac:dyDescent="0.2">
      <c r="A7838">
        <v>52632</v>
      </c>
      <c r="B7838">
        <v>5607444</v>
      </c>
      <c r="C7838" t="s">
        <v>10928</v>
      </c>
      <c r="D7838">
        <v>6</v>
      </c>
      <c r="E7838">
        <v>6</v>
      </c>
      <c r="F7838">
        <v>152</v>
      </c>
      <c r="G7838">
        <v>912</v>
      </c>
      <c r="H7838">
        <v>76</v>
      </c>
      <c r="I7838">
        <v>2</v>
      </c>
      <c r="J7838">
        <v>12.95</v>
      </c>
      <c r="K7838">
        <v>11810.4</v>
      </c>
    </row>
    <row r="7839" spans="1:12" x14ac:dyDescent="0.2">
      <c r="A7839">
        <v>52633</v>
      </c>
      <c r="B7839">
        <v>5607445</v>
      </c>
      <c r="C7839" t="s">
        <v>10929</v>
      </c>
      <c r="D7839">
        <v>6</v>
      </c>
      <c r="E7839">
        <v>6</v>
      </c>
      <c r="F7839">
        <v>152</v>
      </c>
      <c r="G7839">
        <v>912</v>
      </c>
      <c r="H7839">
        <v>76</v>
      </c>
      <c r="I7839">
        <v>2</v>
      </c>
      <c r="J7839">
        <v>12.95</v>
      </c>
      <c r="K7839">
        <v>11810.4</v>
      </c>
    </row>
    <row r="7840" spans="1:12" x14ac:dyDescent="0.2">
      <c r="A7840">
        <v>74249</v>
      </c>
      <c r="B7840">
        <v>5607446</v>
      </c>
      <c r="C7840" t="s">
        <v>10930</v>
      </c>
      <c r="D7840">
        <v>8</v>
      </c>
      <c r="E7840">
        <v>40</v>
      </c>
      <c r="F7840">
        <v>267</v>
      </c>
      <c r="G7840">
        <v>10680</v>
      </c>
      <c r="H7840">
        <v>112</v>
      </c>
      <c r="I7840">
        <v>2.4</v>
      </c>
      <c r="J7840">
        <v>1.49</v>
      </c>
      <c r="K7840">
        <v>15913.2</v>
      </c>
    </row>
    <row r="7841" spans="1:11" x14ac:dyDescent="0.2">
      <c r="A7841">
        <v>43601</v>
      </c>
      <c r="B7841">
        <v>5607447</v>
      </c>
      <c r="C7841" t="s">
        <v>10931</v>
      </c>
      <c r="D7841">
        <v>10</v>
      </c>
      <c r="E7841">
        <v>54</v>
      </c>
      <c r="F7841">
        <v>0</v>
      </c>
      <c r="G7841">
        <v>0</v>
      </c>
      <c r="H7841">
        <v>128</v>
      </c>
      <c r="I7841">
        <v>0</v>
      </c>
      <c r="J7841">
        <v>0.99</v>
      </c>
      <c r="K7841">
        <v>0</v>
      </c>
    </row>
    <row r="7842" spans="1:11" x14ac:dyDescent="0.2">
      <c r="A7842">
        <v>43602</v>
      </c>
      <c r="B7842">
        <v>5607448</v>
      </c>
      <c r="C7842" t="s">
        <v>10932</v>
      </c>
      <c r="D7842">
        <v>10</v>
      </c>
      <c r="E7842">
        <v>54</v>
      </c>
      <c r="F7842">
        <v>0</v>
      </c>
      <c r="G7842">
        <v>0</v>
      </c>
      <c r="H7842">
        <v>128</v>
      </c>
      <c r="I7842">
        <v>0</v>
      </c>
      <c r="J7842">
        <v>0.99</v>
      </c>
      <c r="K7842">
        <v>0</v>
      </c>
    </row>
    <row r="7843" spans="1:11" x14ac:dyDescent="0.2">
      <c r="A7843">
        <v>76019</v>
      </c>
      <c r="B7843">
        <v>5607453</v>
      </c>
      <c r="C7843" t="s">
        <v>10933</v>
      </c>
      <c r="D7843">
        <v>8</v>
      </c>
      <c r="E7843">
        <v>54</v>
      </c>
      <c r="F7843">
        <v>170</v>
      </c>
      <c r="G7843">
        <v>9180</v>
      </c>
      <c r="H7843">
        <v>128</v>
      </c>
      <c r="I7843">
        <v>1.3</v>
      </c>
      <c r="J7843">
        <v>1.55</v>
      </c>
      <c r="K7843">
        <v>14229</v>
      </c>
    </row>
    <row r="7844" spans="1:11" x14ac:dyDescent="0.2">
      <c r="A7844">
        <v>57632</v>
      </c>
      <c r="B7844">
        <v>5607457</v>
      </c>
      <c r="C7844" t="s">
        <v>10934</v>
      </c>
      <c r="D7844">
        <v>10</v>
      </c>
      <c r="E7844">
        <v>12</v>
      </c>
      <c r="F7844">
        <v>1</v>
      </c>
      <c r="G7844">
        <v>8</v>
      </c>
      <c r="H7844">
        <v>120</v>
      </c>
      <c r="I7844">
        <v>0</v>
      </c>
      <c r="J7844">
        <v>0.89</v>
      </c>
      <c r="K7844">
        <v>7.12</v>
      </c>
    </row>
    <row r="7845" spans="1:11" x14ac:dyDescent="0.2">
      <c r="B7845">
        <v>5607458</v>
      </c>
      <c r="C7845" t="s">
        <v>10935</v>
      </c>
      <c r="D7845">
        <v>11</v>
      </c>
      <c r="E7845">
        <v>6</v>
      </c>
      <c r="F7845">
        <v>1</v>
      </c>
      <c r="G7845">
        <v>6</v>
      </c>
      <c r="H7845">
        <v>100</v>
      </c>
      <c r="I7845">
        <v>0</v>
      </c>
      <c r="J7845">
        <v>5.49</v>
      </c>
      <c r="K7845">
        <v>32.94</v>
      </c>
    </row>
    <row r="7846" spans="1:11" x14ac:dyDescent="0.2">
      <c r="B7846">
        <v>5607460</v>
      </c>
      <c r="C7846" t="s">
        <v>10936</v>
      </c>
      <c r="D7846">
        <v>11</v>
      </c>
      <c r="E7846">
        <v>6</v>
      </c>
      <c r="F7846">
        <v>1</v>
      </c>
      <c r="G7846">
        <v>6</v>
      </c>
      <c r="H7846">
        <v>105</v>
      </c>
      <c r="I7846">
        <v>0</v>
      </c>
      <c r="J7846">
        <v>5.99</v>
      </c>
      <c r="K7846">
        <v>35.94</v>
      </c>
    </row>
    <row r="7847" spans="1:11" x14ac:dyDescent="0.2">
      <c r="B7847">
        <v>5607461</v>
      </c>
      <c r="C7847" t="s">
        <v>10937</v>
      </c>
      <c r="D7847">
        <v>11</v>
      </c>
      <c r="E7847">
        <v>6</v>
      </c>
      <c r="F7847">
        <v>8</v>
      </c>
      <c r="G7847">
        <v>46</v>
      </c>
      <c r="H7847">
        <v>100</v>
      </c>
      <c r="I7847">
        <v>0.1</v>
      </c>
      <c r="J7847">
        <v>2.84</v>
      </c>
      <c r="K7847">
        <v>130.63999999999999</v>
      </c>
    </row>
    <row r="7848" spans="1:11" x14ac:dyDescent="0.2">
      <c r="B7848">
        <v>5607462</v>
      </c>
      <c r="C7848" t="s">
        <v>10938</v>
      </c>
      <c r="D7848">
        <v>11</v>
      </c>
      <c r="E7848">
        <v>6</v>
      </c>
      <c r="F7848">
        <v>102</v>
      </c>
      <c r="G7848">
        <v>612</v>
      </c>
      <c r="H7848">
        <v>100</v>
      </c>
      <c r="I7848">
        <v>1</v>
      </c>
      <c r="J7848">
        <v>3.49</v>
      </c>
      <c r="K7848">
        <v>2135.88</v>
      </c>
    </row>
    <row r="7849" spans="1:11" x14ac:dyDescent="0.2">
      <c r="B7849">
        <v>5607463</v>
      </c>
      <c r="C7849" t="s">
        <v>10939</v>
      </c>
      <c r="D7849">
        <v>10</v>
      </c>
      <c r="E7849">
        <v>6</v>
      </c>
      <c r="F7849">
        <v>0</v>
      </c>
      <c r="G7849">
        <v>0</v>
      </c>
      <c r="H7849">
        <v>100</v>
      </c>
      <c r="I7849">
        <v>0</v>
      </c>
      <c r="J7849">
        <v>2.99</v>
      </c>
      <c r="K7849">
        <v>0</v>
      </c>
    </row>
    <row r="7850" spans="1:11" x14ac:dyDescent="0.2">
      <c r="B7850">
        <v>5607465</v>
      </c>
      <c r="C7850" t="s">
        <v>10940</v>
      </c>
      <c r="D7850">
        <v>10</v>
      </c>
      <c r="E7850">
        <v>6</v>
      </c>
      <c r="F7850">
        <v>0</v>
      </c>
      <c r="G7850">
        <v>0</v>
      </c>
      <c r="H7850">
        <v>100</v>
      </c>
      <c r="I7850">
        <v>0</v>
      </c>
      <c r="J7850">
        <v>3.99</v>
      </c>
      <c r="K7850">
        <v>0</v>
      </c>
    </row>
    <row r="7851" spans="1:11" x14ac:dyDescent="0.2">
      <c r="B7851">
        <v>5607466</v>
      </c>
      <c r="C7851" t="s">
        <v>10941</v>
      </c>
      <c r="D7851">
        <v>11</v>
      </c>
      <c r="E7851">
        <v>6</v>
      </c>
      <c r="F7851">
        <v>1</v>
      </c>
      <c r="G7851">
        <v>6</v>
      </c>
      <c r="H7851">
        <v>105</v>
      </c>
      <c r="I7851">
        <v>0</v>
      </c>
      <c r="J7851">
        <v>4.25</v>
      </c>
      <c r="K7851">
        <v>25.5</v>
      </c>
    </row>
    <row r="7852" spans="1:11" x14ac:dyDescent="0.2">
      <c r="B7852">
        <v>5607467</v>
      </c>
      <c r="C7852" t="s">
        <v>10942</v>
      </c>
      <c r="D7852">
        <v>10</v>
      </c>
      <c r="E7852">
        <v>6</v>
      </c>
      <c r="F7852">
        <v>0</v>
      </c>
      <c r="G7852">
        <v>0</v>
      </c>
      <c r="H7852">
        <v>100</v>
      </c>
      <c r="I7852">
        <v>0</v>
      </c>
      <c r="J7852">
        <v>4.99</v>
      </c>
      <c r="K7852">
        <v>0</v>
      </c>
    </row>
    <row r="7853" spans="1:11" x14ac:dyDescent="0.2">
      <c r="B7853">
        <v>5607468</v>
      </c>
      <c r="C7853" t="s">
        <v>10943</v>
      </c>
      <c r="D7853">
        <v>11</v>
      </c>
      <c r="E7853">
        <v>6</v>
      </c>
      <c r="F7853">
        <v>-4</v>
      </c>
      <c r="G7853">
        <v>-24</v>
      </c>
      <c r="H7853">
        <v>100</v>
      </c>
      <c r="I7853">
        <v>0</v>
      </c>
      <c r="J7853">
        <v>3.49</v>
      </c>
      <c r="K7853">
        <v>-83.76</v>
      </c>
    </row>
    <row r="7854" spans="1:11" x14ac:dyDescent="0.2">
      <c r="A7854">
        <v>57633</v>
      </c>
      <c r="B7854">
        <v>5607474</v>
      </c>
      <c r="C7854" t="s">
        <v>10944</v>
      </c>
      <c r="D7854">
        <v>10</v>
      </c>
      <c r="E7854">
        <v>12</v>
      </c>
      <c r="F7854">
        <v>-18</v>
      </c>
      <c r="G7854">
        <v>-210</v>
      </c>
      <c r="H7854">
        <v>120</v>
      </c>
      <c r="I7854">
        <v>-0.1</v>
      </c>
      <c r="J7854">
        <v>1.49</v>
      </c>
      <c r="K7854">
        <v>-312.89999999999998</v>
      </c>
    </row>
    <row r="7855" spans="1:11" x14ac:dyDescent="0.2">
      <c r="A7855">
        <v>57634</v>
      </c>
      <c r="B7855">
        <v>5607475</v>
      </c>
      <c r="C7855" t="s">
        <v>10945</v>
      </c>
      <c r="D7855">
        <v>10</v>
      </c>
      <c r="E7855">
        <v>12</v>
      </c>
      <c r="F7855">
        <v>0</v>
      </c>
      <c r="G7855">
        <v>0</v>
      </c>
      <c r="H7855">
        <v>120</v>
      </c>
      <c r="I7855">
        <v>0</v>
      </c>
      <c r="J7855">
        <v>0.99</v>
      </c>
      <c r="K7855">
        <v>0</v>
      </c>
    </row>
    <row r="7856" spans="1:11" x14ac:dyDescent="0.2">
      <c r="B7856">
        <v>5607476</v>
      </c>
      <c r="C7856" t="s">
        <v>10946</v>
      </c>
      <c r="D7856">
        <v>10</v>
      </c>
      <c r="E7856">
        <v>6</v>
      </c>
      <c r="F7856">
        <v>0</v>
      </c>
      <c r="G7856">
        <v>0</v>
      </c>
      <c r="H7856">
        <v>100</v>
      </c>
      <c r="I7856">
        <v>0</v>
      </c>
      <c r="J7856">
        <v>4.95</v>
      </c>
      <c r="K7856">
        <v>0</v>
      </c>
    </row>
    <row r="7857" spans="1:11" x14ac:dyDescent="0.2">
      <c r="B7857">
        <v>5607478</v>
      </c>
      <c r="C7857" t="s">
        <v>10947</v>
      </c>
      <c r="D7857">
        <v>11</v>
      </c>
      <c r="E7857">
        <v>6</v>
      </c>
      <c r="F7857">
        <v>1</v>
      </c>
      <c r="G7857">
        <v>6</v>
      </c>
      <c r="H7857">
        <v>105</v>
      </c>
      <c r="I7857">
        <v>0</v>
      </c>
      <c r="J7857">
        <v>5.89</v>
      </c>
      <c r="K7857">
        <v>35.340000000000003</v>
      </c>
    </row>
    <row r="7858" spans="1:11" x14ac:dyDescent="0.2">
      <c r="B7858">
        <v>5607479</v>
      </c>
      <c r="C7858" t="s">
        <v>10948</v>
      </c>
      <c r="D7858">
        <v>11</v>
      </c>
      <c r="E7858">
        <v>6</v>
      </c>
      <c r="F7858">
        <v>-6</v>
      </c>
      <c r="G7858">
        <v>-36</v>
      </c>
      <c r="H7858">
        <v>105</v>
      </c>
      <c r="I7858">
        <v>-0.1</v>
      </c>
      <c r="J7858">
        <v>4.99</v>
      </c>
      <c r="K7858">
        <v>-179.64</v>
      </c>
    </row>
    <row r="7859" spans="1:11" x14ac:dyDescent="0.2">
      <c r="B7859">
        <v>5607481</v>
      </c>
      <c r="C7859" t="s">
        <v>10949</v>
      </c>
      <c r="D7859">
        <v>11</v>
      </c>
      <c r="E7859">
        <v>6</v>
      </c>
      <c r="F7859">
        <v>0</v>
      </c>
      <c r="G7859">
        <v>0</v>
      </c>
      <c r="H7859">
        <v>105</v>
      </c>
      <c r="I7859">
        <v>0</v>
      </c>
      <c r="J7859">
        <v>5.49</v>
      </c>
      <c r="K7859">
        <v>0</v>
      </c>
    </row>
    <row r="7860" spans="1:11" x14ac:dyDescent="0.2">
      <c r="B7860">
        <v>5607482</v>
      </c>
      <c r="C7860" t="s">
        <v>10950</v>
      </c>
      <c r="D7860">
        <v>11</v>
      </c>
      <c r="E7860">
        <v>6</v>
      </c>
      <c r="F7860">
        <v>1</v>
      </c>
      <c r="G7860">
        <v>6</v>
      </c>
      <c r="H7860">
        <v>100</v>
      </c>
      <c r="I7860">
        <v>0</v>
      </c>
      <c r="J7860">
        <v>2.99</v>
      </c>
      <c r="K7860">
        <v>17.940000000000001</v>
      </c>
    </row>
    <row r="7861" spans="1:11" x14ac:dyDescent="0.2">
      <c r="B7861">
        <v>5607483</v>
      </c>
      <c r="C7861" t="s">
        <v>10951</v>
      </c>
      <c r="D7861">
        <v>10</v>
      </c>
      <c r="E7861">
        <v>6</v>
      </c>
      <c r="F7861">
        <v>0</v>
      </c>
      <c r="G7861">
        <v>0</v>
      </c>
      <c r="H7861">
        <v>100</v>
      </c>
      <c r="I7861">
        <v>0</v>
      </c>
      <c r="J7861">
        <v>2.99</v>
      </c>
      <c r="K7861">
        <v>0</v>
      </c>
    </row>
    <row r="7862" spans="1:11" x14ac:dyDescent="0.2">
      <c r="B7862">
        <v>5607484</v>
      </c>
      <c r="C7862" t="s">
        <v>10952</v>
      </c>
      <c r="D7862">
        <v>10</v>
      </c>
      <c r="E7862">
        <v>6</v>
      </c>
      <c r="F7862">
        <v>0</v>
      </c>
      <c r="G7862">
        <v>0</v>
      </c>
      <c r="H7862">
        <v>100</v>
      </c>
      <c r="I7862">
        <v>0</v>
      </c>
      <c r="J7862">
        <v>4.79</v>
      </c>
      <c r="K7862">
        <v>0</v>
      </c>
    </row>
    <row r="7863" spans="1:11" x14ac:dyDescent="0.2">
      <c r="B7863">
        <v>5607485</v>
      </c>
      <c r="C7863" t="s">
        <v>10953</v>
      </c>
      <c r="D7863">
        <v>11</v>
      </c>
      <c r="E7863">
        <v>6</v>
      </c>
      <c r="F7863">
        <v>3</v>
      </c>
      <c r="G7863">
        <v>18</v>
      </c>
      <c r="H7863">
        <v>100</v>
      </c>
      <c r="I7863">
        <v>0</v>
      </c>
      <c r="J7863">
        <v>4.79</v>
      </c>
      <c r="K7863">
        <v>86.22</v>
      </c>
    </row>
    <row r="7864" spans="1:11" x14ac:dyDescent="0.2">
      <c r="A7864">
        <v>3621</v>
      </c>
      <c r="B7864">
        <v>5607486</v>
      </c>
      <c r="C7864" t="s">
        <v>10954</v>
      </c>
      <c r="D7864">
        <v>6</v>
      </c>
      <c r="E7864">
        <v>12</v>
      </c>
      <c r="F7864">
        <v>0</v>
      </c>
      <c r="G7864">
        <v>0</v>
      </c>
      <c r="H7864">
        <v>81</v>
      </c>
      <c r="I7864">
        <v>0</v>
      </c>
      <c r="J7864">
        <v>1.69</v>
      </c>
      <c r="K7864">
        <v>0</v>
      </c>
    </row>
    <row r="7865" spans="1:11" x14ac:dyDescent="0.2">
      <c r="A7865">
        <v>57318</v>
      </c>
      <c r="B7865">
        <v>5607487</v>
      </c>
      <c r="C7865" t="s">
        <v>10955</v>
      </c>
      <c r="D7865">
        <v>10</v>
      </c>
      <c r="E7865">
        <v>12</v>
      </c>
      <c r="F7865">
        <v>0</v>
      </c>
      <c r="G7865">
        <v>0</v>
      </c>
      <c r="H7865">
        <v>81</v>
      </c>
      <c r="I7865">
        <v>0</v>
      </c>
      <c r="J7865">
        <v>1.2</v>
      </c>
      <c r="K7865">
        <v>0</v>
      </c>
    </row>
    <row r="7866" spans="1:11" x14ac:dyDescent="0.2">
      <c r="A7866">
        <v>57319</v>
      </c>
      <c r="B7866">
        <v>5607488</v>
      </c>
      <c r="C7866" t="s">
        <v>10956</v>
      </c>
      <c r="D7866">
        <v>10</v>
      </c>
      <c r="E7866">
        <v>12</v>
      </c>
      <c r="F7866">
        <v>0</v>
      </c>
      <c r="G7866">
        <v>0</v>
      </c>
      <c r="H7866">
        <v>81</v>
      </c>
      <c r="I7866">
        <v>0</v>
      </c>
      <c r="J7866">
        <v>1.2</v>
      </c>
      <c r="K7866">
        <v>0</v>
      </c>
    </row>
    <row r="7867" spans="1:11" x14ac:dyDescent="0.2">
      <c r="A7867">
        <v>40638</v>
      </c>
      <c r="B7867">
        <v>5607496</v>
      </c>
      <c r="C7867" t="s">
        <v>10957</v>
      </c>
      <c r="D7867">
        <v>10</v>
      </c>
      <c r="E7867">
        <v>94</v>
      </c>
      <c r="F7867">
        <v>0</v>
      </c>
      <c r="G7867">
        <v>4</v>
      </c>
      <c r="H7867">
        <v>4</v>
      </c>
      <c r="I7867">
        <v>0</v>
      </c>
      <c r="J7867">
        <v>3.49</v>
      </c>
      <c r="K7867">
        <v>13.96</v>
      </c>
    </row>
    <row r="7868" spans="1:11" x14ac:dyDescent="0.2">
      <c r="B7868">
        <v>5607497</v>
      </c>
      <c r="C7868" t="s">
        <v>10958</v>
      </c>
      <c r="D7868">
        <v>6</v>
      </c>
      <c r="E7868">
        <v>6</v>
      </c>
      <c r="F7868">
        <v>0</v>
      </c>
      <c r="G7868">
        <v>0</v>
      </c>
      <c r="H7868">
        <v>100</v>
      </c>
      <c r="I7868">
        <v>0</v>
      </c>
      <c r="J7868">
        <v>4.45</v>
      </c>
      <c r="K7868">
        <v>0</v>
      </c>
    </row>
    <row r="7869" spans="1:11" x14ac:dyDescent="0.2">
      <c r="B7869">
        <v>5607498</v>
      </c>
      <c r="C7869" t="s">
        <v>10959</v>
      </c>
      <c r="D7869">
        <v>10</v>
      </c>
      <c r="E7869">
        <v>6</v>
      </c>
      <c r="F7869">
        <v>0</v>
      </c>
      <c r="G7869">
        <v>0</v>
      </c>
      <c r="H7869">
        <v>100</v>
      </c>
      <c r="I7869">
        <v>0</v>
      </c>
      <c r="J7869">
        <v>9.99</v>
      </c>
      <c r="K7869">
        <v>0</v>
      </c>
    </row>
    <row r="7870" spans="1:11" x14ac:dyDescent="0.2">
      <c r="A7870">
        <v>57242</v>
      </c>
      <c r="B7870">
        <v>5607502</v>
      </c>
      <c r="C7870" t="s">
        <v>10960</v>
      </c>
      <c r="D7870">
        <v>10</v>
      </c>
      <c r="E7870">
        <v>12</v>
      </c>
      <c r="F7870">
        <v>0</v>
      </c>
      <c r="G7870">
        <v>0</v>
      </c>
      <c r="H7870">
        <v>128</v>
      </c>
      <c r="I7870">
        <v>0</v>
      </c>
      <c r="J7870">
        <v>1</v>
      </c>
      <c r="K7870">
        <v>0</v>
      </c>
    </row>
    <row r="7871" spans="1:11" x14ac:dyDescent="0.2">
      <c r="A7871">
        <v>57320</v>
      </c>
      <c r="B7871">
        <v>5607506</v>
      </c>
      <c r="C7871" t="s">
        <v>10961</v>
      </c>
      <c r="D7871">
        <v>10</v>
      </c>
      <c r="E7871">
        <v>12</v>
      </c>
      <c r="F7871">
        <v>0</v>
      </c>
      <c r="G7871">
        <v>0</v>
      </c>
      <c r="H7871">
        <v>128</v>
      </c>
      <c r="I7871">
        <v>0</v>
      </c>
      <c r="J7871">
        <v>0.5</v>
      </c>
      <c r="K7871">
        <v>0</v>
      </c>
    </row>
    <row r="7872" spans="1:11" x14ac:dyDescent="0.2">
      <c r="B7872">
        <v>5607507</v>
      </c>
      <c r="C7872" t="s">
        <v>10962</v>
      </c>
      <c r="D7872">
        <v>10</v>
      </c>
      <c r="E7872">
        <v>6</v>
      </c>
      <c r="F7872">
        <v>3</v>
      </c>
      <c r="G7872">
        <v>18</v>
      </c>
      <c r="H7872">
        <v>90</v>
      </c>
      <c r="I7872">
        <v>0</v>
      </c>
      <c r="J7872">
        <v>0.99</v>
      </c>
      <c r="K7872">
        <v>17.82</v>
      </c>
    </row>
    <row r="7873" spans="1:11" x14ac:dyDescent="0.2">
      <c r="B7873">
        <v>5607508</v>
      </c>
      <c r="C7873" t="s">
        <v>10963</v>
      </c>
      <c r="D7873">
        <v>10</v>
      </c>
      <c r="E7873">
        <v>6</v>
      </c>
      <c r="F7873">
        <v>0</v>
      </c>
      <c r="G7873">
        <v>0</v>
      </c>
      <c r="H7873">
        <v>72</v>
      </c>
      <c r="I7873">
        <v>0</v>
      </c>
      <c r="J7873">
        <v>17.989999999999998</v>
      </c>
      <c r="K7873">
        <v>0</v>
      </c>
    </row>
    <row r="7874" spans="1:11" x14ac:dyDescent="0.2">
      <c r="A7874">
        <v>52616</v>
      </c>
      <c r="B7874">
        <v>5607510</v>
      </c>
      <c r="C7874" t="s">
        <v>10964</v>
      </c>
      <c r="D7874">
        <v>6</v>
      </c>
      <c r="E7874">
        <v>6</v>
      </c>
      <c r="F7874">
        <v>180</v>
      </c>
      <c r="G7874">
        <v>1080</v>
      </c>
      <c r="H7874">
        <v>90</v>
      </c>
      <c r="I7874">
        <v>2</v>
      </c>
      <c r="J7874">
        <v>3.89</v>
      </c>
      <c r="K7874">
        <v>4201.2</v>
      </c>
    </row>
    <row r="7875" spans="1:11" x14ac:dyDescent="0.2">
      <c r="A7875">
        <v>29539</v>
      </c>
      <c r="B7875">
        <v>5607514</v>
      </c>
      <c r="C7875" t="s">
        <v>10965</v>
      </c>
      <c r="D7875">
        <v>10</v>
      </c>
      <c r="E7875">
        <v>8</v>
      </c>
      <c r="F7875">
        <v>0</v>
      </c>
      <c r="G7875">
        <v>0</v>
      </c>
      <c r="H7875">
        <v>84</v>
      </c>
      <c r="I7875">
        <v>0</v>
      </c>
      <c r="J7875">
        <v>2.69</v>
      </c>
      <c r="K7875">
        <v>0</v>
      </c>
    </row>
    <row r="7876" spans="1:11" x14ac:dyDescent="0.2">
      <c r="A7876">
        <v>99530</v>
      </c>
      <c r="B7876">
        <v>5607515</v>
      </c>
      <c r="C7876" t="s">
        <v>10966</v>
      </c>
      <c r="D7876">
        <v>10</v>
      </c>
      <c r="E7876">
        <v>10</v>
      </c>
      <c r="F7876">
        <v>0</v>
      </c>
      <c r="G7876">
        <v>0</v>
      </c>
      <c r="H7876">
        <v>72</v>
      </c>
      <c r="I7876">
        <v>0</v>
      </c>
      <c r="J7876">
        <v>2.19</v>
      </c>
      <c r="K7876">
        <v>0</v>
      </c>
    </row>
    <row r="7877" spans="1:11" x14ac:dyDescent="0.2">
      <c r="A7877">
        <v>27518</v>
      </c>
      <c r="B7877">
        <v>5607516</v>
      </c>
      <c r="C7877" t="s">
        <v>10967</v>
      </c>
      <c r="D7877">
        <v>10</v>
      </c>
      <c r="E7877">
        <v>8</v>
      </c>
      <c r="F7877">
        <v>0</v>
      </c>
      <c r="G7877">
        <v>0</v>
      </c>
      <c r="H7877">
        <v>84</v>
      </c>
      <c r="I7877">
        <v>0</v>
      </c>
      <c r="J7877">
        <v>2.69</v>
      </c>
      <c r="K7877">
        <v>0</v>
      </c>
    </row>
    <row r="7878" spans="1:11" x14ac:dyDescent="0.2">
      <c r="A7878">
        <v>52617</v>
      </c>
      <c r="B7878">
        <v>5607517</v>
      </c>
      <c r="C7878" t="s">
        <v>10968</v>
      </c>
      <c r="D7878">
        <v>6</v>
      </c>
      <c r="E7878">
        <v>6</v>
      </c>
      <c r="F7878">
        <v>180</v>
      </c>
      <c r="G7878">
        <v>1080</v>
      </c>
      <c r="H7878">
        <v>90</v>
      </c>
      <c r="I7878">
        <v>2</v>
      </c>
      <c r="J7878">
        <v>3.89</v>
      </c>
      <c r="K7878">
        <v>4201.2</v>
      </c>
    </row>
    <row r="7879" spans="1:11" x14ac:dyDescent="0.2">
      <c r="A7879">
        <v>99652</v>
      </c>
      <c r="B7879">
        <v>5607518</v>
      </c>
      <c r="C7879" t="s">
        <v>10969</v>
      </c>
      <c r="D7879">
        <v>10</v>
      </c>
      <c r="E7879">
        <v>10</v>
      </c>
      <c r="F7879">
        <v>0</v>
      </c>
      <c r="G7879">
        <v>0</v>
      </c>
      <c r="H7879">
        <v>72</v>
      </c>
      <c r="I7879">
        <v>0</v>
      </c>
      <c r="J7879">
        <v>2.59</v>
      </c>
      <c r="K7879">
        <v>0</v>
      </c>
    </row>
    <row r="7880" spans="1:11" x14ac:dyDescent="0.2">
      <c r="B7880">
        <v>5607519</v>
      </c>
      <c r="C7880" t="s">
        <v>10970</v>
      </c>
      <c r="D7880">
        <v>10</v>
      </c>
      <c r="E7880">
        <v>6</v>
      </c>
      <c r="F7880">
        <v>0</v>
      </c>
      <c r="G7880">
        <v>0</v>
      </c>
      <c r="H7880">
        <v>95</v>
      </c>
      <c r="I7880">
        <v>0</v>
      </c>
      <c r="J7880">
        <v>3.99</v>
      </c>
      <c r="K7880">
        <v>0</v>
      </c>
    </row>
    <row r="7881" spans="1:11" x14ac:dyDescent="0.2">
      <c r="A7881">
        <v>99653</v>
      </c>
      <c r="B7881">
        <v>5607520</v>
      </c>
      <c r="C7881" t="s">
        <v>10971</v>
      </c>
      <c r="D7881">
        <v>10</v>
      </c>
      <c r="E7881">
        <v>10</v>
      </c>
      <c r="F7881">
        <v>0</v>
      </c>
      <c r="G7881">
        <v>0</v>
      </c>
      <c r="H7881">
        <v>72</v>
      </c>
      <c r="I7881">
        <v>0</v>
      </c>
      <c r="J7881">
        <v>2.39</v>
      </c>
      <c r="K7881">
        <v>0</v>
      </c>
    </row>
    <row r="7882" spans="1:11" x14ac:dyDescent="0.2">
      <c r="A7882">
        <v>57635</v>
      </c>
      <c r="B7882">
        <v>5607521</v>
      </c>
      <c r="C7882" t="s">
        <v>10972</v>
      </c>
      <c r="D7882">
        <v>10</v>
      </c>
      <c r="E7882">
        <v>16</v>
      </c>
      <c r="F7882">
        <v>9</v>
      </c>
      <c r="G7882">
        <v>146</v>
      </c>
      <c r="H7882">
        <v>24</v>
      </c>
      <c r="I7882">
        <v>0.4</v>
      </c>
      <c r="J7882">
        <v>1.69</v>
      </c>
      <c r="K7882">
        <v>246.74</v>
      </c>
    </row>
    <row r="7883" spans="1:11" x14ac:dyDescent="0.2">
      <c r="A7883">
        <v>52608</v>
      </c>
      <c r="B7883">
        <v>5607522</v>
      </c>
      <c r="C7883" t="s">
        <v>10973</v>
      </c>
      <c r="D7883">
        <v>6</v>
      </c>
      <c r="E7883">
        <v>10</v>
      </c>
      <c r="F7883">
        <v>336</v>
      </c>
      <c r="G7883">
        <v>3360</v>
      </c>
      <c r="H7883">
        <v>56</v>
      </c>
      <c r="I7883">
        <v>6</v>
      </c>
      <c r="J7883">
        <v>1.49</v>
      </c>
      <c r="K7883">
        <v>5006.3999999999996</v>
      </c>
    </row>
    <row r="7884" spans="1:11" x14ac:dyDescent="0.2">
      <c r="A7884">
        <v>52609</v>
      </c>
      <c r="B7884">
        <v>5607523</v>
      </c>
      <c r="C7884" t="s">
        <v>10974</v>
      </c>
      <c r="D7884">
        <v>6</v>
      </c>
      <c r="E7884">
        <v>20</v>
      </c>
      <c r="F7884">
        <v>144</v>
      </c>
      <c r="G7884">
        <v>2880</v>
      </c>
      <c r="H7884">
        <v>24</v>
      </c>
      <c r="I7884">
        <v>6</v>
      </c>
      <c r="J7884">
        <v>0.99</v>
      </c>
      <c r="K7884">
        <v>2851.2</v>
      </c>
    </row>
    <row r="7885" spans="1:11" x14ac:dyDescent="0.2">
      <c r="A7885">
        <v>57587</v>
      </c>
      <c r="B7885">
        <v>5607529</v>
      </c>
      <c r="C7885" t="s">
        <v>10975</v>
      </c>
      <c r="D7885">
        <v>10</v>
      </c>
      <c r="E7885">
        <v>28</v>
      </c>
      <c r="F7885">
        <v>2</v>
      </c>
      <c r="G7885">
        <v>57</v>
      </c>
      <c r="H7885">
        <v>117</v>
      </c>
      <c r="I7885">
        <v>0</v>
      </c>
      <c r="J7885">
        <v>0.5</v>
      </c>
      <c r="K7885">
        <v>28.5</v>
      </c>
    </row>
    <row r="7886" spans="1:11" x14ac:dyDescent="0.2">
      <c r="A7886">
        <v>57588</v>
      </c>
      <c r="B7886">
        <v>5607530</v>
      </c>
      <c r="C7886" t="s">
        <v>10976</v>
      </c>
      <c r="D7886">
        <v>10</v>
      </c>
      <c r="E7886">
        <v>18</v>
      </c>
      <c r="F7886">
        <v>2</v>
      </c>
      <c r="G7886">
        <v>32</v>
      </c>
      <c r="H7886">
        <v>117</v>
      </c>
      <c r="I7886">
        <v>0</v>
      </c>
      <c r="J7886">
        <v>0.5</v>
      </c>
      <c r="K7886">
        <v>16</v>
      </c>
    </row>
    <row r="7887" spans="1:11" x14ac:dyDescent="0.2">
      <c r="A7887">
        <v>57589</v>
      </c>
      <c r="B7887">
        <v>5607531</v>
      </c>
      <c r="C7887" t="s">
        <v>10977</v>
      </c>
      <c r="D7887">
        <v>10</v>
      </c>
      <c r="E7887">
        <v>20</v>
      </c>
      <c r="F7887">
        <v>-3</v>
      </c>
      <c r="G7887">
        <v>-51</v>
      </c>
      <c r="H7887">
        <v>117</v>
      </c>
      <c r="I7887">
        <v>0</v>
      </c>
      <c r="J7887">
        <v>0.5</v>
      </c>
      <c r="K7887">
        <v>-25.5</v>
      </c>
    </row>
    <row r="7888" spans="1:11" x14ac:dyDescent="0.2">
      <c r="A7888">
        <v>76043</v>
      </c>
      <c r="B7888">
        <v>5607535</v>
      </c>
      <c r="C7888" t="s">
        <v>10978</v>
      </c>
      <c r="D7888">
        <v>8</v>
      </c>
      <c r="E7888">
        <v>25</v>
      </c>
      <c r="F7888">
        <v>49</v>
      </c>
      <c r="G7888">
        <v>1225</v>
      </c>
      <c r="H7888">
        <v>40</v>
      </c>
      <c r="I7888">
        <v>1.2</v>
      </c>
      <c r="J7888">
        <v>1.45</v>
      </c>
      <c r="K7888">
        <v>1776.25</v>
      </c>
    </row>
    <row r="7889" spans="1:11" x14ac:dyDescent="0.2">
      <c r="A7889">
        <v>57457</v>
      </c>
      <c r="B7889">
        <v>5607537</v>
      </c>
      <c r="C7889" t="s">
        <v>10979</v>
      </c>
      <c r="D7889">
        <v>10</v>
      </c>
      <c r="E7889">
        <v>86</v>
      </c>
      <c r="F7889">
        <v>0</v>
      </c>
      <c r="G7889">
        <v>0</v>
      </c>
      <c r="H7889">
        <v>4</v>
      </c>
      <c r="I7889">
        <v>0</v>
      </c>
      <c r="J7889">
        <v>0.49</v>
      </c>
      <c r="K7889">
        <v>0</v>
      </c>
    </row>
    <row r="7890" spans="1:11" x14ac:dyDescent="0.2">
      <c r="A7890">
        <v>80124</v>
      </c>
      <c r="B7890">
        <v>5607539</v>
      </c>
      <c r="C7890" t="s">
        <v>10980</v>
      </c>
      <c r="D7890">
        <v>8</v>
      </c>
      <c r="E7890">
        <v>4</v>
      </c>
      <c r="F7890">
        <v>379</v>
      </c>
      <c r="G7890">
        <v>1516</v>
      </c>
      <c r="H7890">
        <v>64</v>
      </c>
      <c r="I7890">
        <v>5.9</v>
      </c>
      <c r="J7890">
        <v>2.69</v>
      </c>
      <c r="K7890">
        <v>4078.04</v>
      </c>
    </row>
    <row r="7891" spans="1:11" x14ac:dyDescent="0.2">
      <c r="B7891">
        <v>5607540</v>
      </c>
      <c r="C7891" t="s">
        <v>10981</v>
      </c>
      <c r="D7891">
        <v>6</v>
      </c>
      <c r="E7891">
        <v>3</v>
      </c>
      <c r="F7891">
        <v>0</v>
      </c>
      <c r="G7891">
        <v>0</v>
      </c>
      <c r="H7891">
        <v>90</v>
      </c>
      <c r="I7891">
        <v>0</v>
      </c>
      <c r="J7891">
        <v>2.35</v>
      </c>
      <c r="K7891">
        <v>0</v>
      </c>
    </row>
    <row r="7892" spans="1:11" x14ac:dyDescent="0.2">
      <c r="A7892">
        <v>81006</v>
      </c>
      <c r="B7892">
        <v>5607541</v>
      </c>
      <c r="C7892" t="s">
        <v>10982</v>
      </c>
      <c r="D7892">
        <v>8</v>
      </c>
      <c r="E7892">
        <v>3</v>
      </c>
      <c r="F7892">
        <v>270</v>
      </c>
      <c r="G7892">
        <v>809</v>
      </c>
      <c r="H7892">
        <v>48</v>
      </c>
      <c r="I7892">
        <v>5.6</v>
      </c>
      <c r="J7892">
        <v>3.09</v>
      </c>
      <c r="K7892">
        <v>2499.81</v>
      </c>
    </row>
    <row r="7893" spans="1:11" x14ac:dyDescent="0.2">
      <c r="A7893">
        <v>45688</v>
      </c>
      <c r="B7893">
        <v>5607542</v>
      </c>
      <c r="C7893" t="s">
        <v>10983</v>
      </c>
      <c r="D7893">
        <v>6</v>
      </c>
      <c r="E7893">
        <v>18</v>
      </c>
      <c r="F7893">
        <v>0</v>
      </c>
      <c r="G7893">
        <v>0</v>
      </c>
      <c r="H7893">
        <v>60</v>
      </c>
      <c r="I7893">
        <v>0</v>
      </c>
      <c r="J7893">
        <v>2.5</v>
      </c>
      <c r="K7893">
        <v>0</v>
      </c>
    </row>
    <row r="7894" spans="1:11" x14ac:dyDescent="0.2">
      <c r="A7894">
        <v>67182</v>
      </c>
      <c r="B7894">
        <v>5607545</v>
      </c>
      <c r="C7894" t="s">
        <v>10984</v>
      </c>
      <c r="D7894">
        <v>8</v>
      </c>
      <c r="E7894">
        <v>4</v>
      </c>
      <c r="F7894">
        <v>1343</v>
      </c>
      <c r="G7894">
        <v>5372</v>
      </c>
      <c r="H7894">
        <v>56</v>
      </c>
      <c r="I7894">
        <v>24</v>
      </c>
      <c r="J7894">
        <v>9.19</v>
      </c>
      <c r="K7894">
        <v>49368.68</v>
      </c>
    </row>
    <row r="7895" spans="1:11" x14ac:dyDescent="0.2">
      <c r="A7895">
        <v>74212</v>
      </c>
      <c r="B7895">
        <v>5607547</v>
      </c>
      <c r="C7895" t="s">
        <v>10985</v>
      </c>
      <c r="D7895">
        <v>8</v>
      </c>
      <c r="E7895">
        <v>16</v>
      </c>
      <c r="F7895">
        <v>351</v>
      </c>
      <c r="G7895">
        <v>5616</v>
      </c>
      <c r="H7895">
        <v>66</v>
      </c>
      <c r="I7895">
        <v>5.3</v>
      </c>
      <c r="J7895">
        <v>2.78</v>
      </c>
      <c r="K7895">
        <v>15612.48</v>
      </c>
    </row>
    <row r="7896" spans="1:11" x14ac:dyDescent="0.2">
      <c r="A7896">
        <v>70204</v>
      </c>
      <c r="B7896">
        <v>5607551</v>
      </c>
      <c r="C7896" t="s">
        <v>10986</v>
      </c>
      <c r="D7896">
        <v>8</v>
      </c>
      <c r="E7896">
        <v>12</v>
      </c>
      <c r="F7896">
        <v>352</v>
      </c>
      <c r="G7896">
        <v>4224</v>
      </c>
      <c r="H7896">
        <v>96</v>
      </c>
      <c r="I7896">
        <v>3.7</v>
      </c>
      <c r="J7896">
        <v>3.99</v>
      </c>
      <c r="K7896">
        <v>16853.759999999998</v>
      </c>
    </row>
    <row r="7897" spans="1:11" x14ac:dyDescent="0.2">
      <c r="B7897">
        <v>5607552</v>
      </c>
      <c r="C7897" t="s">
        <v>10987</v>
      </c>
      <c r="D7897">
        <v>10</v>
      </c>
      <c r="E7897">
        <v>12</v>
      </c>
      <c r="F7897">
        <v>0</v>
      </c>
      <c r="G7897">
        <v>0</v>
      </c>
      <c r="H7897">
        <v>50</v>
      </c>
      <c r="I7897">
        <v>0</v>
      </c>
      <c r="J7897">
        <v>1.75</v>
      </c>
      <c r="K7897">
        <v>0</v>
      </c>
    </row>
    <row r="7898" spans="1:11" x14ac:dyDescent="0.2">
      <c r="A7898">
        <v>67215</v>
      </c>
      <c r="B7898">
        <v>5607553</v>
      </c>
      <c r="C7898" t="s">
        <v>10988</v>
      </c>
      <c r="D7898">
        <v>8</v>
      </c>
      <c r="E7898">
        <v>10</v>
      </c>
      <c r="F7898">
        <v>462</v>
      </c>
      <c r="G7898">
        <v>4620</v>
      </c>
      <c r="H7898">
        <v>60</v>
      </c>
      <c r="I7898">
        <v>7.7</v>
      </c>
      <c r="J7898">
        <v>2.15</v>
      </c>
      <c r="K7898">
        <v>9933</v>
      </c>
    </row>
    <row r="7899" spans="1:11" x14ac:dyDescent="0.2">
      <c r="A7899">
        <v>69006</v>
      </c>
      <c r="B7899">
        <v>5607554</v>
      </c>
      <c r="C7899" t="s">
        <v>10989</v>
      </c>
      <c r="D7899">
        <v>8</v>
      </c>
      <c r="E7899">
        <v>8</v>
      </c>
      <c r="F7899">
        <v>742</v>
      </c>
      <c r="G7899">
        <v>5936</v>
      </c>
      <c r="H7899">
        <v>75</v>
      </c>
      <c r="I7899">
        <v>9.9</v>
      </c>
      <c r="J7899">
        <v>1.29</v>
      </c>
      <c r="K7899">
        <v>7657.44</v>
      </c>
    </row>
    <row r="7900" spans="1:11" x14ac:dyDescent="0.2">
      <c r="A7900">
        <v>91076</v>
      </c>
      <c r="B7900">
        <v>5607556</v>
      </c>
      <c r="C7900" t="s">
        <v>10990</v>
      </c>
      <c r="D7900">
        <v>8</v>
      </c>
      <c r="E7900">
        <v>1</v>
      </c>
      <c r="F7900">
        <v>672</v>
      </c>
      <c r="G7900">
        <v>672</v>
      </c>
      <c r="H7900">
        <v>1024</v>
      </c>
      <c r="I7900">
        <v>0.7</v>
      </c>
      <c r="J7900">
        <v>3.99</v>
      </c>
      <c r="K7900">
        <v>2681.28</v>
      </c>
    </row>
    <row r="7901" spans="1:11" x14ac:dyDescent="0.2">
      <c r="A7901">
        <v>91040</v>
      </c>
      <c r="B7901">
        <v>5607557</v>
      </c>
      <c r="C7901" t="s">
        <v>10991</v>
      </c>
      <c r="D7901">
        <v>8</v>
      </c>
      <c r="E7901">
        <v>1</v>
      </c>
      <c r="F7901">
        <v>616</v>
      </c>
      <c r="G7901">
        <v>616</v>
      </c>
      <c r="H7901">
        <v>384</v>
      </c>
      <c r="I7901">
        <v>1.6</v>
      </c>
      <c r="J7901">
        <v>4.79</v>
      </c>
      <c r="K7901">
        <v>2950.64</v>
      </c>
    </row>
    <row r="7902" spans="1:11" x14ac:dyDescent="0.2">
      <c r="A7902">
        <v>76145</v>
      </c>
      <c r="B7902">
        <v>5607559</v>
      </c>
      <c r="C7902" t="s">
        <v>10992</v>
      </c>
      <c r="D7902">
        <v>8</v>
      </c>
      <c r="E7902">
        <v>5</v>
      </c>
      <c r="F7902">
        <v>222</v>
      </c>
      <c r="G7902">
        <v>1110</v>
      </c>
      <c r="H7902">
        <v>60</v>
      </c>
      <c r="I7902">
        <v>3.7</v>
      </c>
      <c r="J7902">
        <v>3.39</v>
      </c>
      <c r="K7902">
        <v>3762.9</v>
      </c>
    </row>
    <row r="7903" spans="1:11" x14ac:dyDescent="0.2">
      <c r="A7903">
        <v>49612</v>
      </c>
      <c r="B7903">
        <v>5607560</v>
      </c>
      <c r="C7903" t="s">
        <v>10993</v>
      </c>
      <c r="D7903">
        <v>10</v>
      </c>
      <c r="E7903">
        <v>4</v>
      </c>
      <c r="F7903">
        <v>0</v>
      </c>
      <c r="G7903">
        <v>0</v>
      </c>
      <c r="H7903">
        <v>60</v>
      </c>
      <c r="I7903">
        <v>0</v>
      </c>
      <c r="J7903">
        <v>2.19</v>
      </c>
      <c r="K7903">
        <v>0</v>
      </c>
    </row>
    <row r="7904" spans="1:11" x14ac:dyDescent="0.2">
      <c r="A7904">
        <v>76195</v>
      </c>
      <c r="B7904">
        <v>5607561</v>
      </c>
      <c r="C7904" t="s">
        <v>10994</v>
      </c>
      <c r="D7904">
        <v>8</v>
      </c>
      <c r="E7904">
        <v>6</v>
      </c>
      <c r="F7904">
        <v>284</v>
      </c>
      <c r="G7904">
        <v>1704</v>
      </c>
      <c r="H7904">
        <v>60</v>
      </c>
      <c r="I7904">
        <v>4.7</v>
      </c>
      <c r="J7904">
        <v>2.29</v>
      </c>
      <c r="K7904">
        <v>3902.16</v>
      </c>
    </row>
    <row r="7905" spans="1:11" x14ac:dyDescent="0.2">
      <c r="A7905">
        <v>48612</v>
      </c>
      <c r="B7905">
        <v>5607562</v>
      </c>
      <c r="C7905" t="s">
        <v>10995</v>
      </c>
      <c r="D7905">
        <v>10</v>
      </c>
      <c r="E7905">
        <v>20</v>
      </c>
      <c r="F7905">
        <v>-1</v>
      </c>
      <c r="G7905">
        <v>-20</v>
      </c>
      <c r="H7905">
        <v>54</v>
      </c>
      <c r="I7905">
        <v>0</v>
      </c>
      <c r="J7905">
        <v>3.29</v>
      </c>
      <c r="K7905">
        <v>-65.8</v>
      </c>
    </row>
    <row r="7906" spans="1:11" x14ac:dyDescent="0.2">
      <c r="A7906">
        <v>48613</v>
      </c>
      <c r="B7906">
        <v>5607563</v>
      </c>
      <c r="C7906" t="s">
        <v>10996</v>
      </c>
      <c r="D7906">
        <v>10</v>
      </c>
      <c r="E7906">
        <v>20</v>
      </c>
      <c r="F7906">
        <v>-8</v>
      </c>
      <c r="G7906">
        <v>-160</v>
      </c>
      <c r="H7906">
        <v>54</v>
      </c>
      <c r="I7906">
        <v>-0.1</v>
      </c>
      <c r="J7906">
        <v>4.99</v>
      </c>
      <c r="K7906">
        <v>-798.4</v>
      </c>
    </row>
    <row r="7907" spans="1:11" x14ac:dyDescent="0.2">
      <c r="A7907">
        <v>61190</v>
      </c>
      <c r="B7907">
        <v>5607564</v>
      </c>
      <c r="C7907" t="s">
        <v>10997</v>
      </c>
      <c r="D7907">
        <v>8</v>
      </c>
      <c r="E7907">
        <v>6</v>
      </c>
      <c r="F7907">
        <v>197</v>
      </c>
      <c r="G7907">
        <v>1182</v>
      </c>
      <c r="H7907">
        <v>80</v>
      </c>
      <c r="I7907">
        <v>2.5</v>
      </c>
      <c r="J7907">
        <v>3.49</v>
      </c>
      <c r="K7907">
        <v>4125.18</v>
      </c>
    </row>
    <row r="7908" spans="1:11" x14ac:dyDescent="0.2">
      <c r="A7908">
        <v>30525</v>
      </c>
      <c r="B7908">
        <v>5607570</v>
      </c>
      <c r="C7908" t="s">
        <v>10998</v>
      </c>
      <c r="D7908">
        <v>10</v>
      </c>
      <c r="E7908">
        <v>6</v>
      </c>
      <c r="F7908">
        <v>0</v>
      </c>
      <c r="G7908">
        <v>0</v>
      </c>
      <c r="H7908">
        <v>50</v>
      </c>
      <c r="I7908">
        <v>0</v>
      </c>
      <c r="J7908">
        <v>4.29</v>
      </c>
      <c r="K7908">
        <v>0</v>
      </c>
    </row>
    <row r="7909" spans="1:11" x14ac:dyDescent="0.2">
      <c r="A7909">
        <v>41528</v>
      </c>
      <c r="B7909">
        <v>5607571</v>
      </c>
      <c r="C7909" t="s">
        <v>10999</v>
      </c>
      <c r="D7909">
        <v>10</v>
      </c>
      <c r="E7909">
        <v>6</v>
      </c>
      <c r="F7909">
        <v>0</v>
      </c>
      <c r="G7909">
        <v>0</v>
      </c>
      <c r="H7909">
        <v>90</v>
      </c>
      <c r="I7909">
        <v>0</v>
      </c>
      <c r="J7909">
        <v>2.39</v>
      </c>
      <c r="K7909">
        <v>0</v>
      </c>
    </row>
    <row r="7910" spans="1:11" x14ac:dyDescent="0.2">
      <c r="A7910">
        <v>57458</v>
      </c>
      <c r="B7910">
        <v>5607572</v>
      </c>
      <c r="C7910" t="s">
        <v>11000</v>
      </c>
      <c r="D7910">
        <v>10</v>
      </c>
      <c r="E7910">
        <v>6</v>
      </c>
      <c r="F7910">
        <v>0</v>
      </c>
      <c r="G7910">
        <v>0</v>
      </c>
      <c r="H7910">
        <v>84</v>
      </c>
      <c r="I7910">
        <v>0</v>
      </c>
      <c r="J7910">
        <v>0.85</v>
      </c>
      <c r="K7910">
        <v>0</v>
      </c>
    </row>
    <row r="7911" spans="1:11" x14ac:dyDescent="0.2">
      <c r="B7911">
        <v>5607579</v>
      </c>
      <c r="C7911" t="s">
        <v>11001</v>
      </c>
      <c r="D7911">
        <v>10</v>
      </c>
      <c r="E7911">
        <v>10</v>
      </c>
      <c r="F7911">
        <v>0</v>
      </c>
      <c r="G7911">
        <v>0</v>
      </c>
      <c r="H7911">
        <v>72</v>
      </c>
      <c r="I7911">
        <v>0</v>
      </c>
      <c r="J7911">
        <v>2.69</v>
      </c>
      <c r="K7911">
        <v>0</v>
      </c>
    </row>
    <row r="7912" spans="1:11" x14ac:dyDescent="0.2">
      <c r="A7912">
        <v>85160</v>
      </c>
      <c r="B7912">
        <v>5607580</v>
      </c>
      <c r="C7912" t="s">
        <v>11002</v>
      </c>
      <c r="D7912">
        <v>10</v>
      </c>
      <c r="E7912">
        <v>6</v>
      </c>
      <c r="F7912">
        <v>3</v>
      </c>
      <c r="G7912">
        <v>18</v>
      </c>
      <c r="H7912">
        <v>96</v>
      </c>
      <c r="I7912">
        <v>0</v>
      </c>
      <c r="J7912">
        <v>3.99</v>
      </c>
      <c r="K7912">
        <v>71.819999999999993</v>
      </c>
    </row>
    <row r="7913" spans="1:11" x14ac:dyDescent="0.2">
      <c r="A7913">
        <v>38524</v>
      </c>
      <c r="B7913">
        <v>5607581</v>
      </c>
      <c r="C7913" t="s">
        <v>11003</v>
      </c>
      <c r="D7913">
        <v>10</v>
      </c>
      <c r="E7913">
        <v>10</v>
      </c>
      <c r="F7913">
        <v>-8</v>
      </c>
      <c r="G7913">
        <v>-80</v>
      </c>
      <c r="H7913">
        <v>72</v>
      </c>
      <c r="I7913">
        <v>-0.1</v>
      </c>
      <c r="J7913">
        <v>2.4900000000000002</v>
      </c>
      <c r="K7913">
        <v>-199.2</v>
      </c>
    </row>
    <row r="7914" spans="1:11" x14ac:dyDescent="0.2">
      <c r="A7914">
        <v>57026</v>
      </c>
      <c r="B7914">
        <v>5607583</v>
      </c>
      <c r="C7914" t="s">
        <v>11004</v>
      </c>
      <c r="D7914">
        <v>11</v>
      </c>
      <c r="E7914">
        <v>12</v>
      </c>
      <c r="F7914">
        <v>0</v>
      </c>
      <c r="G7914">
        <v>0</v>
      </c>
      <c r="H7914">
        <v>80</v>
      </c>
      <c r="I7914">
        <v>0</v>
      </c>
      <c r="J7914">
        <v>4.6900000000000004</v>
      </c>
      <c r="K7914">
        <v>0</v>
      </c>
    </row>
    <row r="7915" spans="1:11" x14ac:dyDescent="0.2">
      <c r="A7915">
        <v>73017</v>
      </c>
      <c r="B7915">
        <v>5607586</v>
      </c>
      <c r="C7915" t="s">
        <v>11005</v>
      </c>
      <c r="D7915">
        <v>8</v>
      </c>
      <c r="E7915">
        <v>80</v>
      </c>
      <c r="F7915">
        <v>162</v>
      </c>
      <c r="G7915">
        <v>12960</v>
      </c>
      <c r="H7915">
        <v>105</v>
      </c>
      <c r="I7915">
        <v>1.5</v>
      </c>
      <c r="J7915">
        <v>1.69</v>
      </c>
      <c r="K7915">
        <v>21902.400000000001</v>
      </c>
    </row>
    <row r="7916" spans="1:11" x14ac:dyDescent="0.2">
      <c r="A7916">
        <v>46615</v>
      </c>
      <c r="B7916">
        <v>5607596</v>
      </c>
      <c r="C7916" t="s">
        <v>11006</v>
      </c>
      <c r="D7916">
        <v>10</v>
      </c>
      <c r="E7916">
        <v>15</v>
      </c>
      <c r="F7916">
        <v>-1</v>
      </c>
      <c r="G7916">
        <v>-15</v>
      </c>
      <c r="H7916">
        <v>25</v>
      </c>
      <c r="I7916">
        <v>0</v>
      </c>
      <c r="J7916">
        <v>4.99</v>
      </c>
      <c r="K7916">
        <v>-74.849999999999994</v>
      </c>
    </row>
    <row r="7917" spans="1:11" x14ac:dyDescent="0.2">
      <c r="A7917">
        <v>43670</v>
      </c>
      <c r="B7917">
        <v>5607597</v>
      </c>
      <c r="C7917" t="s">
        <v>11007</v>
      </c>
      <c r="D7917">
        <v>10</v>
      </c>
      <c r="E7917">
        <v>24</v>
      </c>
      <c r="F7917">
        <v>0</v>
      </c>
      <c r="G7917">
        <v>0</v>
      </c>
      <c r="H7917">
        <v>18</v>
      </c>
      <c r="I7917">
        <v>0</v>
      </c>
      <c r="J7917">
        <v>6.49</v>
      </c>
      <c r="K7917">
        <v>0</v>
      </c>
    </row>
    <row r="7918" spans="1:11" x14ac:dyDescent="0.2">
      <c r="A7918">
        <v>48614</v>
      </c>
      <c r="B7918">
        <v>5607599</v>
      </c>
      <c r="C7918" t="s">
        <v>11008</v>
      </c>
      <c r="D7918">
        <v>10</v>
      </c>
      <c r="E7918">
        <v>15</v>
      </c>
      <c r="F7918">
        <v>2</v>
      </c>
      <c r="G7918">
        <v>30</v>
      </c>
      <c r="H7918">
        <v>25</v>
      </c>
      <c r="I7918">
        <v>0.1</v>
      </c>
      <c r="J7918">
        <v>4.1500000000000004</v>
      </c>
      <c r="K7918">
        <v>124.5</v>
      </c>
    </row>
    <row r="7919" spans="1:11" x14ac:dyDescent="0.2">
      <c r="A7919">
        <v>48615</v>
      </c>
      <c r="B7919">
        <v>5607600</v>
      </c>
      <c r="C7919" t="s">
        <v>11009</v>
      </c>
      <c r="D7919">
        <v>10</v>
      </c>
      <c r="E7919">
        <v>16</v>
      </c>
      <c r="F7919">
        <v>-3</v>
      </c>
      <c r="G7919">
        <v>-48</v>
      </c>
      <c r="H7919">
        <v>48</v>
      </c>
      <c r="I7919">
        <v>-0.1</v>
      </c>
      <c r="J7919">
        <v>3.99</v>
      </c>
      <c r="K7919">
        <v>-191.52</v>
      </c>
    </row>
    <row r="7920" spans="1:11" x14ac:dyDescent="0.2">
      <c r="A7920">
        <v>57301</v>
      </c>
      <c r="B7920">
        <v>5607601</v>
      </c>
      <c r="C7920" t="s">
        <v>11010</v>
      </c>
      <c r="D7920">
        <v>11</v>
      </c>
      <c r="E7920">
        <v>6</v>
      </c>
      <c r="F7920">
        <v>0</v>
      </c>
      <c r="G7920">
        <v>0</v>
      </c>
      <c r="H7920">
        <v>96</v>
      </c>
      <c r="I7920">
        <v>0</v>
      </c>
      <c r="J7920">
        <v>2.39</v>
      </c>
      <c r="K7920">
        <v>0</v>
      </c>
    </row>
    <row r="7921" spans="1:11" x14ac:dyDescent="0.2">
      <c r="A7921">
        <v>2613</v>
      </c>
      <c r="B7921">
        <v>5607602</v>
      </c>
      <c r="C7921" t="s">
        <v>11011</v>
      </c>
      <c r="D7921">
        <v>6</v>
      </c>
      <c r="E7921">
        <v>6</v>
      </c>
      <c r="F7921">
        <v>0</v>
      </c>
      <c r="G7921">
        <v>0</v>
      </c>
      <c r="H7921">
        <v>96</v>
      </c>
      <c r="I7921">
        <v>0</v>
      </c>
      <c r="J7921">
        <v>2.4900000000000002</v>
      </c>
      <c r="K7921">
        <v>0</v>
      </c>
    </row>
    <row r="7922" spans="1:11" x14ac:dyDescent="0.2">
      <c r="A7922">
        <v>57268</v>
      </c>
      <c r="B7922">
        <v>5607603</v>
      </c>
      <c r="C7922" t="s">
        <v>11012</v>
      </c>
      <c r="D7922">
        <v>10</v>
      </c>
      <c r="E7922">
        <v>6</v>
      </c>
      <c r="F7922">
        <v>0</v>
      </c>
      <c r="G7922">
        <v>0</v>
      </c>
      <c r="H7922">
        <v>96</v>
      </c>
      <c r="I7922">
        <v>0</v>
      </c>
      <c r="J7922">
        <v>1.69</v>
      </c>
      <c r="K7922">
        <v>0</v>
      </c>
    </row>
    <row r="7923" spans="1:11" x14ac:dyDescent="0.2">
      <c r="A7923">
        <v>57200</v>
      </c>
      <c r="B7923">
        <v>5607604</v>
      </c>
      <c r="C7923" t="s">
        <v>11013</v>
      </c>
      <c r="D7923">
        <v>10</v>
      </c>
      <c r="E7923">
        <v>12</v>
      </c>
      <c r="F7923">
        <v>0</v>
      </c>
      <c r="G7923">
        <v>0</v>
      </c>
      <c r="H7923">
        <v>54</v>
      </c>
      <c r="I7923">
        <v>0</v>
      </c>
      <c r="J7923">
        <v>3.8</v>
      </c>
      <c r="K7923">
        <v>0</v>
      </c>
    </row>
    <row r="7924" spans="1:11" x14ac:dyDescent="0.2">
      <c r="A7924">
        <v>1618</v>
      </c>
      <c r="B7924">
        <v>5607607</v>
      </c>
      <c r="C7924" t="s">
        <v>11014</v>
      </c>
      <c r="D7924">
        <v>6</v>
      </c>
      <c r="E7924">
        <v>6</v>
      </c>
      <c r="F7924">
        <v>0</v>
      </c>
      <c r="G7924">
        <v>0</v>
      </c>
      <c r="H7924">
        <v>96</v>
      </c>
      <c r="I7924">
        <v>0</v>
      </c>
      <c r="J7924">
        <v>1.79</v>
      </c>
      <c r="K7924">
        <v>0</v>
      </c>
    </row>
    <row r="7925" spans="1:11" x14ac:dyDescent="0.2">
      <c r="A7925">
        <v>1619</v>
      </c>
      <c r="B7925">
        <v>5607608</v>
      </c>
      <c r="C7925" t="s">
        <v>11015</v>
      </c>
      <c r="D7925">
        <v>6</v>
      </c>
      <c r="E7925">
        <v>6</v>
      </c>
      <c r="F7925">
        <v>0</v>
      </c>
      <c r="G7925">
        <v>0</v>
      </c>
      <c r="H7925">
        <v>96</v>
      </c>
      <c r="I7925">
        <v>0</v>
      </c>
      <c r="J7925">
        <v>2.39</v>
      </c>
      <c r="K7925">
        <v>0</v>
      </c>
    </row>
    <row r="7926" spans="1:11" x14ac:dyDescent="0.2">
      <c r="A7926">
        <v>70254</v>
      </c>
      <c r="B7926">
        <v>5607614</v>
      </c>
      <c r="C7926" t="s">
        <v>11016</v>
      </c>
      <c r="D7926">
        <v>8</v>
      </c>
      <c r="E7926">
        <v>18</v>
      </c>
      <c r="F7926">
        <v>171</v>
      </c>
      <c r="G7926">
        <v>3078</v>
      </c>
      <c r="H7926">
        <v>112</v>
      </c>
      <c r="I7926">
        <v>1.5</v>
      </c>
      <c r="J7926">
        <v>2.25</v>
      </c>
      <c r="K7926">
        <v>6925.5</v>
      </c>
    </row>
    <row r="7927" spans="1:11" x14ac:dyDescent="0.2">
      <c r="A7927">
        <v>25660</v>
      </c>
      <c r="B7927">
        <v>5607616</v>
      </c>
      <c r="C7927" t="s">
        <v>11017</v>
      </c>
      <c r="D7927">
        <v>6</v>
      </c>
      <c r="E7927">
        <v>8</v>
      </c>
      <c r="F7927">
        <v>0</v>
      </c>
      <c r="G7927">
        <v>0</v>
      </c>
      <c r="H7927">
        <v>60</v>
      </c>
      <c r="I7927">
        <v>0</v>
      </c>
      <c r="J7927">
        <v>3.2</v>
      </c>
      <c r="K7927">
        <v>0</v>
      </c>
    </row>
    <row r="7928" spans="1:11" x14ac:dyDescent="0.2">
      <c r="B7928">
        <v>5607617</v>
      </c>
      <c r="C7928" t="s">
        <v>11018</v>
      </c>
      <c r="D7928">
        <v>10</v>
      </c>
      <c r="E7928">
        <v>6</v>
      </c>
      <c r="F7928">
        <v>0</v>
      </c>
      <c r="G7928">
        <v>0</v>
      </c>
      <c r="H7928">
        <v>115</v>
      </c>
      <c r="I7928">
        <v>0</v>
      </c>
      <c r="J7928">
        <v>1.45</v>
      </c>
      <c r="K7928">
        <v>0</v>
      </c>
    </row>
    <row r="7929" spans="1:11" x14ac:dyDescent="0.2">
      <c r="A7929">
        <v>33647</v>
      </c>
      <c r="B7929">
        <v>5607618</v>
      </c>
      <c r="C7929" t="s">
        <v>11019</v>
      </c>
      <c r="D7929">
        <v>10</v>
      </c>
      <c r="E7929">
        <v>6</v>
      </c>
      <c r="F7929">
        <v>0</v>
      </c>
      <c r="G7929">
        <v>0</v>
      </c>
      <c r="H7929">
        <v>100</v>
      </c>
      <c r="I7929">
        <v>0</v>
      </c>
      <c r="J7929">
        <v>0.55000000000000004</v>
      </c>
      <c r="K7929">
        <v>0</v>
      </c>
    </row>
    <row r="7930" spans="1:11" x14ac:dyDescent="0.2">
      <c r="B7930">
        <v>5607619</v>
      </c>
      <c r="C7930" t="s">
        <v>11020</v>
      </c>
      <c r="D7930">
        <v>10</v>
      </c>
      <c r="E7930">
        <v>6</v>
      </c>
      <c r="F7930">
        <v>-1</v>
      </c>
      <c r="G7930">
        <v>-6</v>
      </c>
      <c r="H7930">
        <v>45</v>
      </c>
      <c r="I7930">
        <v>0</v>
      </c>
      <c r="J7930">
        <v>1.76</v>
      </c>
      <c r="K7930">
        <v>-10.56</v>
      </c>
    </row>
    <row r="7931" spans="1:11" x14ac:dyDescent="0.2">
      <c r="A7931">
        <v>72184</v>
      </c>
      <c r="B7931">
        <v>5607620</v>
      </c>
      <c r="C7931" t="s">
        <v>11021</v>
      </c>
      <c r="D7931">
        <v>8</v>
      </c>
      <c r="E7931">
        <v>4</v>
      </c>
      <c r="F7931">
        <v>704</v>
      </c>
      <c r="G7931">
        <v>2817</v>
      </c>
      <c r="H7931">
        <v>144</v>
      </c>
      <c r="I7931">
        <v>4.9000000000000004</v>
      </c>
      <c r="J7931">
        <v>2.59</v>
      </c>
      <c r="K7931">
        <v>7296.03</v>
      </c>
    </row>
    <row r="7932" spans="1:11" x14ac:dyDescent="0.2">
      <c r="A7932">
        <v>2614</v>
      </c>
      <c r="B7932">
        <v>5607622</v>
      </c>
      <c r="C7932" t="s">
        <v>11022</v>
      </c>
      <c r="D7932">
        <v>6</v>
      </c>
      <c r="E7932">
        <v>6</v>
      </c>
      <c r="F7932">
        <v>2</v>
      </c>
      <c r="G7932">
        <v>12</v>
      </c>
      <c r="H7932">
        <v>105</v>
      </c>
      <c r="I7932">
        <v>0</v>
      </c>
      <c r="J7932">
        <v>2.69</v>
      </c>
      <c r="K7932">
        <v>32.28</v>
      </c>
    </row>
    <row r="7933" spans="1:11" x14ac:dyDescent="0.2">
      <c r="A7933">
        <v>84248</v>
      </c>
      <c r="B7933">
        <v>5607626</v>
      </c>
      <c r="C7933" t="s">
        <v>11023</v>
      </c>
      <c r="D7933">
        <v>8</v>
      </c>
      <c r="E7933">
        <v>4</v>
      </c>
      <c r="F7933">
        <v>46</v>
      </c>
      <c r="G7933">
        <v>184</v>
      </c>
      <c r="H7933">
        <v>48</v>
      </c>
      <c r="I7933">
        <v>1</v>
      </c>
      <c r="J7933">
        <v>1.99</v>
      </c>
      <c r="K7933">
        <v>366.16</v>
      </c>
    </row>
    <row r="7934" spans="1:11" x14ac:dyDescent="0.2">
      <c r="A7934">
        <v>57590</v>
      </c>
      <c r="B7934">
        <v>5607627</v>
      </c>
      <c r="C7934" t="s">
        <v>11024</v>
      </c>
      <c r="D7934">
        <v>10</v>
      </c>
      <c r="E7934">
        <v>22</v>
      </c>
      <c r="F7934">
        <v>17</v>
      </c>
      <c r="G7934">
        <v>370</v>
      </c>
      <c r="H7934">
        <v>48</v>
      </c>
      <c r="I7934">
        <v>0.4</v>
      </c>
      <c r="J7934">
        <v>0.5</v>
      </c>
      <c r="K7934">
        <v>185</v>
      </c>
    </row>
    <row r="7935" spans="1:11" x14ac:dyDescent="0.2">
      <c r="A7935">
        <v>57269</v>
      </c>
      <c r="B7935">
        <v>5607630</v>
      </c>
      <c r="C7935" t="s">
        <v>11025</v>
      </c>
      <c r="D7935">
        <v>11</v>
      </c>
      <c r="E7935">
        <v>6</v>
      </c>
      <c r="F7935">
        <v>0</v>
      </c>
      <c r="G7935">
        <v>0</v>
      </c>
      <c r="H7935">
        <v>84</v>
      </c>
      <c r="I7935">
        <v>0</v>
      </c>
      <c r="J7935">
        <v>1.5</v>
      </c>
      <c r="K7935">
        <v>0</v>
      </c>
    </row>
    <row r="7936" spans="1:11" x14ac:dyDescent="0.2">
      <c r="A7936">
        <v>49613</v>
      </c>
      <c r="B7936">
        <v>5607639</v>
      </c>
      <c r="C7936" t="s">
        <v>11026</v>
      </c>
      <c r="D7936">
        <v>10</v>
      </c>
      <c r="E7936">
        <v>16</v>
      </c>
      <c r="F7936">
        <v>0</v>
      </c>
      <c r="G7936">
        <v>0</v>
      </c>
      <c r="H7936">
        <v>120</v>
      </c>
      <c r="I7936">
        <v>0</v>
      </c>
      <c r="J7936">
        <v>3.19</v>
      </c>
      <c r="K7936">
        <v>0</v>
      </c>
    </row>
    <row r="7937" spans="1:11" x14ac:dyDescent="0.2">
      <c r="A7937">
        <v>49614</v>
      </c>
      <c r="B7937">
        <v>5607640</v>
      </c>
      <c r="C7937" t="s">
        <v>11027</v>
      </c>
      <c r="D7937">
        <v>10</v>
      </c>
      <c r="E7937">
        <v>12</v>
      </c>
      <c r="F7937">
        <v>0</v>
      </c>
      <c r="G7937">
        <v>0</v>
      </c>
      <c r="H7937">
        <v>144</v>
      </c>
      <c r="I7937">
        <v>0</v>
      </c>
      <c r="J7937">
        <v>9.89</v>
      </c>
      <c r="K7937">
        <v>0</v>
      </c>
    </row>
    <row r="7938" spans="1:11" x14ac:dyDescent="0.2">
      <c r="A7938">
        <v>49615</v>
      </c>
      <c r="B7938">
        <v>5607641</v>
      </c>
      <c r="C7938" t="s">
        <v>11028</v>
      </c>
      <c r="D7938">
        <v>10</v>
      </c>
      <c r="E7938">
        <v>12</v>
      </c>
      <c r="F7938">
        <v>0</v>
      </c>
      <c r="G7938">
        <v>0</v>
      </c>
      <c r="H7938">
        <v>126</v>
      </c>
      <c r="I7938">
        <v>0</v>
      </c>
      <c r="J7938">
        <v>4.99</v>
      </c>
      <c r="K7938">
        <v>0</v>
      </c>
    </row>
    <row r="7939" spans="1:11" x14ac:dyDescent="0.2">
      <c r="A7939">
        <v>57501</v>
      </c>
      <c r="B7939">
        <v>5607645</v>
      </c>
      <c r="C7939" t="s">
        <v>11029</v>
      </c>
      <c r="D7939">
        <v>10</v>
      </c>
      <c r="E7939">
        <v>1</v>
      </c>
      <c r="F7939">
        <v>145</v>
      </c>
      <c r="G7939">
        <v>145</v>
      </c>
      <c r="H7939">
        <v>120</v>
      </c>
      <c r="I7939">
        <v>1.2</v>
      </c>
      <c r="J7939">
        <v>1.3</v>
      </c>
      <c r="K7939">
        <v>188.5</v>
      </c>
    </row>
    <row r="7940" spans="1:11" x14ac:dyDescent="0.2">
      <c r="A7940">
        <v>27665</v>
      </c>
      <c r="B7940">
        <v>5607646</v>
      </c>
      <c r="C7940" t="s">
        <v>11030</v>
      </c>
      <c r="D7940">
        <v>10</v>
      </c>
      <c r="E7940">
        <v>1</v>
      </c>
      <c r="F7940">
        <v>0</v>
      </c>
      <c r="G7940">
        <v>0</v>
      </c>
      <c r="H7940">
        <v>168</v>
      </c>
      <c r="I7940">
        <v>0</v>
      </c>
      <c r="J7940">
        <v>0.8</v>
      </c>
      <c r="K7940">
        <v>0</v>
      </c>
    </row>
    <row r="7941" spans="1:11" x14ac:dyDescent="0.2">
      <c r="A7941">
        <v>57270</v>
      </c>
      <c r="B7941">
        <v>5607648</v>
      </c>
      <c r="C7941" t="s">
        <v>11031</v>
      </c>
      <c r="D7941">
        <v>10</v>
      </c>
      <c r="E7941">
        <v>1</v>
      </c>
      <c r="F7941">
        <v>0</v>
      </c>
      <c r="G7941">
        <v>0</v>
      </c>
      <c r="H7941">
        <v>36</v>
      </c>
      <c r="I7941">
        <v>0</v>
      </c>
      <c r="J7941">
        <v>0.8</v>
      </c>
      <c r="K7941">
        <v>0</v>
      </c>
    </row>
    <row r="7942" spans="1:11" x14ac:dyDescent="0.2">
      <c r="A7942">
        <v>57502</v>
      </c>
      <c r="B7942">
        <v>5607649</v>
      </c>
      <c r="C7942" t="s">
        <v>11032</v>
      </c>
      <c r="D7942">
        <v>10</v>
      </c>
      <c r="E7942">
        <v>1</v>
      </c>
      <c r="F7942">
        <v>266</v>
      </c>
      <c r="G7942">
        <v>266</v>
      </c>
      <c r="H7942">
        <v>180</v>
      </c>
      <c r="I7942">
        <v>1.5</v>
      </c>
      <c r="J7942">
        <v>0.8</v>
      </c>
      <c r="K7942">
        <v>212.8</v>
      </c>
    </row>
    <row r="7943" spans="1:11" x14ac:dyDescent="0.2">
      <c r="A7943">
        <v>45611</v>
      </c>
      <c r="B7943">
        <v>5607650</v>
      </c>
      <c r="C7943" t="s">
        <v>11033</v>
      </c>
      <c r="D7943">
        <v>10</v>
      </c>
      <c r="E7943">
        <v>30</v>
      </c>
      <c r="F7943">
        <v>0</v>
      </c>
      <c r="G7943">
        <v>0</v>
      </c>
      <c r="H7943">
        <v>36</v>
      </c>
      <c r="I7943">
        <v>0</v>
      </c>
      <c r="J7943">
        <v>0.5</v>
      </c>
      <c r="K7943">
        <v>0</v>
      </c>
    </row>
    <row r="7944" spans="1:11" x14ac:dyDescent="0.2">
      <c r="A7944">
        <v>27668</v>
      </c>
      <c r="B7944">
        <v>5607651</v>
      </c>
      <c r="C7944" t="s">
        <v>11034</v>
      </c>
      <c r="D7944">
        <v>10</v>
      </c>
      <c r="E7944">
        <v>1</v>
      </c>
      <c r="F7944">
        <v>0</v>
      </c>
      <c r="G7944">
        <v>0</v>
      </c>
      <c r="H7944">
        <v>400</v>
      </c>
      <c r="I7944">
        <v>0</v>
      </c>
      <c r="J7944">
        <v>2.2999999999999998</v>
      </c>
      <c r="K7944">
        <v>0</v>
      </c>
    </row>
    <row r="7945" spans="1:11" x14ac:dyDescent="0.2">
      <c r="A7945">
        <v>27669</v>
      </c>
      <c r="B7945">
        <v>5607652</v>
      </c>
      <c r="C7945" t="s">
        <v>11035</v>
      </c>
      <c r="D7945">
        <v>10</v>
      </c>
      <c r="E7945">
        <v>1</v>
      </c>
      <c r="F7945">
        <v>0</v>
      </c>
      <c r="G7945">
        <v>0</v>
      </c>
      <c r="H7945">
        <v>192</v>
      </c>
      <c r="I7945">
        <v>0</v>
      </c>
      <c r="J7945">
        <v>1.3</v>
      </c>
      <c r="K7945">
        <v>0</v>
      </c>
    </row>
    <row r="7946" spans="1:11" x14ac:dyDescent="0.2">
      <c r="A7946">
        <v>66028</v>
      </c>
      <c r="B7946">
        <v>5607653</v>
      </c>
      <c r="C7946" t="s">
        <v>11036</v>
      </c>
      <c r="D7946">
        <v>8</v>
      </c>
      <c r="E7946">
        <v>42</v>
      </c>
      <c r="F7946">
        <v>295</v>
      </c>
      <c r="G7946">
        <v>12390</v>
      </c>
      <c r="H7946">
        <v>90</v>
      </c>
      <c r="I7946">
        <v>3.3</v>
      </c>
      <c r="J7946">
        <v>1.39</v>
      </c>
      <c r="K7946">
        <v>17222.099999999999</v>
      </c>
    </row>
    <row r="7947" spans="1:11" x14ac:dyDescent="0.2">
      <c r="A7947">
        <v>82179</v>
      </c>
      <c r="B7947">
        <v>5607654</v>
      </c>
      <c r="C7947" t="s">
        <v>11037</v>
      </c>
      <c r="D7947">
        <v>8</v>
      </c>
      <c r="E7947">
        <v>10</v>
      </c>
      <c r="F7947">
        <v>280</v>
      </c>
      <c r="G7947">
        <v>2800</v>
      </c>
      <c r="H7947">
        <v>120</v>
      </c>
      <c r="I7947">
        <v>2.2999999999999998</v>
      </c>
      <c r="J7947">
        <v>1.95</v>
      </c>
      <c r="K7947">
        <v>5460</v>
      </c>
    </row>
    <row r="7948" spans="1:11" x14ac:dyDescent="0.2">
      <c r="A7948">
        <v>38526</v>
      </c>
      <c r="B7948">
        <v>5607658</v>
      </c>
      <c r="C7948" t="s">
        <v>11038</v>
      </c>
      <c r="D7948">
        <v>10</v>
      </c>
      <c r="E7948">
        <v>4</v>
      </c>
      <c r="F7948">
        <v>-1</v>
      </c>
      <c r="G7948">
        <v>-4</v>
      </c>
      <c r="H7948">
        <v>30</v>
      </c>
      <c r="I7948">
        <v>0</v>
      </c>
      <c r="J7948">
        <v>5.69</v>
      </c>
      <c r="K7948">
        <v>-22.76</v>
      </c>
    </row>
    <row r="7949" spans="1:11" x14ac:dyDescent="0.2">
      <c r="B7949">
        <v>5607659</v>
      </c>
      <c r="C7949" t="s">
        <v>11039</v>
      </c>
      <c r="D7949">
        <v>10</v>
      </c>
      <c r="E7949">
        <v>6</v>
      </c>
      <c r="F7949">
        <v>-2</v>
      </c>
      <c r="G7949">
        <v>-12</v>
      </c>
      <c r="H7949">
        <v>30</v>
      </c>
      <c r="I7949">
        <v>-0.1</v>
      </c>
      <c r="J7949">
        <v>2.39</v>
      </c>
      <c r="K7949">
        <v>-28.68</v>
      </c>
    </row>
    <row r="7950" spans="1:11" x14ac:dyDescent="0.2">
      <c r="A7950">
        <v>57027</v>
      </c>
      <c r="B7950">
        <v>5607660</v>
      </c>
      <c r="C7950" t="s">
        <v>11040</v>
      </c>
      <c r="D7950">
        <v>11</v>
      </c>
      <c r="E7950">
        <v>12</v>
      </c>
      <c r="F7950">
        <v>0</v>
      </c>
      <c r="G7950">
        <v>0</v>
      </c>
      <c r="H7950">
        <v>119</v>
      </c>
      <c r="I7950">
        <v>0</v>
      </c>
      <c r="J7950">
        <v>1.1000000000000001</v>
      </c>
      <c r="K7950">
        <v>0</v>
      </c>
    </row>
    <row r="7951" spans="1:11" x14ac:dyDescent="0.2">
      <c r="A7951">
        <v>35533</v>
      </c>
      <c r="B7951">
        <v>5607661</v>
      </c>
      <c r="C7951" t="s">
        <v>11041</v>
      </c>
      <c r="D7951">
        <v>10</v>
      </c>
      <c r="E7951">
        <v>8</v>
      </c>
      <c r="F7951">
        <v>0</v>
      </c>
      <c r="G7951">
        <v>0</v>
      </c>
      <c r="H7951">
        <v>125</v>
      </c>
      <c r="I7951">
        <v>0</v>
      </c>
      <c r="J7951">
        <v>1.86</v>
      </c>
      <c r="K7951">
        <v>0</v>
      </c>
    </row>
    <row r="7952" spans="1:11" x14ac:dyDescent="0.2">
      <c r="A7952">
        <v>57503</v>
      </c>
      <c r="B7952">
        <v>5607662</v>
      </c>
      <c r="C7952" t="s">
        <v>11042</v>
      </c>
      <c r="D7952">
        <v>10</v>
      </c>
      <c r="E7952">
        <v>12</v>
      </c>
      <c r="F7952">
        <v>7</v>
      </c>
      <c r="G7952">
        <v>81</v>
      </c>
      <c r="H7952">
        <v>150</v>
      </c>
      <c r="I7952">
        <v>0</v>
      </c>
      <c r="J7952">
        <v>1.9</v>
      </c>
      <c r="K7952">
        <v>153.9</v>
      </c>
    </row>
    <row r="7953" spans="1:11" x14ac:dyDescent="0.2">
      <c r="A7953">
        <v>57529</v>
      </c>
      <c r="B7953">
        <v>5607664</v>
      </c>
      <c r="C7953" t="s">
        <v>11043</v>
      </c>
      <c r="D7953">
        <v>10</v>
      </c>
      <c r="E7953">
        <v>18</v>
      </c>
      <c r="F7953">
        <v>6</v>
      </c>
      <c r="G7953">
        <v>109</v>
      </c>
      <c r="H7953">
        <v>78</v>
      </c>
      <c r="I7953">
        <v>0.1</v>
      </c>
      <c r="J7953">
        <v>1.69</v>
      </c>
      <c r="K7953">
        <v>184.21</v>
      </c>
    </row>
    <row r="7954" spans="1:11" x14ac:dyDescent="0.2">
      <c r="A7954">
        <v>27672</v>
      </c>
      <c r="B7954">
        <v>5607665</v>
      </c>
      <c r="C7954" t="s">
        <v>11044</v>
      </c>
      <c r="D7954">
        <v>10</v>
      </c>
      <c r="E7954">
        <v>1</v>
      </c>
      <c r="F7954">
        <v>0</v>
      </c>
      <c r="G7954">
        <v>0</v>
      </c>
      <c r="H7954">
        <v>288</v>
      </c>
      <c r="I7954">
        <v>0</v>
      </c>
      <c r="J7954">
        <v>5</v>
      </c>
      <c r="K7954">
        <v>0</v>
      </c>
    </row>
    <row r="7955" spans="1:11" x14ac:dyDescent="0.2">
      <c r="A7955">
        <v>57165</v>
      </c>
      <c r="B7955">
        <v>5607668</v>
      </c>
      <c r="C7955" t="s">
        <v>11045</v>
      </c>
      <c r="D7955">
        <v>6</v>
      </c>
      <c r="E7955">
        <v>72</v>
      </c>
      <c r="F7955">
        <v>0</v>
      </c>
      <c r="G7955">
        <v>0</v>
      </c>
      <c r="H7955">
        <v>4</v>
      </c>
      <c r="I7955">
        <v>0</v>
      </c>
      <c r="J7955">
        <v>3.39</v>
      </c>
      <c r="K7955">
        <v>0</v>
      </c>
    </row>
    <row r="7956" spans="1:11" x14ac:dyDescent="0.2">
      <c r="B7956">
        <v>5607676</v>
      </c>
      <c r="C7956" t="s">
        <v>11046</v>
      </c>
      <c r="D7956">
        <v>11</v>
      </c>
      <c r="E7956">
        <v>6</v>
      </c>
      <c r="F7956">
        <v>27</v>
      </c>
      <c r="G7956">
        <v>162</v>
      </c>
      <c r="H7956">
        <v>80</v>
      </c>
      <c r="I7956">
        <v>0.3</v>
      </c>
      <c r="J7956">
        <v>4.49</v>
      </c>
      <c r="K7956">
        <v>727.38</v>
      </c>
    </row>
    <row r="7957" spans="1:11" x14ac:dyDescent="0.2">
      <c r="A7957">
        <v>33273</v>
      </c>
      <c r="B7957">
        <v>5607688</v>
      </c>
      <c r="C7957" t="s">
        <v>11047</v>
      </c>
      <c r="D7957">
        <v>10</v>
      </c>
      <c r="E7957">
        <v>12</v>
      </c>
      <c r="F7957">
        <v>2</v>
      </c>
      <c r="G7957">
        <v>24</v>
      </c>
      <c r="H7957">
        <v>96</v>
      </c>
      <c r="I7957">
        <v>0</v>
      </c>
      <c r="J7957">
        <v>3.39</v>
      </c>
      <c r="K7957">
        <v>81.36</v>
      </c>
    </row>
    <row r="7958" spans="1:11" x14ac:dyDescent="0.2">
      <c r="A7958">
        <v>46636</v>
      </c>
      <c r="B7958">
        <v>5607692</v>
      </c>
      <c r="C7958" t="s">
        <v>11048</v>
      </c>
      <c r="D7958">
        <v>10</v>
      </c>
      <c r="E7958">
        <v>12</v>
      </c>
      <c r="F7958">
        <v>0</v>
      </c>
      <c r="G7958">
        <v>0</v>
      </c>
      <c r="H7958">
        <v>112</v>
      </c>
      <c r="I7958">
        <v>0</v>
      </c>
      <c r="J7958">
        <v>3.49</v>
      </c>
      <c r="K7958">
        <v>0</v>
      </c>
    </row>
    <row r="7959" spans="1:11" x14ac:dyDescent="0.2">
      <c r="A7959">
        <v>57201</v>
      </c>
      <c r="B7959">
        <v>5607693</v>
      </c>
      <c r="C7959" t="s">
        <v>11049</v>
      </c>
      <c r="D7959">
        <v>10</v>
      </c>
      <c r="E7959">
        <v>200</v>
      </c>
      <c r="F7959">
        <v>0</v>
      </c>
      <c r="G7959">
        <v>0</v>
      </c>
      <c r="H7959">
        <v>2</v>
      </c>
      <c r="I7959">
        <v>0</v>
      </c>
      <c r="J7959">
        <v>1.2</v>
      </c>
      <c r="K7959">
        <v>0</v>
      </c>
    </row>
    <row r="7960" spans="1:11" x14ac:dyDescent="0.2">
      <c r="A7960">
        <v>57530</v>
      </c>
      <c r="B7960">
        <v>5607695</v>
      </c>
      <c r="C7960" t="s">
        <v>11050</v>
      </c>
      <c r="D7960">
        <v>10</v>
      </c>
      <c r="E7960">
        <v>6</v>
      </c>
      <c r="F7960">
        <v>8</v>
      </c>
      <c r="G7960">
        <v>48</v>
      </c>
      <c r="H7960">
        <v>100</v>
      </c>
      <c r="I7960">
        <v>0.1</v>
      </c>
      <c r="J7960">
        <v>0.78</v>
      </c>
      <c r="K7960">
        <v>37.44</v>
      </c>
    </row>
    <row r="7961" spans="1:11" x14ac:dyDescent="0.2">
      <c r="A7961">
        <v>57531</v>
      </c>
      <c r="B7961">
        <v>5607696</v>
      </c>
      <c r="C7961" t="s">
        <v>11051</v>
      </c>
      <c r="D7961">
        <v>10</v>
      </c>
      <c r="E7961">
        <v>6</v>
      </c>
      <c r="F7961">
        <v>1</v>
      </c>
      <c r="G7961">
        <v>6</v>
      </c>
      <c r="H7961">
        <v>100</v>
      </c>
      <c r="I7961">
        <v>0</v>
      </c>
      <c r="J7961">
        <v>0.78</v>
      </c>
      <c r="K7961">
        <v>4.68</v>
      </c>
    </row>
    <row r="7962" spans="1:11" x14ac:dyDescent="0.2">
      <c r="A7962">
        <v>70258</v>
      </c>
      <c r="B7962">
        <v>5607699</v>
      </c>
      <c r="C7962" t="s">
        <v>11052</v>
      </c>
      <c r="D7962">
        <v>8</v>
      </c>
      <c r="E7962">
        <v>24</v>
      </c>
      <c r="F7962">
        <v>189</v>
      </c>
      <c r="G7962">
        <v>4536</v>
      </c>
      <c r="H7962">
        <v>84</v>
      </c>
      <c r="I7962">
        <v>2.2999999999999998</v>
      </c>
      <c r="J7962">
        <v>2.09</v>
      </c>
      <c r="K7962">
        <v>9480.24</v>
      </c>
    </row>
    <row r="7963" spans="1:11" x14ac:dyDescent="0.2">
      <c r="A7963">
        <v>48619</v>
      </c>
      <c r="B7963">
        <v>5607703</v>
      </c>
      <c r="C7963" t="s">
        <v>11053</v>
      </c>
      <c r="D7963">
        <v>10</v>
      </c>
      <c r="E7963">
        <v>12</v>
      </c>
      <c r="F7963">
        <v>0</v>
      </c>
      <c r="G7963">
        <v>0</v>
      </c>
      <c r="H7963">
        <v>16</v>
      </c>
      <c r="I7963">
        <v>0</v>
      </c>
      <c r="J7963">
        <v>12.99</v>
      </c>
      <c r="K7963">
        <v>0</v>
      </c>
    </row>
    <row r="7964" spans="1:11" x14ac:dyDescent="0.2">
      <c r="A7964">
        <v>72230</v>
      </c>
      <c r="B7964">
        <v>5607705</v>
      </c>
      <c r="C7964" t="s">
        <v>11054</v>
      </c>
      <c r="D7964">
        <v>8</v>
      </c>
      <c r="E7964">
        <v>6</v>
      </c>
      <c r="F7964">
        <v>437</v>
      </c>
      <c r="G7964">
        <v>2622</v>
      </c>
      <c r="H7964">
        <v>300</v>
      </c>
      <c r="I7964">
        <v>1.5</v>
      </c>
      <c r="J7964">
        <v>4.99</v>
      </c>
      <c r="K7964">
        <v>13083.78</v>
      </c>
    </row>
    <row r="7965" spans="1:11" x14ac:dyDescent="0.2">
      <c r="A7965">
        <v>95275</v>
      </c>
      <c r="B7965">
        <v>5607712</v>
      </c>
      <c r="C7965" t="s">
        <v>11055</v>
      </c>
      <c r="D7965">
        <v>8</v>
      </c>
      <c r="E7965">
        <v>140</v>
      </c>
      <c r="F7965">
        <v>84</v>
      </c>
      <c r="G7965">
        <v>11760</v>
      </c>
      <c r="H7965">
        <v>2</v>
      </c>
      <c r="I7965">
        <v>42</v>
      </c>
      <c r="J7965">
        <v>1.55</v>
      </c>
      <c r="K7965">
        <v>18228</v>
      </c>
    </row>
    <row r="7966" spans="1:11" x14ac:dyDescent="0.2">
      <c r="A7966">
        <v>95282</v>
      </c>
      <c r="B7966">
        <v>5607713</v>
      </c>
      <c r="C7966" t="s">
        <v>11056</v>
      </c>
      <c r="D7966">
        <v>8</v>
      </c>
      <c r="E7966">
        <v>60</v>
      </c>
      <c r="F7966">
        <v>119</v>
      </c>
      <c r="G7966">
        <v>7140</v>
      </c>
      <c r="H7966">
        <v>2</v>
      </c>
      <c r="I7966">
        <v>59.5</v>
      </c>
      <c r="J7966">
        <v>3.15</v>
      </c>
      <c r="K7966">
        <v>22491</v>
      </c>
    </row>
    <row r="7967" spans="1:11" x14ac:dyDescent="0.2">
      <c r="A7967">
        <v>66105</v>
      </c>
      <c r="B7967">
        <v>5607714</v>
      </c>
      <c r="C7967" t="s">
        <v>11057</v>
      </c>
      <c r="D7967">
        <v>8</v>
      </c>
      <c r="E7967">
        <v>16</v>
      </c>
      <c r="F7967">
        <v>473</v>
      </c>
      <c r="G7967">
        <v>7562</v>
      </c>
      <c r="H7967">
        <v>60</v>
      </c>
      <c r="I7967">
        <v>7.9</v>
      </c>
      <c r="J7967">
        <v>1.19</v>
      </c>
      <c r="K7967">
        <v>8998.7800000000007</v>
      </c>
    </row>
    <row r="7968" spans="1:11" x14ac:dyDescent="0.2">
      <c r="A7968">
        <v>47616</v>
      </c>
      <c r="B7968">
        <v>5607721</v>
      </c>
      <c r="C7968" t="s">
        <v>11058</v>
      </c>
      <c r="D7968">
        <v>10</v>
      </c>
      <c r="E7968">
        <v>36</v>
      </c>
      <c r="F7968">
        <v>4</v>
      </c>
      <c r="G7968">
        <v>144</v>
      </c>
      <c r="H7968">
        <v>98</v>
      </c>
      <c r="I7968">
        <v>0</v>
      </c>
      <c r="J7968">
        <v>1.99</v>
      </c>
      <c r="K7968">
        <v>286.56</v>
      </c>
    </row>
    <row r="7969" spans="1:11" x14ac:dyDescent="0.2">
      <c r="A7969">
        <v>51515</v>
      </c>
      <c r="B7969">
        <v>5607723</v>
      </c>
      <c r="C7969" t="s">
        <v>11059</v>
      </c>
      <c r="D7969">
        <v>10</v>
      </c>
      <c r="E7969">
        <v>14</v>
      </c>
      <c r="F7969">
        <v>3</v>
      </c>
      <c r="G7969">
        <v>42</v>
      </c>
      <c r="H7969">
        <v>170</v>
      </c>
      <c r="I7969">
        <v>0</v>
      </c>
      <c r="J7969">
        <v>12.59</v>
      </c>
      <c r="K7969">
        <v>528.78</v>
      </c>
    </row>
    <row r="7970" spans="1:11" x14ac:dyDescent="0.2">
      <c r="A7970">
        <v>57028</v>
      </c>
      <c r="B7970">
        <v>5607724</v>
      </c>
      <c r="C7970" t="s">
        <v>11060</v>
      </c>
      <c r="D7970">
        <v>11</v>
      </c>
      <c r="E7970">
        <v>1</v>
      </c>
      <c r="F7970">
        <v>0</v>
      </c>
      <c r="G7970">
        <v>0</v>
      </c>
      <c r="H7970">
        <v>250</v>
      </c>
      <c r="I7970">
        <v>0</v>
      </c>
      <c r="J7970">
        <v>2.48</v>
      </c>
      <c r="K7970">
        <v>0</v>
      </c>
    </row>
    <row r="7971" spans="1:11" x14ac:dyDescent="0.2">
      <c r="A7971">
        <v>50511</v>
      </c>
      <c r="B7971">
        <v>5607725</v>
      </c>
      <c r="C7971" t="s">
        <v>11061</v>
      </c>
      <c r="D7971">
        <v>10</v>
      </c>
      <c r="E7971">
        <v>3</v>
      </c>
      <c r="F7971">
        <v>3</v>
      </c>
      <c r="G7971">
        <v>9</v>
      </c>
      <c r="H7971">
        <v>216</v>
      </c>
      <c r="I7971">
        <v>0</v>
      </c>
      <c r="J7971">
        <v>2.29</v>
      </c>
      <c r="K7971">
        <v>20.61</v>
      </c>
    </row>
    <row r="7972" spans="1:11" x14ac:dyDescent="0.2">
      <c r="A7972">
        <v>50512</v>
      </c>
      <c r="B7972">
        <v>5607726</v>
      </c>
      <c r="C7972" t="s">
        <v>11062</v>
      </c>
      <c r="D7972">
        <v>10</v>
      </c>
      <c r="E7972">
        <v>3</v>
      </c>
      <c r="F7972">
        <v>-2</v>
      </c>
      <c r="G7972">
        <v>-6</v>
      </c>
      <c r="H7972">
        <v>216</v>
      </c>
      <c r="I7972">
        <v>0</v>
      </c>
      <c r="J7972">
        <v>2.29</v>
      </c>
      <c r="K7972">
        <v>-13.74</v>
      </c>
    </row>
    <row r="7973" spans="1:11" x14ac:dyDescent="0.2">
      <c r="A7973">
        <v>29542</v>
      </c>
      <c r="B7973">
        <v>5607727</v>
      </c>
      <c r="C7973" t="s">
        <v>11063</v>
      </c>
      <c r="D7973">
        <v>10</v>
      </c>
      <c r="E7973">
        <v>4</v>
      </c>
      <c r="F7973">
        <v>0</v>
      </c>
      <c r="G7973">
        <v>0</v>
      </c>
      <c r="H7973">
        <v>42</v>
      </c>
      <c r="I7973">
        <v>0</v>
      </c>
      <c r="J7973">
        <v>2.79</v>
      </c>
      <c r="K7973">
        <v>0</v>
      </c>
    </row>
    <row r="7974" spans="1:11" x14ac:dyDescent="0.2">
      <c r="A7974">
        <v>99691</v>
      </c>
      <c r="B7974">
        <v>5607728</v>
      </c>
      <c r="C7974" t="s">
        <v>11064</v>
      </c>
      <c r="D7974">
        <v>10</v>
      </c>
      <c r="E7974">
        <v>8</v>
      </c>
      <c r="F7974">
        <v>0</v>
      </c>
      <c r="G7974">
        <v>0</v>
      </c>
      <c r="H7974">
        <v>144</v>
      </c>
      <c r="I7974">
        <v>0</v>
      </c>
      <c r="J7974">
        <v>5.19</v>
      </c>
      <c r="K7974">
        <v>0</v>
      </c>
    </row>
    <row r="7975" spans="1:11" x14ac:dyDescent="0.2">
      <c r="A7975">
        <v>99690</v>
      </c>
      <c r="B7975">
        <v>5607729</v>
      </c>
      <c r="C7975" t="s">
        <v>11065</v>
      </c>
      <c r="D7975">
        <v>10</v>
      </c>
      <c r="E7975">
        <v>8</v>
      </c>
      <c r="F7975">
        <v>0</v>
      </c>
      <c r="G7975">
        <v>0</v>
      </c>
      <c r="H7975">
        <v>144</v>
      </c>
      <c r="I7975">
        <v>0</v>
      </c>
      <c r="J7975">
        <v>5.19</v>
      </c>
      <c r="K7975">
        <v>0</v>
      </c>
    </row>
    <row r="7976" spans="1:11" x14ac:dyDescent="0.2">
      <c r="A7976">
        <v>99692</v>
      </c>
      <c r="B7976">
        <v>5607730</v>
      </c>
      <c r="C7976" t="s">
        <v>11066</v>
      </c>
      <c r="D7976">
        <v>10</v>
      </c>
      <c r="E7976">
        <v>8</v>
      </c>
      <c r="F7976">
        <v>0</v>
      </c>
      <c r="G7976">
        <v>0</v>
      </c>
      <c r="H7976">
        <v>144</v>
      </c>
      <c r="I7976">
        <v>0</v>
      </c>
      <c r="J7976">
        <v>5.19</v>
      </c>
      <c r="K7976">
        <v>0</v>
      </c>
    </row>
    <row r="7977" spans="1:11" x14ac:dyDescent="0.2">
      <c r="A7977">
        <v>57563</v>
      </c>
      <c r="B7977">
        <v>5607731</v>
      </c>
      <c r="C7977" t="s">
        <v>11067</v>
      </c>
      <c r="D7977">
        <v>10</v>
      </c>
      <c r="E7977">
        <v>18</v>
      </c>
      <c r="F7977">
        <v>0</v>
      </c>
      <c r="G7977">
        <v>0</v>
      </c>
      <c r="H7977">
        <v>24</v>
      </c>
      <c r="I7977">
        <v>0</v>
      </c>
      <c r="J7977">
        <v>2.66</v>
      </c>
      <c r="K7977">
        <v>0</v>
      </c>
    </row>
    <row r="7978" spans="1:11" x14ac:dyDescent="0.2">
      <c r="B7978">
        <v>5607732</v>
      </c>
      <c r="C7978" t="s">
        <v>11068</v>
      </c>
      <c r="D7978">
        <v>10</v>
      </c>
      <c r="E7978">
        <v>6</v>
      </c>
      <c r="F7978">
        <v>-6</v>
      </c>
      <c r="G7978">
        <v>-36</v>
      </c>
      <c r="H7978">
        <v>45</v>
      </c>
      <c r="I7978">
        <v>-0.1</v>
      </c>
      <c r="J7978">
        <v>1.79</v>
      </c>
      <c r="K7978">
        <v>-64.44</v>
      </c>
    </row>
    <row r="7979" spans="1:11" x14ac:dyDescent="0.2">
      <c r="A7979">
        <v>48641</v>
      </c>
      <c r="B7979">
        <v>5607737</v>
      </c>
      <c r="C7979" t="s">
        <v>11069</v>
      </c>
      <c r="D7979">
        <v>10</v>
      </c>
      <c r="E7979">
        <v>36</v>
      </c>
      <c r="F7979">
        <v>2</v>
      </c>
      <c r="G7979">
        <v>72</v>
      </c>
      <c r="H7979">
        <v>98</v>
      </c>
      <c r="I7979">
        <v>0</v>
      </c>
      <c r="J7979">
        <v>2.4900000000000002</v>
      </c>
      <c r="K7979">
        <v>179.28</v>
      </c>
    </row>
    <row r="7980" spans="1:11" x14ac:dyDescent="0.2">
      <c r="A7980">
        <v>48620</v>
      </c>
      <c r="B7980">
        <v>5607739</v>
      </c>
      <c r="C7980" t="s">
        <v>11070</v>
      </c>
      <c r="D7980">
        <v>10</v>
      </c>
      <c r="E7980">
        <v>16</v>
      </c>
      <c r="F7980">
        <v>0</v>
      </c>
      <c r="G7980">
        <v>0</v>
      </c>
      <c r="H7980">
        <v>56</v>
      </c>
      <c r="I7980">
        <v>0</v>
      </c>
      <c r="J7980">
        <v>2.99</v>
      </c>
      <c r="K7980">
        <v>0</v>
      </c>
    </row>
    <row r="7981" spans="1:11" x14ac:dyDescent="0.2">
      <c r="B7981">
        <v>5607740</v>
      </c>
      <c r="C7981" t="s">
        <v>11071</v>
      </c>
      <c r="D7981">
        <v>11</v>
      </c>
      <c r="E7981">
        <v>1</v>
      </c>
      <c r="F7981">
        <v>0</v>
      </c>
      <c r="G7981">
        <v>0</v>
      </c>
      <c r="H7981">
        <v>360</v>
      </c>
      <c r="I7981">
        <v>0</v>
      </c>
      <c r="J7981">
        <v>7.99</v>
      </c>
      <c r="K7981">
        <v>0</v>
      </c>
    </row>
    <row r="7982" spans="1:11" x14ac:dyDescent="0.2">
      <c r="A7982">
        <v>91142</v>
      </c>
      <c r="B7982">
        <v>5607741</v>
      </c>
      <c r="C7982" t="s">
        <v>11072</v>
      </c>
      <c r="D7982">
        <v>8</v>
      </c>
      <c r="E7982">
        <v>1</v>
      </c>
      <c r="F7982">
        <v>398</v>
      </c>
      <c r="G7982">
        <v>398</v>
      </c>
      <c r="H7982">
        <v>540</v>
      </c>
      <c r="I7982">
        <v>0.7</v>
      </c>
      <c r="J7982">
        <v>7.49</v>
      </c>
      <c r="K7982">
        <v>2981.02</v>
      </c>
    </row>
    <row r="7983" spans="1:11" x14ac:dyDescent="0.2">
      <c r="A7983">
        <v>70210</v>
      </c>
      <c r="B7983">
        <v>5607743</v>
      </c>
      <c r="C7983" t="s">
        <v>11073</v>
      </c>
      <c r="D7983">
        <v>8</v>
      </c>
      <c r="E7983">
        <v>18</v>
      </c>
      <c r="F7983">
        <v>205</v>
      </c>
      <c r="G7983">
        <v>3690</v>
      </c>
      <c r="H7983">
        <v>84</v>
      </c>
      <c r="I7983">
        <v>2.4</v>
      </c>
      <c r="J7983">
        <v>2.89</v>
      </c>
      <c r="K7983">
        <v>10664.1</v>
      </c>
    </row>
    <row r="7984" spans="1:11" x14ac:dyDescent="0.2">
      <c r="A7984">
        <v>57591</v>
      </c>
      <c r="B7984">
        <v>5607747</v>
      </c>
      <c r="C7984" t="s">
        <v>11074</v>
      </c>
      <c r="D7984">
        <v>10</v>
      </c>
      <c r="E7984">
        <v>10</v>
      </c>
      <c r="F7984">
        <v>0</v>
      </c>
      <c r="G7984">
        <v>0</v>
      </c>
      <c r="H7984">
        <v>36</v>
      </c>
      <c r="I7984">
        <v>0</v>
      </c>
      <c r="J7984">
        <v>0.5</v>
      </c>
      <c r="K7984">
        <v>0</v>
      </c>
    </row>
    <row r="7985" spans="1:11" x14ac:dyDescent="0.2">
      <c r="B7985">
        <v>5607748</v>
      </c>
      <c r="C7985" t="s">
        <v>11075</v>
      </c>
      <c r="D7985">
        <v>11</v>
      </c>
      <c r="E7985">
        <v>1</v>
      </c>
      <c r="F7985">
        <v>0</v>
      </c>
      <c r="G7985">
        <v>0</v>
      </c>
      <c r="H7985">
        <v>192</v>
      </c>
      <c r="I7985">
        <v>0</v>
      </c>
      <c r="J7985">
        <v>6.99</v>
      </c>
      <c r="K7985">
        <v>0</v>
      </c>
    </row>
    <row r="7986" spans="1:11" x14ac:dyDescent="0.2">
      <c r="B7986">
        <v>5607749</v>
      </c>
      <c r="C7986" t="s">
        <v>11076</v>
      </c>
      <c r="D7986">
        <v>11</v>
      </c>
      <c r="E7986">
        <v>1</v>
      </c>
      <c r="F7986">
        <v>9</v>
      </c>
      <c r="G7986">
        <v>9</v>
      </c>
      <c r="H7986">
        <v>60</v>
      </c>
      <c r="I7986">
        <v>0.2</v>
      </c>
      <c r="J7986">
        <v>6.99</v>
      </c>
      <c r="K7986">
        <v>62.91</v>
      </c>
    </row>
    <row r="7987" spans="1:11" x14ac:dyDescent="0.2">
      <c r="A7987">
        <v>3501</v>
      </c>
      <c r="B7987">
        <v>5607750</v>
      </c>
      <c r="C7987" t="s">
        <v>11077</v>
      </c>
      <c r="D7987">
        <v>6</v>
      </c>
      <c r="E7987">
        <v>3</v>
      </c>
      <c r="F7987">
        <v>0</v>
      </c>
      <c r="G7987">
        <v>0</v>
      </c>
      <c r="H7987">
        <v>256</v>
      </c>
      <c r="I7987">
        <v>0</v>
      </c>
      <c r="J7987">
        <v>2.5</v>
      </c>
      <c r="K7987">
        <v>0</v>
      </c>
    </row>
    <row r="7988" spans="1:11" x14ac:dyDescent="0.2">
      <c r="A7988">
        <v>3504</v>
      </c>
      <c r="B7988">
        <v>5607751</v>
      </c>
      <c r="C7988" t="s">
        <v>11078</v>
      </c>
      <c r="D7988">
        <v>6</v>
      </c>
      <c r="E7988">
        <v>3</v>
      </c>
      <c r="F7988">
        <v>0</v>
      </c>
      <c r="G7988">
        <v>0</v>
      </c>
      <c r="H7988">
        <v>256</v>
      </c>
      <c r="I7988">
        <v>0</v>
      </c>
      <c r="J7988">
        <v>2.5</v>
      </c>
      <c r="K7988">
        <v>0</v>
      </c>
    </row>
    <row r="7989" spans="1:11" x14ac:dyDescent="0.2">
      <c r="A7989">
        <v>50513</v>
      </c>
      <c r="B7989">
        <v>5607753</v>
      </c>
      <c r="C7989" t="s">
        <v>11079</v>
      </c>
      <c r="D7989">
        <v>10</v>
      </c>
      <c r="E7989">
        <v>12</v>
      </c>
      <c r="F7989">
        <v>0</v>
      </c>
      <c r="G7989">
        <v>0</v>
      </c>
      <c r="H7989">
        <v>160</v>
      </c>
      <c r="I7989">
        <v>0</v>
      </c>
      <c r="J7989">
        <v>3.39</v>
      </c>
      <c r="K7989">
        <v>0</v>
      </c>
    </row>
    <row r="7990" spans="1:11" x14ac:dyDescent="0.2">
      <c r="A7990">
        <v>50514</v>
      </c>
      <c r="B7990">
        <v>5607754</v>
      </c>
      <c r="C7990" t="s">
        <v>11080</v>
      </c>
      <c r="D7990">
        <v>10</v>
      </c>
      <c r="E7990">
        <v>12</v>
      </c>
      <c r="F7990">
        <v>0</v>
      </c>
      <c r="G7990">
        <v>0</v>
      </c>
      <c r="H7990">
        <v>160</v>
      </c>
      <c r="I7990">
        <v>0</v>
      </c>
      <c r="J7990">
        <v>3.39</v>
      </c>
      <c r="K7990">
        <v>0</v>
      </c>
    </row>
    <row r="7991" spans="1:11" x14ac:dyDescent="0.2">
      <c r="A7991">
        <v>52510</v>
      </c>
      <c r="B7991">
        <v>5607755</v>
      </c>
      <c r="C7991" t="s">
        <v>11081</v>
      </c>
      <c r="D7991">
        <v>9</v>
      </c>
      <c r="E7991">
        <v>12</v>
      </c>
      <c r="F7991">
        <v>-8</v>
      </c>
      <c r="G7991">
        <v>-96</v>
      </c>
      <c r="H7991">
        <v>160</v>
      </c>
      <c r="I7991">
        <v>-0.1</v>
      </c>
      <c r="J7991">
        <v>3.29</v>
      </c>
      <c r="K7991">
        <v>-315.83999999999997</v>
      </c>
    </row>
    <row r="7992" spans="1:11" x14ac:dyDescent="0.2">
      <c r="A7992">
        <v>49616</v>
      </c>
      <c r="B7992">
        <v>5607768</v>
      </c>
      <c r="C7992" t="s">
        <v>11082</v>
      </c>
      <c r="D7992">
        <v>10</v>
      </c>
      <c r="E7992">
        <v>10</v>
      </c>
      <c r="F7992">
        <v>0</v>
      </c>
      <c r="G7992">
        <v>0</v>
      </c>
      <c r="H7992">
        <v>56</v>
      </c>
      <c r="I7992">
        <v>0</v>
      </c>
      <c r="J7992">
        <v>1.89</v>
      </c>
      <c r="K7992">
        <v>0</v>
      </c>
    </row>
    <row r="7993" spans="1:11" x14ac:dyDescent="0.2">
      <c r="A7993">
        <v>82049</v>
      </c>
      <c r="B7993">
        <v>5607769</v>
      </c>
      <c r="C7993" t="s">
        <v>11083</v>
      </c>
      <c r="D7993">
        <v>8</v>
      </c>
      <c r="E7993">
        <v>18</v>
      </c>
      <c r="F7993">
        <v>38</v>
      </c>
      <c r="G7993">
        <v>684</v>
      </c>
      <c r="H7993">
        <v>84</v>
      </c>
      <c r="I7993">
        <v>0.5</v>
      </c>
      <c r="J7993">
        <v>1.99</v>
      </c>
      <c r="K7993">
        <v>1361.16</v>
      </c>
    </row>
    <row r="7994" spans="1:11" x14ac:dyDescent="0.2">
      <c r="B7994">
        <v>5607771</v>
      </c>
      <c r="C7994" t="s">
        <v>11084</v>
      </c>
      <c r="D7994">
        <v>11</v>
      </c>
      <c r="E7994">
        <v>1</v>
      </c>
      <c r="F7994">
        <v>5</v>
      </c>
      <c r="G7994">
        <v>5</v>
      </c>
      <c r="H7994">
        <v>768</v>
      </c>
      <c r="I7994">
        <v>0</v>
      </c>
      <c r="J7994">
        <v>4.8899999999999997</v>
      </c>
      <c r="K7994">
        <v>24.45</v>
      </c>
    </row>
    <row r="7995" spans="1:11" x14ac:dyDescent="0.2">
      <c r="B7995">
        <v>5607772</v>
      </c>
      <c r="C7995" t="s">
        <v>11085</v>
      </c>
      <c r="D7995">
        <v>6</v>
      </c>
      <c r="E7995">
        <v>1</v>
      </c>
      <c r="F7995">
        <v>-29</v>
      </c>
      <c r="G7995">
        <v>-29</v>
      </c>
      <c r="H7995">
        <v>360</v>
      </c>
      <c r="I7995">
        <v>-0.1</v>
      </c>
      <c r="J7995">
        <v>9.99</v>
      </c>
      <c r="K7995">
        <v>-289.70999999999998</v>
      </c>
    </row>
    <row r="7996" spans="1:11" x14ac:dyDescent="0.2">
      <c r="A7996">
        <v>52645</v>
      </c>
      <c r="B7996">
        <v>5607777</v>
      </c>
      <c r="C7996" t="s">
        <v>11086</v>
      </c>
      <c r="D7996">
        <v>6</v>
      </c>
      <c r="E7996">
        <v>138</v>
      </c>
      <c r="F7996">
        <v>66</v>
      </c>
      <c r="G7996">
        <v>9108</v>
      </c>
      <c r="H7996">
        <v>2</v>
      </c>
      <c r="I7996">
        <v>33</v>
      </c>
      <c r="J7996">
        <v>3.55</v>
      </c>
      <c r="K7996">
        <v>32333.4</v>
      </c>
    </row>
    <row r="7997" spans="1:11" x14ac:dyDescent="0.2">
      <c r="A7997">
        <v>31666</v>
      </c>
      <c r="B7997">
        <v>5607781</v>
      </c>
      <c r="C7997" t="s">
        <v>11087</v>
      </c>
      <c r="D7997">
        <v>10</v>
      </c>
      <c r="E7997">
        <v>100</v>
      </c>
      <c r="F7997">
        <v>0</v>
      </c>
      <c r="G7997">
        <v>0</v>
      </c>
      <c r="H7997">
        <v>3</v>
      </c>
      <c r="I7997">
        <v>0</v>
      </c>
      <c r="J7997">
        <v>4.1900000000000004</v>
      </c>
      <c r="K7997">
        <v>0</v>
      </c>
    </row>
    <row r="7998" spans="1:11" x14ac:dyDescent="0.2">
      <c r="A7998">
        <v>1642</v>
      </c>
      <c r="B7998">
        <v>5607786</v>
      </c>
      <c r="C7998" t="s">
        <v>11088</v>
      </c>
      <c r="D7998">
        <v>6</v>
      </c>
      <c r="E7998">
        <v>120</v>
      </c>
      <c r="F7998">
        <v>78</v>
      </c>
      <c r="G7998">
        <v>9360</v>
      </c>
      <c r="H7998">
        <v>3</v>
      </c>
      <c r="I7998">
        <v>26</v>
      </c>
      <c r="J7998">
        <v>3.39</v>
      </c>
      <c r="K7998">
        <v>31730.400000000001</v>
      </c>
    </row>
    <row r="7999" spans="1:11" x14ac:dyDescent="0.2">
      <c r="A7999">
        <v>57029</v>
      </c>
      <c r="B7999">
        <v>5607788</v>
      </c>
      <c r="C7999" t="s">
        <v>11089</v>
      </c>
      <c r="D7999">
        <v>11</v>
      </c>
      <c r="E7999">
        <v>6</v>
      </c>
      <c r="F7999">
        <v>0</v>
      </c>
      <c r="G7999">
        <v>0</v>
      </c>
      <c r="H7999">
        <v>125</v>
      </c>
      <c r="I7999">
        <v>0</v>
      </c>
      <c r="J7999">
        <v>1.45</v>
      </c>
      <c r="K7999">
        <v>0</v>
      </c>
    </row>
    <row r="8000" spans="1:11" x14ac:dyDescent="0.2">
      <c r="A8000">
        <v>85164</v>
      </c>
      <c r="B8000">
        <v>5607792</v>
      </c>
      <c r="C8000" t="s">
        <v>11090</v>
      </c>
      <c r="D8000">
        <v>10</v>
      </c>
      <c r="E8000">
        <v>4</v>
      </c>
      <c r="F8000">
        <v>7</v>
      </c>
      <c r="G8000">
        <v>28</v>
      </c>
      <c r="H8000">
        <v>77</v>
      </c>
      <c r="I8000">
        <v>0.1</v>
      </c>
      <c r="J8000">
        <v>4.99</v>
      </c>
      <c r="K8000">
        <v>139.72</v>
      </c>
    </row>
    <row r="8001" spans="1:11" x14ac:dyDescent="0.2">
      <c r="A8001">
        <v>85155</v>
      </c>
      <c r="B8001">
        <v>5607804</v>
      </c>
      <c r="C8001" t="s">
        <v>11091</v>
      </c>
      <c r="D8001">
        <v>10</v>
      </c>
      <c r="E8001">
        <v>4</v>
      </c>
      <c r="F8001">
        <v>1</v>
      </c>
      <c r="G8001">
        <v>4</v>
      </c>
      <c r="H8001">
        <v>77</v>
      </c>
      <c r="I8001">
        <v>0</v>
      </c>
      <c r="J8001">
        <v>4.49</v>
      </c>
      <c r="K8001">
        <v>17.96</v>
      </c>
    </row>
    <row r="8002" spans="1:11" x14ac:dyDescent="0.2">
      <c r="A8002">
        <v>57030</v>
      </c>
      <c r="B8002">
        <v>5607805</v>
      </c>
      <c r="C8002" t="s">
        <v>11092</v>
      </c>
      <c r="D8002">
        <v>11</v>
      </c>
      <c r="E8002">
        <v>128</v>
      </c>
      <c r="F8002">
        <v>0</v>
      </c>
      <c r="G8002">
        <v>0</v>
      </c>
      <c r="H8002">
        <v>4</v>
      </c>
      <c r="I8002">
        <v>0</v>
      </c>
      <c r="J8002">
        <v>1.5</v>
      </c>
      <c r="K8002">
        <v>0</v>
      </c>
    </row>
    <row r="8003" spans="1:11" x14ac:dyDescent="0.2">
      <c r="A8003">
        <v>49516</v>
      </c>
      <c r="B8003">
        <v>5607810</v>
      </c>
      <c r="C8003" t="s">
        <v>11093</v>
      </c>
      <c r="D8003">
        <v>10</v>
      </c>
      <c r="E8003">
        <v>10</v>
      </c>
      <c r="F8003">
        <v>1</v>
      </c>
      <c r="G8003">
        <v>10</v>
      </c>
      <c r="H8003">
        <v>90</v>
      </c>
      <c r="I8003">
        <v>0</v>
      </c>
      <c r="J8003">
        <v>3.99</v>
      </c>
      <c r="K8003">
        <v>39.9</v>
      </c>
    </row>
    <row r="8004" spans="1:11" x14ac:dyDescent="0.2">
      <c r="A8004">
        <v>51511</v>
      </c>
      <c r="B8004">
        <v>5607811</v>
      </c>
      <c r="C8004" t="s">
        <v>11094</v>
      </c>
      <c r="D8004">
        <v>10</v>
      </c>
      <c r="E8004">
        <v>6</v>
      </c>
      <c r="F8004">
        <v>0</v>
      </c>
      <c r="G8004">
        <v>0</v>
      </c>
      <c r="H8004">
        <v>180</v>
      </c>
      <c r="I8004">
        <v>0</v>
      </c>
      <c r="K8004">
        <v>0</v>
      </c>
    </row>
    <row r="8005" spans="1:11" x14ac:dyDescent="0.2">
      <c r="A8005">
        <v>37525</v>
      </c>
      <c r="B8005">
        <v>5607813</v>
      </c>
      <c r="C8005" t="s">
        <v>11095</v>
      </c>
      <c r="D8005">
        <v>10</v>
      </c>
      <c r="E8005">
        <v>6</v>
      </c>
      <c r="F8005">
        <v>0</v>
      </c>
      <c r="G8005">
        <v>0</v>
      </c>
      <c r="H8005">
        <v>105</v>
      </c>
      <c r="I8005">
        <v>0</v>
      </c>
      <c r="J8005">
        <v>0.89</v>
      </c>
      <c r="K8005">
        <v>0</v>
      </c>
    </row>
    <row r="8006" spans="1:11" x14ac:dyDescent="0.2">
      <c r="B8006">
        <v>5607815</v>
      </c>
      <c r="C8006" t="s">
        <v>11096</v>
      </c>
      <c r="D8006">
        <v>11</v>
      </c>
      <c r="E8006">
        <v>1</v>
      </c>
      <c r="F8006">
        <v>0</v>
      </c>
      <c r="G8006">
        <v>0</v>
      </c>
      <c r="H8006">
        <v>640</v>
      </c>
      <c r="I8006">
        <v>0</v>
      </c>
      <c r="J8006">
        <v>4.49</v>
      </c>
      <c r="K8006">
        <v>0</v>
      </c>
    </row>
    <row r="8007" spans="1:11" x14ac:dyDescent="0.2">
      <c r="A8007">
        <v>50515</v>
      </c>
      <c r="B8007">
        <v>5607824</v>
      </c>
      <c r="C8007" t="s">
        <v>11097</v>
      </c>
      <c r="D8007">
        <v>10</v>
      </c>
      <c r="E8007">
        <v>6</v>
      </c>
      <c r="F8007">
        <v>2</v>
      </c>
      <c r="G8007">
        <v>10</v>
      </c>
      <c r="H8007">
        <v>112</v>
      </c>
      <c r="I8007">
        <v>0</v>
      </c>
      <c r="J8007">
        <v>3.59</v>
      </c>
      <c r="K8007">
        <v>35.9</v>
      </c>
    </row>
    <row r="8008" spans="1:11" x14ac:dyDescent="0.2">
      <c r="A8008">
        <v>39653</v>
      </c>
      <c r="B8008">
        <v>5607828</v>
      </c>
      <c r="C8008" t="s">
        <v>11098</v>
      </c>
      <c r="D8008">
        <v>10</v>
      </c>
      <c r="E8008">
        <v>72</v>
      </c>
      <c r="F8008">
        <v>0</v>
      </c>
      <c r="G8008">
        <v>0</v>
      </c>
      <c r="H8008">
        <v>6</v>
      </c>
      <c r="I8008">
        <v>0</v>
      </c>
      <c r="J8008">
        <v>2.25</v>
      </c>
      <c r="K8008">
        <v>0</v>
      </c>
    </row>
    <row r="8009" spans="1:11" x14ac:dyDescent="0.2">
      <c r="A8009">
        <v>39654</v>
      </c>
      <c r="B8009">
        <v>5607829</v>
      </c>
      <c r="C8009" t="s">
        <v>11099</v>
      </c>
      <c r="D8009">
        <v>10</v>
      </c>
      <c r="E8009">
        <v>88</v>
      </c>
      <c r="F8009">
        <v>0</v>
      </c>
      <c r="G8009">
        <v>0</v>
      </c>
      <c r="H8009">
        <v>6</v>
      </c>
      <c r="I8009">
        <v>0</v>
      </c>
      <c r="J8009">
        <v>2.25</v>
      </c>
      <c r="K8009">
        <v>0</v>
      </c>
    </row>
    <row r="8010" spans="1:11" x14ac:dyDescent="0.2">
      <c r="A8010">
        <v>57395</v>
      </c>
      <c r="B8010">
        <v>5607833</v>
      </c>
      <c r="C8010" t="s">
        <v>11100</v>
      </c>
      <c r="D8010">
        <v>10</v>
      </c>
      <c r="E8010">
        <v>180</v>
      </c>
      <c r="F8010">
        <v>0</v>
      </c>
      <c r="G8010">
        <v>0</v>
      </c>
      <c r="H8010">
        <v>4</v>
      </c>
      <c r="I8010">
        <v>0</v>
      </c>
      <c r="J8010">
        <v>1.19</v>
      </c>
      <c r="K8010">
        <v>0</v>
      </c>
    </row>
    <row r="8011" spans="1:11" x14ac:dyDescent="0.2">
      <c r="A8011">
        <v>57321</v>
      </c>
      <c r="B8011">
        <v>5607834</v>
      </c>
      <c r="C8011" t="s">
        <v>11101</v>
      </c>
      <c r="D8011">
        <v>6</v>
      </c>
      <c r="E8011">
        <v>6</v>
      </c>
      <c r="F8011">
        <v>0</v>
      </c>
      <c r="G8011">
        <v>0</v>
      </c>
      <c r="H8011">
        <v>100</v>
      </c>
      <c r="I8011">
        <v>0</v>
      </c>
      <c r="J8011">
        <v>1.45</v>
      </c>
      <c r="K8011">
        <v>0</v>
      </c>
    </row>
    <row r="8012" spans="1:11" x14ac:dyDescent="0.2">
      <c r="A8012">
        <v>52641</v>
      </c>
      <c r="B8012">
        <v>5607835</v>
      </c>
      <c r="C8012" t="s">
        <v>11102</v>
      </c>
      <c r="D8012">
        <v>6</v>
      </c>
      <c r="E8012">
        <v>24</v>
      </c>
      <c r="F8012">
        <v>0</v>
      </c>
      <c r="G8012">
        <v>0</v>
      </c>
      <c r="H8012">
        <v>8</v>
      </c>
      <c r="I8012">
        <v>0</v>
      </c>
      <c r="J8012">
        <v>2.9</v>
      </c>
      <c r="K8012">
        <v>0</v>
      </c>
    </row>
    <row r="8013" spans="1:11" x14ac:dyDescent="0.2">
      <c r="A8013">
        <v>57460</v>
      </c>
      <c r="B8013">
        <v>5607836</v>
      </c>
      <c r="C8013" t="s">
        <v>11103</v>
      </c>
      <c r="D8013">
        <v>10</v>
      </c>
      <c r="E8013">
        <v>1</v>
      </c>
      <c r="F8013">
        <v>0</v>
      </c>
      <c r="G8013">
        <v>0</v>
      </c>
      <c r="H8013">
        <v>40</v>
      </c>
      <c r="I8013">
        <v>0</v>
      </c>
      <c r="J8013">
        <v>1</v>
      </c>
      <c r="K8013">
        <v>0</v>
      </c>
    </row>
    <row r="8014" spans="1:11" x14ac:dyDescent="0.2">
      <c r="A8014">
        <v>57461</v>
      </c>
      <c r="B8014">
        <v>5607837</v>
      </c>
      <c r="C8014" t="s">
        <v>11104</v>
      </c>
      <c r="D8014">
        <v>10</v>
      </c>
      <c r="E8014">
        <v>1</v>
      </c>
      <c r="F8014">
        <v>0</v>
      </c>
      <c r="G8014">
        <v>0</v>
      </c>
      <c r="H8014">
        <v>40</v>
      </c>
      <c r="I8014">
        <v>0</v>
      </c>
      <c r="J8014">
        <v>1</v>
      </c>
      <c r="K8014">
        <v>0</v>
      </c>
    </row>
    <row r="8015" spans="1:11" x14ac:dyDescent="0.2">
      <c r="A8015">
        <v>57504</v>
      </c>
      <c r="B8015">
        <v>5607838</v>
      </c>
      <c r="C8015" t="s">
        <v>11105</v>
      </c>
      <c r="D8015">
        <v>10</v>
      </c>
      <c r="E8015">
        <v>1</v>
      </c>
      <c r="F8015">
        <v>155</v>
      </c>
      <c r="G8015">
        <v>155</v>
      </c>
      <c r="H8015">
        <v>80</v>
      </c>
      <c r="I8015">
        <v>1.9</v>
      </c>
      <c r="J8015">
        <v>1</v>
      </c>
      <c r="K8015">
        <v>155</v>
      </c>
    </row>
    <row r="8016" spans="1:11" x14ac:dyDescent="0.2">
      <c r="A8016">
        <v>91029</v>
      </c>
      <c r="B8016">
        <v>5607840</v>
      </c>
      <c r="C8016" t="s">
        <v>11106</v>
      </c>
      <c r="D8016">
        <v>8</v>
      </c>
      <c r="E8016">
        <v>1</v>
      </c>
      <c r="F8016">
        <v>828</v>
      </c>
      <c r="G8016">
        <v>828</v>
      </c>
      <c r="H8016">
        <v>96</v>
      </c>
      <c r="I8016">
        <v>8.6</v>
      </c>
      <c r="J8016">
        <v>17.05</v>
      </c>
      <c r="K8016">
        <v>14117.4</v>
      </c>
    </row>
    <row r="8017" spans="1:11" x14ac:dyDescent="0.2">
      <c r="A8017">
        <v>72039</v>
      </c>
      <c r="B8017">
        <v>5607851</v>
      </c>
      <c r="C8017" t="s">
        <v>11107</v>
      </c>
      <c r="D8017">
        <v>8</v>
      </c>
      <c r="E8017">
        <v>30</v>
      </c>
      <c r="F8017">
        <v>265</v>
      </c>
      <c r="G8017">
        <v>7950</v>
      </c>
      <c r="H8017">
        <v>56</v>
      </c>
      <c r="I8017">
        <v>4.7</v>
      </c>
      <c r="J8017">
        <v>1.95</v>
      </c>
      <c r="K8017">
        <v>15502.5</v>
      </c>
    </row>
    <row r="8018" spans="1:11" x14ac:dyDescent="0.2">
      <c r="A8018">
        <v>57505</v>
      </c>
      <c r="B8018">
        <v>5607855</v>
      </c>
      <c r="C8018" t="s">
        <v>11108</v>
      </c>
      <c r="D8018">
        <v>10</v>
      </c>
      <c r="E8018">
        <v>75</v>
      </c>
      <c r="F8018">
        <v>1</v>
      </c>
      <c r="G8018">
        <v>55</v>
      </c>
      <c r="H8018">
        <v>4</v>
      </c>
      <c r="I8018">
        <v>0.2</v>
      </c>
      <c r="J8018">
        <v>3.59</v>
      </c>
      <c r="K8018">
        <v>197.45</v>
      </c>
    </row>
    <row r="8019" spans="1:11" x14ac:dyDescent="0.2">
      <c r="A8019">
        <v>57356</v>
      </c>
      <c r="B8019">
        <v>5607859</v>
      </c>
      <c r="C8019" t="s">
        <v>11109</v>
      </c>
      <c r="D8019">
        <v>10</v>
      </c>
      <c r="E8019">
        <v>72</v>
      </c>
      <c r="F8019">
        <v>0</v>
      </c>
      <c r="G8019">
        <v>0</v>
      </c>
      <c r="H8019">
        <v>2</v>
      </c>
      <c r="I8019">
        <v>0</v>
      </c>
      <c r="J8019">
        <v>6.9</v>
      </c>
      <c r="K8019">
        <v>0</v>
      </c>
    </row>
    <row r="8020" spans="1:11" x14ac:dyDescent="0.2">
      <c r="A8020">
        <v>57357</v>
      </c>
      <c r="B8020">
        <v>5607861</v>
      </c>
      <c r="C8020" t="s">
        <v>11110</v>
      </c>
      <c r="D8020">
        <v>10</v>
      </c>
      <c r="E8020">
        <v>6</v>
      </c>
      <c r="F8020">
        <v>0</v>
      </c>
      <c r="G8020">
        <v>0</v>
      </c>
      <c r="H8020">
        <v>100</v>
      </c>
      <c r="I8020">
        <v>0</v>
      </c>
      <c r="J8020">
        <v>1.45</v>
      </c>
      <c r="K8020">
        <v>0</v>
      </c>
    </row>
    <row r="8021" spans="1:11" x14ac:dyDescent="0.2">
      <c r="A8021">
        <v>57555</v>
      </c>
      <c r="B8021">
        <v>5607862</v>
      </c>
      <c r="C8021" t="s">
        <v>11111</v>
      </c>
      <c r="D8021">
        <v>10</v>
      </c>
      <c r="E8021">
        <v>12</v>
      </c>
      <c r="F8021">
        <v>4</v>
      </c>
      <c r="G8021">
        <v>48</v>
      </c>
      <c r="H8021">
        <v>150</v>
      </c>
      <c r="I8021">
        <v>0</v>
      </c>
      <c r="J8021">
        <v>1.29</v>
      </c>
      <c r="K8021">
        <v>61.92</v>
      </c>
    </row>
    <row r="8022" spans="1:11" x14ac:dyDescent="0.2">
      <c r="A8022">
        <v>40513</v>
      </c>
      <c r="B8022">
        <v>5607863</v>
      </c>
      <c r="C8022" t="s">
        <v>11112</v>
      </c>
      <c r="D8022">
        <v>10</v>
      </c>
      <c r="E8022">
        <v>8</v>
      </c>
      <c r="F8022">
        <v>4</v>
      </c>
      <c r="G8022">
        <v>32</v>
      </c>
      <c r="H8022">
        <v>128</v>
      </c>
      <c r="I8022">
        <v>0</v>
      </c>
      <c r="J8022">
        <v>1</v>
      </c>
      <c r="K8022">
        <v>32</v>
      </c>
    </row>
    <row r="8023" spans="1:11" x14ac:dyDescent="0.2">
      <c r="B8023">
        <v>5607864</v>
      </c>
      <c r="C8023" t="s">
        <v>11113</v>
      </c>
      <c r="D8023">
        <v>10</v>
      </c>
      <c r="E8023">
        <v>8</v>
      </c>
      <c r="F8023">
        <v>5</v>
      </c>
      <c r="G8023">
        <v>40</v>
      </c>
      <c r="H8023">
        <v>128</v>
      </c>
      <c r="I8023">
        <v>0</v>
      </c>
      <c r="J8023">
        <v>1</v>
      </c>
      <c r="K8023">
        <v>40</v>
      </c>
    </row>
    <row r="8024" spans="1:11" x14ac:dyDescent="0.2">
      <c r="B8024">
        <v>5607865</v>
      </c>
      <c r="C8024" t="s">
        <v>11114</v>
      </c>
      <c r="D8024">
        <v>10</v>
      </c>
      <c r="E8024">
        <v>8</v>
      </c>
      <c r="F8024">
        <v>2</v>
      </c>
      <c r="G8024">
        <v>16</v>
      </c>
      <c r="H8024">
        <v>128</v>
      </c>
      <c r="I8024">
        <v>0</v>
      </c>
      <c r="J8024">
        <v>1</v>
      </c>
      <c r="K8024">
        <v>16</v>
      </c>
    </row>
    <row r="8025" spans="1:11" x14ac:dyDescent="0.2">
      <c r="B8025">
        <v>5607866</v>
      </c>
      <c r="C8025" t="s">
        <v>11115</v>
      </c>
      <c r="D8025">
        <v>10</v>
      </c>
      <c r="E8025">
        <v>8</v>
      </c>
      <c r="F8025">
        <v>9</v>
      </c>
      <c r="G8025">
        <v>72</v>
      </c>
      <c r="H8025">
        <v>128</v>
      </c>
      <c r="I8025">
        <v>0.1</v>
      </c>
      <c r="J8025">
        <v>1</v>
      </c>
      <c r="K8025">
        <v>72</v>
      </c>
    </row>
    <row r="8026" spans="1:11" x14ac:dyDescent="0.2">
      <c r="A8026">
        <v>36516</v>
      </c>
      <c r="B8026">
        <v>5607870</v>
      </c>
      <c r="C8026" t="s">
        <v>11116</v>
      </c>
      <c r="D8026">
        <v>10</v>
      </c>
      <c r="E8026">
        <v>12</v>
      </c>
      <c r="F8026">
        <v>0</v>
      </c>
      <c r="G8026">
        <v>0</v>
      </c>
      <c r="H8026">
        <v>128</v>
      </c>
      <c r="I8026">
        <v>0</v>
      </c>
      <c r="J8026">
        <v>2.79</v>
      </c>
      <c r="K8026">
        <v>0</v>
      </c>
    </row>
    <row r="8027" spans="1:11" x14ac:dyDescent="0.2">
      <c r="A8027">
        <v>36517</v>
      </c>
      <c r="B8027">
        <v>5607871</v>
      </c>
      <c r="C8027" t="s">
        <v>11117</v>
      </c>
      <c r="D8027">
        <v>10</v>
      </c>
      <c r="E8027">
        <v>12</v>
      </c>
      <c r="F8027">
        <v>0</v>
      </c>
      <c r="G8027">
        <v>0</v>
      </c>
      <c r="H8027">
        <v>88</v>
      </c>
      <c r="I8027">
        <v>0</v>
      </c>
      <c r="J8027">
        <v>2.59</v>
      </c>
      <c r="K8027">
        <v>0</v>
      </c>
    </row>
    <row r="8028" spans="1:11" x14ac:dyDescent="0.2">
      <c r="A8028">
        <v>36518</v>
      </c>
      <c r="B8028">
        <v>5607873</v>
      </c>
      <c r="C8028" t="s">
        <v>11118</v>
      </c>
      <c r="D8028">
        <v>10</v>
      </c>
      <c r="E8028">
        <v>3.2</v>
      </c>
      <c r="F8028">
        <v>0</v>
      </c>
      <c r="G8028">
        <v>0</v>
      </c>
      <c r="H8028">
        <v>64</v>
      </c>
      <c r="I8028">
        <v>0</v>
      </c>
      <c r="J8028">
        <v>18.3</v>
      </c>
      <c r="K8028">
        <v>0</v>
      </c>
    </row>
    <row r="8029" spans="1:11" x14ac:dyDescent="0.2">
      <c r="A8029">
        <v>36519</v>
      </c>
      <c r="B8029">
        <v>5607874</v>
      </c>
      <c r="C8029" t="s">
        <v>11119</v>
      </c>
      <c r="D8029">
        <v>10</v>
      </c>
      <c r="E8029">
        <v>2.2000000000000002</v>
      </c>
      <c r="F8029">
        <v>0</v>
      </c>
      <c r="G8029">
        <v>0</v>
      </c>
      <c r="H8029">
        <v>88</v>
      </c>
      <c r="I8029">
        <v>0</v>
      </c>
      <c r="J8029">
        <v>24</v>
      </c>
      <c r="K8029">
        <v>0</v>
      </c>
    </row>
    <row r="8030" spans="1:11" x14ac:dyDescent="0.2">
      <c r="A8030">
        <v>50516</v>
      </c>
      <c r="B8030">
        <v>5607880</v>
      </c>
      <c r="C8030" t="s">
        <v>11120</v>
      </c>
      <c r="D8030">
        <v>10</v>
      </c>
      <c r="E8030">
        <v>6</v>
      </c>
      <c r="F8030">
        <v>2</v>
      </c>
      <c r="G8030">
        <v>12</v>
      </c>
      <c r="H8030">
        <v>175</v>
      </c>
      <c r="I8030">
        <v>0</v>
      </c>
      <c r="J8030">
        <v>2.19</v>
      </c>
      <c r="K8030">
        <v>26.28</v>
      </c>
    </row>
    <row r="8031" spans="1:11" x14ac:dyDescent="0.2">
      <c r="A8031">
        <v>50517</v>
      </c>
      <c r="B8031">
        <v>5607881</v>
      </c>
      <c r="C8031" t="s">
        <v>11121</v>
      </c>
      <c r="D8031">
        <v>10</v>
      </c>
      <c r="E8031">
        <v>6</v>
      </c>
      <c r="F8031">
        <v>-1</v>
      </c>
      <c r="G8031">
        <v>-6</v>
      </c>
      <c r="H8031">
        <v>175</v>
      </c>
      <c r="I8031">
        <v>0</v>
      </c>
      <c r="J8031">
        <v>2.19</v>
      </c>
      <c r="K8031">
        <v>-13.14</v>
      </c>
    </row>
    <row r="8032" spans="1:11" x14ac:dyDescent="0.2">
      <c r="A8032">
        <v>33645</v>
      </c>
      <c r="B8032">
        <v>5607887</v>
      </c>
      <c r="C8032" t="s">
        <v>11122</v>
      </c>
      <c r="D8032">
        <v>10</v>
      </c>
      <c r="E8032">
        <v>144</v>
      </c>
      <c r="F8032">
        <v>0</v>
      </c>
      <c r="G8032">
        <v>0</v>
      </c>
      <c r="H8032">
        <v>2</v>
      </c>
      <c r="I8032">
        <v>0</v>
      </c>
      <c r="J8032">
        <v>1.87</v>
      </c>
      <c r="K8032">
        <v>0</v>
      </c>
    </row>
    <row r="8033" spans="1:11" x14ac:dyDescent="0.2">
      <c r="A8033">
        <v>47674</v>
      </c>
      <c r="B8033">
        <v>5607892</v>
      </c>
      <c r="C8033" t="s">
        <v>11123</v>
      </c>
      <c r="D8033">
        <v>6</v>
      </c>
      <c r="E8033">
        <v>96</v>
      </c>
      <c r="F8033">
        <v>0</v>
      </c>
      <c r="G8033">
        <v>0</v>
      </c>
      <c r="H8033">
        <v>4</v>
      </c>
      <c r="I8033">
        <v>0</v>
      </c>
      <c r="J8033">
        <v>1.56</v>
      </c>
      <c r="K8033">
        <v>0</v>
      </c>
    </row>
    <row r="8034" spans="1:11" x14ac:dyDescent="0.2">
      <c r="A8034">
        <v>1637</v>
      </c>
      <c r="B8034">
        <v>5607894</v>
      </c>
      <c r="C8034" t="s">
        <v>11124</v>
      </c>
      <c r="D8034">
        <v>6</v>
      </c>
      <c r="E8034">
        <v>124</v>
      </c>
      <c r="F8034">
        <v>0</v>
      </c>
      <c r="G8034">
        <v>0</v>
      </c>
      <c r="H8034">
        <v>2</v>
      </c>
      <c r="I8034">
        <v>0</v>
      </c>
      <c r="J8034">
        <v>4.1500000000000004</v>
      </c>
      <c r="K8034">
        <v>0</v>
      </c>
    </row>
    <row r="8035" spans="1:11" x14ac:dyDescent="0.2">
      <c r="A8035">
        <v>50623</v>
      </c>
      <c r="B8035">
        <v>5607895</v>
      </c>
      <c r="C8035" t="s">
        <v>11125</v>
      </c>
      <c r="D8035">
        <v>10</v>
      </c>
      <c r="E8035">
        <v>6</v>
      </c>
      <c r="F8035">
        <v>7</v>
      </c>
      <c r="G8035">
        <v>42</v>
      </c>
      <c r="H8035">
        <v>104</v>
      </c>
      <c r="I8035">
        <v>0.1</v>
      </c>
      <c r="J8035">
        <v>2.52</v>
      </c>
      <c r="K8035">
        <v>105.84</v>
      </c>
    </row>
    <row r="8036" spans="1:11" x14ac:dyDescent="0.2">
      <c r="A8036">
        <v>33660</v>
      </c>
      <c r="B8036">
        <v>5607896</v>
      </c>
      <c r="C8036" t="s">
        <v>11126</v>
      </c>
      <c r="D8036">
        <v>10</v>
      </c>
      <c r="E8036">
        <v>18</v>
      </c>
      <c r="F8036">
        <v>0</v>
      </c>
      <c r="G8036">
        <v>0</v>
      </c>
      <c r="H8036">
        <v>224</v>
      </c>
      <c r="I8036">
        <v>0</v>
      </c>
      <c r="J8036">
        <v>2.85</v>
      </c>
      <c r="K8036">
        <v>0</v>
      </c>
    </row>
    <row r="8037" spans="1:11" x14ac:dyDescent="0.2">
      <c r="A8037">
        <v>33661</v>
      </c>
      <c r="B8037">
        <v>5607897</v>
      </c>
      <c r="C8037" t="s">
        <v>11127</v>
      </c>
      <c r="D8037">
        <v>10</v>
      </c>
      <c r="E8037">
        <v>18</v>
      </c>
      <c r="F8037">
        <v>0</v>
      </c>
      <c r="G8037">
        <v>0</v>
      </c>
      <c r="H8037">
        <v>224</v>
      </c>
      <c r="I8037">
        <v>0</v>
      </c>
      <c r="J8037">
        <v>2.85</v>
      </c>
      <c r="K8037">
        <v>0</v>
      </c>
    </row>
    <row r="8038" spans="1:11" x14ac:dyDescent="0.2">
      <c r="A8038">
        <v>48642</v>
      </c>
      <c r="B8038">
        <v>5607898</v>
      </c>
      <c r="C8038" t="s">
        <v>11128</v>
      </c>
      <c r="D8038">
        <v>10</v>
      </c>
      <c r="E8038">
        <v>6</v>
      </c>
      <c r="F8038">
        <v>1</v>
      </c>
      <c r="G8038">
        <v>6</v>
      </c>
      <c r="H8038">
        <v>240</v>
      </c>
      <c r="I8038">
        <v>0</v>
      </c>
      <c r="J8038">
        <v>3.99</v>
      </c>
      <c r="K8038">
        <v>23.94</v>
      </c>
    </row>
    <row r="8039" spans="1:11" x14ac:dyDescent="0.2">
      <c r="A8039">
        <v>33532</v>
      </c>
      <c r="B8039">
        <v>5607899</v>
      </c>
      <c r="C8039" t="s">
        <v>11129</v>
      </c>
      <c r="D8039">
        <v>10</v>
      </c>
      <c r="E8039">
        <v>12</v>
      </c>
      <c r="F8039">
        <v>0</v>
      </c>
      <c r="G8039">
        <v>0</v>
      </c>
      <c r="H8039">
        <v>144</v>
      </c>
      <c r="I8039">
        <v>0</v>
      </c>
      <c r="J8039">
        <v>2.25</v>
      </c>
      <c r="K8039">
        <v>0</v>
      </c>
    </row>
    <row r="8040" spans="1:11" x14ac:dyDescent="0.2">
      <c r="A8040">
        <v>57564</v>
      </c>
      <c r="B8040">
        <v>5607900</v>
      </c>
      <c r="C8040" t="s">
        <v>11130</v>
      </c>
      <c r="D8040">
        <v>10</v>
      </c>
      <c r="E8040">
        <v>6</v>
      </c>
      <c r="F8040">
        <v>2</v>
      </c>
      <c r="G8040">
        <v>11</v>
      </c>
      <c r="H8040">
        <v>180</v>
      </c>
      <c r="I8040">
        <v>0</v>
      </c>
      <c r="J8040">
        <v>2.79</v>
      </c>
      <c r="K8040">
        <v>30.69</v>
      </c>
    </row>
    <row r="8041" spans="1:11" x14ac:dyDescent="0.2">
      <c r="A8041">
        <v>57532</v>
      </c>
      <c r="B8041">
        <v>5607901</v>
      </c>
      <c r="C8041" t="s">
        <v>11131</v>
      </c>
      <c r="D8041">
        <v>10</v>
      </c>
      <c r="E8041">
        <v>5</v>
      </c>
      <c r="F8041">
        <v>4</v>
      </c>
      <c r="G8041">
        <v>21</v>
      </c>
      <c r="H8041">
        <v>180</v>
      </c>
      <c r="I8041">
        <v>0</v>
      </c>
      <c r="J8041">
        <v>1.79</v>
      </c>
      <c r="K8041">
        <v>37.590000000000003</v>
      </c>
    </row>
    <row r="8042" spans="1:11" x14ac:dyDescent="0.2">
      <c r="A8042">
        <v>50518</v>
      </c>
      <c r="B8042">
        <v>5607924</v>
      </c>
      <c r="C8042" t="s">
        <v>11132</v>
      </c>
      <c r="D8042">
        <v>10</v>
      </c>
      <c r="E8042">
        <v>4</v>
      </c>
      <c r="F8042">
        <v>-6</v>
      </c>
      <c r="G8042">
        <v>-24</v>
      </c>
      <c r="H8042">
        <v>80</v>
      </c>
      <c r="I8042">
        <v>-0.1</v>
      </c>
      <c r="J8042">
        <v>4.99</v>
      </c>
      <c r="K8042">
        <v>-119.76</v>
      </c>
    </row>
    <row r="8043" spans="1:11" x14ac:dyDescent="0.2">
      <c r="A8043">
        <v>48513</v>
      </c>
      <c r="B8043">
        <v>5607932</v>
      </c>
      <c r="C8043" t="s">
        <v>11133</v>
      </c>
      <c r="D8043">
        <v>10</v>
      </c>
      <c r="E8043">
        <v>6</v>
      </c>
      <c r="F8043">
        <v>-2</v>
      </c>
      <c r="G8043">
        <v>-12</v>
      </c>
      <c r="H8043">
        <v>120</v>
      </c>
      <c r="I8043">
        <v>0</v>
      </c>
      <c r="J8043">
        <v>1.99</v>
      </c>
      <c r="K8043">
        <v>-23.88</v>
      </c>
    </row>
    <row r="8044" spans="1:11" x14ac:dyDescent="0.2">
      <c r="A8044">
        <v>43669</v>
      </c>
      <c r="B8044">
        <v>5607935</v>
      </c>
      <c r="C8044" t="s">
        <v>11134</v>
      </c>
      <c r="D8044">
        <v>10</v>
      </c>
      <c r="E8044">
        <v>20</v>
      </c>
      <c r="F8044">
        <v>0</v>
      </c>
      <c r="G8044">
        <v>0</v>
      </c>
      <c r="H8044">
        <v>65</v>
      </c>
      <c r="I8044">
        <v>0</v>
      </c>
      <c r="J8044">
        <v>0.99</v>
      </c>
      <c r="K8044">
        <v>0</v>
      </c>
    </row>
    <row r="8045" spans="1:11" x14ac:dyDescent="0.2">
      <c r="A8045">
        <v>3533</v>
      </c>
      <c r="B8045">
        <v>5607939</v>
      </c>
      <c r="C8045" t="s">
        <v>11135</v>
      </c>
      <c r="D8045">
        <v>6</v>
      </c>
      <c r="E8045">
        <v>6</v>
      </c>
      <c r="F8045">
        <v>3</v>
      </c>
      <c r="G8045">
        <v>18</v>
      </c>
      <c r="H8045">
        <v>96</v>
      </c>
      <c r="I8045">
        <v>0</v>
      </c>
      <c r="J8045">
        <v>3.79</v>
      </c>
      <c r="K8045">
        <v>68.22</v>
      </c>
    </row>
    <row r="8046" spans="1:11" x14ac:dyDescent="0.2">
      <c r="A8046">
        <v>49617</v>
      </c>
      <c r="B8046">
        <v>5607946</v>
      </c>
      <c r="C8046" t="s">
        <v>11136</v>
      </c>
      <c r="D8046">
        <v>10</v>
      </c>
      <c r="E8046">
        <v>4</v>
      </c>
      <c r="F8046">
        <v>0</v>
      </c>
      <c r="G8046">
        <v>0</v>
      </c>
      <c r="H8046">
        <v>54</v>
      </c>
      <c r="I8046">
        <v>0</v>
      </c>
      <c r="J8046">
        <v>16.989999999999998</v>
      </c>
      <c r="K8046">
        <v>0</v>
      </c>
    </row>
    <row r="8047" spans="1:11" x14ac:dyDescent="0.2">
      <c r="A8047">
        <v>47518</v>
      </c>
      <c r="B8047">
        <v>5607948</v>
      </c>
      <c r="C8047" t="s">
        <v>11137</v>
      </c>
      <c r="D8047">
        <v>10</v>
      </c>
      <c r="E8047">
        <v>6</v>
      </c>
      <c r="F8047">
        <v>0</v>
      </c>
      <c r="G8047">
        <v>0</v>
      </c>
      <c r="H8047">
        <v>70</v>
      </c>
      <c r="I8047">
        <v>0</v>
      </c>
      <c r="J8047">
        <v>2.09</v>
      </c>
      <c r="K8047">
        <v>0</v>
      </c>
    </row>
    <row r="8048" spans="1:11" x14ac:dyDescent="0.2">
      <c r="A8048">
        <v>49517</v>
      </c>
      <c r="B8048">
        <v>5607949</v>
      </c>
      <c r="C8048" t="s">
        <v>11138</v>
      </c>
      <c r="D8048">
        <v>10</v>
      </c>
      <c r="E8048">
        <v>6</v>
      </c>
      <c r="F8048">
        <v>3</v>
      </c>
      <c r="G8048">
        <v>18</v>
      </c>
      <c r="H8048">
        <v>70</v>
      </c>
      <c r="I8048">
        <v>0</v>
      </c>
      <c r="J8048">
        <v>3.99</v>
      </c>
      <c r="K8048">
        <v>71.819999999999993</v>
      </c>
    </row>
    <row r="8049" spans="1:11" x14ac:dyDescent="0.2">
      <c r="A8049">
        <v>50519</v>
      </c>
      <c r="B8049">
        <v>5607950</v>
      </c>
      <c r="C8049" t="s">
        <v>11139</v>
      </c>
      <c r="D8049">
        <v>10</v>
      </c>
      <c r="E8049">
        <v>6</v>
      </c>
      <c r="F8049">
        <v>-3</v>
      </c>
      <c r="G8049">
        <v>-18</v>
      </c>
      <c r="H8049">
        <v>70</v>
      </c>
      <c r="I8049">
        <v>0</v>
      </c>
      <c r="J8049">
        <v>3.99</v>
      </c>
      <c r="K8049">
        <v>-71.819999999999993</v>
      </c>
    </row>
    <row r="8050" spans="1:11" x14ac:dyDescent="0.2">
      <c r="A8050">
        <v>41529</v>
      </c>
      <c r="B8050">
        <v>5607956</v>
      </c>
      <c r="C8050" t="s">
        <v>11140</v>
      </c>
      <c r="D8050">
        <v>10</v>
      </c>
      <c r="E8050">
        <v>18</v>
      </c>
      <c r="F8050">
        <v>0</v>
      </c>
      <c r="G8050">
        <v>0</v>
      </c>
      <c r="H8050">
        <v>78</v>
      </c>
      <c r="I8050">
        <v>0</v>
      </c>
      <c r="J8050">
        <v>2.39</v>
      </c>
      <c r="K8050">
        <v>0</v>
      </c>
    </row>
    <row r="8051" spans="1:11" x14ac:dyDescent="0.2">
      <c r="B8051">
        <v>5607963</v>
      </c>
      <c r="C8051" t="s">
        <v>11141</v>
      </c>
      <c r="D8051">
        <v>10</v>
      </c>
      <c r="E8051">
        <v>6</v>
      </c>
      <c r="F8051">
        <v>1</v>
      </c>
      <c r="G8051">
        <v>6</v>
      </c>
      <c r="H8051">
        <v>80</v>
      </c>
      <c r="I8051">
        <v>0</v>
      </c>
      <c r="J8051">
        <v>12.95</v>
      </c>
      <c r="K8051">
        <v>77.7</v>
      </c>
    </row>
    <row r="8052" spans="1:11" x14ac:dyDescent="0.2">
      <c r="B8052">
        <v>5607968</v>
      </c>
      <c r="C8052" t="s">
        <v>4451</v>
      </c>
      <c r="D8052">
        <v>6</v>
      </c>
      <c r="E8052">
        <v>6</v>
      </c>
      <c r="F8052">
        <v>850</v>
      </c>
      <c r="G8052">
        <v>5100</v>
      </c>
      <c r="H8052">
        <v>85</v>
      </c>
      <c r="I8052">
        <v>10</v>
      </c>
      <c r="J8052">
        <v>1.99</v>
      </c>
      <c r="K8052">
        <v>10149</v>
      </c>
    </row>
    <row r="8053" spans="1:11" x14ac:dyDescent="0.2">
      <c r="B8053">
        <v>5607971</v>
      </c>
      <c r="C8053" t="s">
        <v>11142</v>
      </c>
      <c r="D8053">
        <v>11</v>
      </c>
      <c r="E8053">
        <v>5</v>
      </c>
      <c r="F8053">
        <v>0</v>
      </c>
      <c r="G8053">
        <v>0</v>
      </c>
      <c r="H8053">
        <v>60</v>
      </c>
      <c r="I8053">
        <v>0</v>
      </c>
      <c r="J8053">
        <v>1.95</v>
      </c>
      <c r="K8053">
        <v>0</v>
      </c>
    </row>
    <row r="8054" spans="1:11" x14ac:dyDescent="0.2">
      <c r="B8054">
        <v>5607972</v>
      </c>
      <c r="C8054" t="s">
        <v>11143</v>
      </c>
      <c r="D8054">
        <v>11</v>
      </c>
      <c r="E8054">
        <v>1</v>
      </c>
      <c r="F8054">
        <v>-24</v>
      </c>
      <c r="G8054">
        <v>-24</v>
      </c>
      <c r="H8054">
        <v>1</v>
      </c>
      <c r="I8054">
        <v>-24</v>
      </c>
      <c r="J8054">
        <v>4.99</v>
      </c>
      <c r="K8054">
        <v>-119.76</v>
      </c>
    </row>
    <row r="8055" spans="1:11" x14ac:dyDescent="0.2">
      <c r="A8055">
        <v>91030</v>
      </c>
      <c r="B8055">
        <v>5607974</v>
      </c>
      <c r="C8055" t="s">
        <v>11144</v>
      </c>
      <c r="D8055">
        <v>8</v>
      </c>
      <c r="E8055">
        <v>1</v>
      </c>
      <c r="F8055">
        <v>600</v>
      </c>
      <c r="G8055">
        <v>600</v>
      </c>
      <c r="H8055">
        <v>720</v>
      </c>
      <c r="I8055">
        <v>0.8</v>
      </c>
      <c r="J8055">
        <v>4.6500000000000004</v>
      </c>
      <c r="K8055">
        <v>2790</v>
      </c>
    </row>
    <row r="8056" spans="1:11" x14ac:dyDescent="0.2">
      <c r="A8056">
        <v>0</v>
      </c>
      <c r="B8056">
        <v>5607975</v>
      </c>
      <c r="C8056" t="s">
        <v>11145</v>
      </c>
      <c r="D8056">
        <v>12</v>
      </c>
      <c r="E8056">
        <v>3</v>
      </c>
      <c r="F8056">
        <v>0</v>
      </c>
      <c r="G8056">
        <v>0</v>
      </c>
      <c r="H8056">
        <v>84</v>
      </c>
      <c r="I8056">
        <v>0</v>
      </c>
      <c r="J8056">
        <v>9.19</v>
      </c>
      <c r="K8056">
        <v>0</v>
      </c>
    </row>
    <row r="8057" spans="1:11" x14ac:dyDescent="0.2">
      <c r="A8057">
        <v>67188</v>
      </c>
      <c r="B8057">
        <v>5607975</v>
      </c>
      <c r="C8057" t="s">
        <v>11145</v>
      </c>
      <c r="D8057">
        <v>8</v>
      </c>
      <c r="E8057">
        <v>5</v>
      </c>
      <c r="F8057">
        <v>195</v>
      </c>
      <c r="G8057">
        <v>975</v>
      </c>
      <c r="H8057">
        <v>50</v>
      </c>
      <c r="I8057">
        <v>3.9</v>
      </c>
      <c r="J8057">
        <v>9.19</v>
      </c>
      <c r="K8057">
        <v>8960.25</v>
      </c>
    </row>
    <row r="8058" spans="1:11" x14ac:dyDescent="0.2">
      <c r="A8058">
        <v>91027</v>
      </c>
      <c r="B8058">
        <v>5607976</v>
      </c>
      <c r="C8058" t="s">
        <v>11146</v>
      </c>
      <c r="D8058">
        <v>8</v>
      </c>
      <c r="E8058">
        <v>1</v>
      </c>
      <c r="F8058">
        <v>240</v>
      </c>
      <c r="G8058">
        <v>240</v>
      </c>
      <c r="H8058">
        <v>480</v>
      </c>
      <c r="I8058">
        <v>0.5</v>
      </c>
      <c r="J8058">
        <v>5.49</v>
      </c>
      <c r="K8058">
        <v>1317.6</v>
      </c>
    </row>
    <row r="8059" spans="1:11" x14ac:dyDescent="0.2">
      <c r="A8059">
        <v>57396</v>
      </c>
      <c r="B8059">
        <v>5607983</v>
      </c>
      <c r="C8059" t="s">
        <v>11147</v>
      </c>
      <c r="D8059">
        <v>10</v>
      </c>
      <c r="E8059">
        <v>1</v>
      </c>
      <c r="F8059">
        <v>0</v>
      </c>
      <c r="G8059">
        <v>0</v>
      </c>
      <c r="H8059">
        <v>192</v>
      </c>
      <c r="I8059">
        <v>0</v>
      </c>
      <c r="J8059">
        <v>2.1800000000000002</v>
      </c>
      <c r="K8059">
        <v>0</v>
      </c>
    </row>
    <row r="8060" spans="1:11" x14ac:dyDescent="0.2">
      <c r="A8060">
        <v>57397</v>
      </c>
      <c r="B8060">
        <v>5607984</v>
      </c>
      <c r="C8060" t="s">
        <v>11148</v>
      </c>
      <c r="D8060">
        <v>10</v>
      </c>
      <c r="E8060">
        <v>1</v>
      </c>
      <c r="F8060">
        <v>0</v>
      </c>
      <c r="G8060">
        <v>0</v>
      </c>
      <c r="H8060">
        <v>192</v>
      </c>
      <c r="I8060">
        <v>0</v>
      </c>
      <c r="J8060">
        <v>2.1</v>
      </c>
      <c r="K8060">
        <v>0</v>
      </c>
    </row>
    <row r="8061" spans="1:11" x14ac:dyDescent="0.2">
      <c r="A8061">
        <v>57398</v>
      </c>
      <c r="B8061">
        <v>5607985</v>
      </c>
      <c r="C8061" t="s">
        <v>11149</v>
      </c>
      <c r="D8061">
        <v>10</v>
      </c>
      <c r="E8061">
        <v>1</v>
      </c>
      <c r="F8061">
        <v>0</v>
      </c>
      <c r="G8061">
        <v>0</v>
      </c>
      <c r="H8061">
        <v>96</v>
      </c>
      <c r="I8061">
        <v>0</v>
      </c>
      <c r="J8061">
        <v>2.1</v>
      </c>
      <c r="K8061">
        <v>0</v>
      </c>
    </row>
    <row r="8062" spans="1:11" x14ac:dyDescent="0.2">
      <c r="A8062">
        <v>57399</v>
      </c>
      <c r="B8062">
        <v>5607986</v>
      </c>
      <c r="C8062" t="s">
        <v>11150</v>
      </c>
      <c r="D8062">
        <v>10</v>
      </c>
      <c r="E8062">
        <v>1</v>
      </c>
      <c r="F8062">
        <v>0</v>
      </c>
      <c r="G8062">
        <v>0</v>
      </c>
      <c r="H8062">
        <v>384</v>
      </c>
      <c r="I8062">
        <v>0</v>
      </c>
      <c r="J8062">
        <v>2.1800000000000002</v>
      </c>
      <c r="K8062">
        <v>0</v>
      </c>
    </row>
    <row r="8063" spans="1:11" x14ac:dyDescent="0.2">
      <c r="A8063">
        <v>36520</v>
      </c>
      <c r="B8063">
        <v>5607990</v>
      </c>
      <c r="C8063" t="s">
        <v>11151</v>
      </c>
      <c r="D8063">
        <v>10</v>
      </c>
      <c r="E8063">
        <v>12</v>
      </c>
      <c r="F8063">
        <v>0</v>
      </c>
      <c r="G8063">
        <v>0</v>
      </c>
      <c r="H8063">
        <v>176</v>
      </c>
      <c r="I8063">
        <v>0</v>
      </c>
      <c r="J8063">
        <v>1.96</v>
      </c>
      <c r="K8063">
        <v>0</v>
      </c>
    </row>
    <row r="8064" spans="1:11" x14ac:dyDescent="0.2">
      <c r="A8064">
        <v>57565</v>
      </c>
      <c r="B8064">
        <v>5607994</v>
      </c>
      <c r="C8064" t="s">
        <v>11152</v>
      </c>
      <c r="D8064">
        <v>10</v>
      </c>
      <c r="E8064">
        <v>10</v>
      </c>
      <c r="F8064">
        <v>0</v>
      </c>
      <c r="G8064">
        <v>0</v>
      </c>
      <c r="H8064">
        <v>40</v>
      </c>
      <c r="I8064">
        <v>0</v>
      </c>
      <c r="J8064">
        <v>4.2</v>
      </c>
      <c r="K8064">
        <v>0</v>
      </c>
    </row>
    <row r="8065" spans="1:11" x14ac:dyDescent="0.2">
      <c r="A8065">
        <v>57566</v>
      </c>
      <c r="B8065">
        <v>5607995</v>
      </c>
      <c r="C8065" t="s">
        <v>11153</v>
      </c>
      <c r="D8065">
        <v>10</v>
      </c>
      <c r="E8065">
        <v>10</v>
      </c>
      <c r="F8065">
        <v>3</v>
      </c>
      <c r="G8065">
        <v>31</v>
      </c>
      <c r="H8065">
        <v>40</v>
      </c>
      <c r="I8065">
        <v>0.1</v>
      </c>
      <c r="J8065">
        <v>4.2</v>
      </c>
      <c r="K8065">
        <v>130.19999999999999</v>
      </c>
    </row>
    <row r="8066" spans="1:11" x14ac:dyDescent="0.2">
      <c r="A8066">
        <v>57567</v>
      </c>
      <c r="B8066">
        <v>5607996</v>
      </c>
      <c r="C8066" t="s">
        <v>11154</v>
      </c>
      <c r="D8066">
        <v>10</v>
      </c>
      <c r="E8066">
        <v>10</v>
      </c>
      <c r="F8066">
        <v>0</v>
      </c>
      <c r="G8066">
        <v>4</v>
      </c>
      <c r="H8066">
        <v>40</v>
      </c>
      <c r="I8066">
        <v>0</v>
      </c>
      <c r="J8066">
        <v>4.2</v>
      </c>
      <c r="K8066">
        <v>16.8</v>
      </c>
    </row>
    <row r="8067" spans="1:11" x14ac:dyDescent="0.2">
      <c r="A8067">
        <v>72243</v>
      </c>
      <c r="B8067">
        <v>5608010</v>
      </c>
      <c r="C8067" t="s">
        <v>11155</v>
      </c>
      <c r="D8067">
        <v>8</v>
      </c>
      <c r="E8067">
        <v>21</v>
      </c>
      <c r="F8067">
        <v>205</v>
      </c>
      <c r="G8067">
        <v>4305</v>
      </c>
      <c r="H8067">
        <v>48</v>
      </c>
      <c r="I8067">
        <v>4.3</v>
      </c>
      <c r="J8067">
        <v>1.75</v>
      </c>
      <c r="K8067">
        <v>7533.75</v>
      </c>
    </row>
    <row r="8068" spans="1:11" x14ac:dyDescent="0.2">
      <c r="A8068">
        <v>3608</v>
      </c>
      <c r="B8068">
        <v>5608011</v>
      </c>
      <c r="C8068" t="s">
        <v>11156</v>
      </c>
      <c r="D8068">
        <v>6</v>
      </c>
      <c r="E8068">
        <v>10</v>
      </c>
      <c r="F8068">
        <v>4</v>
      </c>
      <c r="G8068">
        <v>39</v>
      </c>
      <c r="H8068">
        <v>75</v>
      </c>
      <c r="I8068">
        <v>0.1</v>
      </c>
      <c r="J8068">
        <v>4.3499999999999996</v>
      </c>
      <c r="K8068">
        <v>169.65</v>
      </c>
    </row>
    <row r="8069" spans="1:11" x14ac:dyDescent="0.2">
      <c r="B8069">
        <v>5608013</v>
      </c>
      <c r="C8069" t="s">
        <v>11157</v>
      </c>
      <c r="D8069">
        <v>11</v>
      </c>
      <c r="E8069">
        <v>1</v>
      </c>
      <c r="F8069">
        <v>-12</v>
      </c>
      <c r="G8069">
        <v>-12</v>
      </c>
      <c r="H8069">
        <v>96</v>
      </c>
      <c r="I8069">
        <v>-0.1</v>
      </c>
      <c r="J8069">
        <v>5.49</v>
      </c>
      <c r="K8069">
        <v>-65.88</v>
      </c>
    </row>
    <row r="8070" spans="1:11" x14ac:dyDescent="0.2">
      <c r="A8070">
        <v>85247</v>
      </c>
      <c r="B8070">
        <v>5608022</v>
      </c>
      <c r="C8070" t="s">
        <v>11158</v>
      </c>
      <c r="D8070">
        <v>10</v>
      </c>
      <c r="E8070">
        <v>8</v>
      </c>
      <c r="F8070">
        <v>251</v>
      </c>
      <c r="G8070">
        <v>2008</v>
      </c>
      <c r="H8070">
        <v>85</v>
      </c>
      <c r="I8070">
        <v>3</v>
      </c>
      <c r="J8070">
        <v>1.99</v>
      </c>
      <c r="K8070">
        <v>3995.92</v>
      </c>
    </row>
    <row r="8071" spans="1:11" x14ac:dyDescent="0.2">
      <c r="A8071">
        <v>46513</v>
      </c>
      <c r="B8071">
        <v>5608025</v>
      </c>
      <c r="C8071" t="s">
        <v>11159</v>
      </c>
      <c r="D8071">
        <v>10</v>
      </c>
      <c r="E8071">
        <v>16</v>
      </c>
      <c r="F8071">
        <v>0</v>
      </c>
      <c r="G8071">
        <v>0</v>
      </c>
      <c r="H8071">
        <v>50</v>
      </c>
      <c r="I8071">
        <v>0</v>
      </c>
      <c r="J8071">
        <v>1.99</v>
      </c>
      <c r="K8071">
        <v>0</v>
      </c>
    </row>
    <row r="8072" spans="1:11" x14ac:dyDescent="0.2">
      <c r="A8072">
        <v>91059</v>
      </c>
      <c r="B8072">
        <v>5608034</v>
      </c>
      <c r="C8072" t="s">
        <v>11160</v>
      </c>
      <c r="D8072">
        <v>8</v>
      </c>
      <c r="E8072">
        <v>1</v>
      </c>
      <c r="F8072">
        <v>240</v>
      </c>
      <c r="G8072">
        <v>240</v>
      </c>
      <c r="H8072">
        <v>1024</v>
      </c>
      <c r="I8072">
        <v>0.2</v>
      </c>
      <c r="J8072">
        <v>3.99</v>
      </c>
      <c r="K8072">
        <v>957.6</v>
      </c>
    </row>
    <row r="8073" spans="1:11" x14ac:dyDescent="0.2">
      <c r="A8073">
        <v>91019</v>
      </c>
      <c r="B8073">
        <v>5608039</v>
      </c>
      <c r="C8073" t="s">
        <v>11161</v>
      </c>
      <c r="D8073">
        <v>8</v>
      </c>
      <c r="E8073">
        <v>1</v>
      </c>
      <c r="F8073">
        <v>822</v>
      </c>
      <c r="G8073">
        <v>822</v>
      </c>
      <c r="H8073">
        <v>816</v>
      </c>
      <c r="I8073">
        <v>1</v>
      </c>
      <c r="J8073">
        <v>2.79</v>
      </c>
      <c r="K8073">
        <v>2293.38</v>
      </c>
    </row>
    <row r="8074" spans="1:11" x14ac:dyDescent="0.2">
      <c r="B8074">
        <v>5608041</v>
      </c>
      <c r="C8074" t="s">
        <v>11162</v>
      </c>
      <c r="D8074">
        <v>11</v>
      </c>
      <c r="E8074">
        <v>1</v>
      </c>
      <c r="F8074">
        <v>0</v>
      </c>
      <c r="G8074">
        <v>0</v>
      </c>
      <c r="H8074">
        <v>480</v>
      </c>
      <c r="I8074">
        <v>0</v>
      </c>
      <c r="J8074">
        <v>5.19</v>
      </c>
      <c r="K8074">
        <v>0</v>
      </c>
    </row>
    <row r="8075" spans="1:11" x14ac:dyDescent="0.2">
      <c r="A8075">
        <v>45612</v>
      </c>
      <c r="B8075">
        <v>5608042</v>
      </c>
      <c r="C8075" t="s">
        <v>11163</v>
      </c>
      <c r="D8075">
        <v>10</v>
      </c>
      <c r="E8075">
        <v>12</v>
      </c>
      <c r="F8075">
        <v>0</v>
      </c>
      <c r="G8075">
        <v>0</v>
      </c>
      <c r="H8075">
        <v>42</v>
      </c>
      <c r="I8075">
        <v>0</v>
      </c>
      <c r="J8075">
        <v>2.5</v>
      </c>
      <c r="K8075">
        <v>0</v>
      </c>
    </row>
    <row r="8076" spans="1:11" x14ac:dyDescent="0.2">
      <c r="A8076">
        <v>57592</v>
      </c>
      <c r="B8076">
        <v>5608043</v>
      </c>
      <c r="C8076" t="s">
        <v>11164</v>
      </c>
      <c r="D8076">
        <v>10</v>
      </c>
      <c r="E8076">
        <v>10</v>
      </c>
      <c r="F8076">
        <v>4</v>
      </c>
      <c r="G8076">
        <v>43</v>
      </c>
      <c r="H8076">
        <v>81</v>
      </c>
      <c r="I8076">
        <v>0.1</v>
      </c>
      <c r="J8076">
        <v>2</v>
      </c>
      <c r="K8076">
        <v>86</v>
      </c>
    </row>
    <row r="8077" spans="1:11" x14ac:dyDescent="0.2">
      <c r="A8077">
        <v>46616</v>
      </c>
      <c r="B8077">
        <v>5608044</v>
      </c>
      <c r="C8077" t="s">
        <v>11165</v>
      </c>
      <c r="D8077">
        <v>10</v>
      </c>
      <c r="E8077">
        <v>18</v>
      </c>
      <c r="F8077">
        <v>1</v>
      </c>
      <c r="G8077">
        <v>18</v>
      </c>
      <c r="H8077">
        <v>84</v>
      </c>
      <c r="I8077">
        <v>0</v>
      </c>
      <c r="J8077">
        <v>3.99</v>
      </c>
      <c r="K8077">
        <v>71.819999999999993</v>
      </c>
    </row>
    <row r="8078" spans="1:11" x14ac:dyDescent="0.2">
      <c r="B8078">
        <v>5608068</v>
      </c>
      <c r="C8078" t="s">
        <v>11166</v>
      </c>
      <c r="D8078">
        <v>11</v>
      </c>
      <c r="E8078">
        <v>1</v>
      </c>
      <c r="F8078">
        <v>43</v>
      </c>
      <c r="G8078">
        <v>43</v>
      </c>
      <c r="H8078">
        <v>480</v>
      </c>
      <c r="I8078">
        <v>0.1</v>
      </c>
      <c r="J8078">
        <v>5.49</v>
      </c>
      <c r="K8078">
        <v>236.07</v>
      </c>
    </row>
    <row r="8079" spans="1:11" x14ac:dyDescent="0.2">
      <c r="A8079">
        <v>46632</v>
      </c>
      <c r="B8079">
        <v>5608080</v>
      </c>
      <c r="C8079" t="s">
        <v>10612</v>
      </c>
      <c r="D8079">
        <v>10</v>
      </c>
      <c r="E8079">
        <v>10</v>
      </c>
      <c r="F8079">
        <v>2</v>
      </c>
      <c r="G8079">
        <v>20</v>
      </c>
      <c r="H8079">
        <v>81</v>
      </c>
      <c r="I8079">
        <v>0</v>
      </c>
      <c r="J8079">
        <v>4.99</v>
      </c>
      <c r="K8079">
        <v>99.8</v>
      </c>
    </row>
    <row r="8080" spans="1:11" x14ac:dyDescent="0.2">
      <c r="A8080">
        <v>52625</v>
      </c>
      <c r="B8080">
        <v>5608081</v>
      </c>
      <c r="C8080" t="s">
        <v>11167</v>
      </c>
      <c r="D8080">
        <v>6</v>
      </c>
      <c r="E8080">
        <v>6</v>
      </c>
      <c r="F8080">
        <v>170</v>
      </c>
      <c r="G8080">
        <v>1020</v>
      </c>
      <c r="H8080">
        <v>85</v>
      </c>
      <c r="I8080">
        <v>2</v>
      </c>
      <c r="J8080">
        <v>1.69</v>
      </c>
      <c r="K8080">
        <v>1723.8</v>
      </c>
    </row>
    <row r="8081" spans="1:11" x14ac:dyDescent="0.2">
      <c r="A8081">
        <v>51608</v>
      </c>
      <c r="B8081">
        <v>5608092</v>
      </c>
      <c r="C8081" t="s">
        <v>11168</v>
      </c>
      <c r="D8081">
        <v>10</v>
      </c>
      <c r="E8081">
        <v>7</v>
      </c>
      <c r="F8081">
        <v>0</v>
      </c>
      <c r="G8081">
        <v>0</v>
      </c>
      <c r="H8081">
        <v>140</v>
      </c>
      <c r="I8081">
        <v>0</v>
      </c>
      <c r="J8081">
        <v>2.79</v>
      </c>
      <c r="K8081">
        <v>0</v>
      </c>
    </row>
    <row r="8082" spans="1:11" x14ac:dyDescent="0.2">
      <c r="A8082">
        <v>45673</v>
      </c>
      <c r="B8082">
        <v>5608097</v>
      </c>
      <c r="C8082" t="s">
        <v>11169</v>
      </c>
      <c r="D8082">
        <v>10</v>
      </c>
      <c r="E8082">
        <v>12</v>
      </c>
      <c r="F8082">
        <v>0</v>
      </c>
      <c r="G8082">
        <v>0</v>
      </c>
      <c r="H8082">
        <v>130</v>
      </c>
      <c r="I8082">
        <v>0</v>
      </c>
      <c r="J8082">
        <v>3.99</v>
      </c>
      <c r="K8082">
        <v>0</v>
      </c>
    </row>
    <row r="8083" spans="1:11" x14ac:dyDescent="0.2">
      <c r="A8083">
        <v>49696</v>
      </c>
      <c r="B8083">
        <v>5608098</v>
      </c>
      <c r="C8083" t="s">
        <v>11170</v>
      </c>
      <c r="D8083">
        <v>6</v>
      </c>
      <c r="E8083">
        <v>10</v>
      </c>
      <c r="F8083">
        <v>-1</v>
      </c>
      <c r="G8083">
        <v>-10</v>
      </c>
      <c r="H8083">
        <v>36</v>
      </c>
      <c r="I8083">
        <v>0</v>
      </c>
      <c r="J8083">
        <v>3.99</v>
      </c>
      <c r="K8083">
        <v>-39.9</v>
      </c>
    </row>
    <row r="8084" spans="1:11" x14ac:dyDescent="0.2">
      <c r="A8084">
        <v>50605</v>
      </c>
      <c r="B8084">
        <v>5608116</v>
      </c>
      <c r="C8084" t="s">
        <v>11171</v>
      </c>
      <c r="D8084">
        <v>10</v>
      </c>
      <c r="E8084">
        <v>4</v>
      </c>
      <c r="F8084">
        <v>0</v>
      </c>
      <c r="G8084">
        <v>0</v>
      </c>
      <c r="H8084">
        <v>42</v>
      </c>
      <c r="I8084">
        <v>0</v>
      </c>
      <c r="J8084">
        <v>13.99</v>
      </c>
      <c r="K8084">
        <v>0</v>
      </c>
    </row>
    <row r="8085" spans="1:11" x14ac:dyDescent="0.2">
      <c r="B8085">
        <v>5608117</v>
      </c>
      <c r="C8085" t="s">
        <v>11172</v>
      </c>
      <c r="D8085">
        <v>11</v>
      </c>
      <c r="E8085">
        <v>12</v>
      </c>
      <c r="F8085">
        <v>-1</v>
      </c>
      <c r="G8085">
        <v>-12</v>
      </c>
      <c r="H8085">
        <v>48</v>
      </c>
      <c r="I8085">
        <v>0</v>
      </c>
      <c r="J8085">
        <v>4.6900000000000004</v>
      </c>
      <c r="K8085">
        <v>-56.28</v>
      </c>
    </row>
    <row r="8086" spans="1:11" x14ac:dyDescent="0.2">
      <c r="A8086">
        <v>48643</v>
      </c>
      <c r="B8086">
        <v>5608118</v>
      </c>
      <c r="C8086" t="s">
        <v>11173</v>
      </c>
      <c r="D8086">
        <v>10</v>
      </c>
      <c r="E8086">
        <v>12</v>
      </c>
      <c r="F8086">
        <v>1</v>
      </c>
      <c r="G8086">
        <v>12</v>
      </c>
      <c r="H8086">
        <v>72</v>
      </c>
      <c r="I8086">
        <v>0</v>
      </c>
      <c r="J8086">
        <v>4.49</v>
      </c>
      <c r="K8086">
        <v>53.88</v>
      </c>
    </row>
    <row r="8087" spans="1:11" x14ac:dyDescent="0.2">
      <c r="A8087">
        <v>48644</v>
      </c>
      <c r="B8087">
        <v>5608119</v>
      </c>
      <c r="C8087" t="s">
        <v>11174</v>
      </c>
      <c r="D8087">
        <v>10</v>
      </c>
      <c r="E8087">
        <v>9</v>
      </c>
      <c r="F8087">
        <v>0</v>
      </c>
      <c r="G8087">
        <v>0</v>
      </c>
      <c r="H8087">
        <v>64</v>
      </c>
      <c r="I8087">
        <v>0</v>
      </c>
      <c r="J8087">
        <v>6.99</v>
      </c>
      <c r="K8087">
        <v>0</v>
      </c>
    </row>
    <row r="8088" spans="1:11" x14ac:dyDescent="0.2">
      <c r="A8088">
        <v>51516</v>
      </c>
      <c r="B8088">
        <v>5608120</v>
      </c>
      <c r="C8088" t="s">
        <v>11175</v>
      </c>
      <c r="D8088">
        <v>10</v>
      </c>
      <c r="E8088">
        <v>10</v>
      </c>
      <c r="F8088">
        <v>3</v>
      </c>
      <c r="G8088">
        <v>30</v>
      </c>
      <c r="H8088">
        <v>126</v>
      </c>
      <c r="I8088">
        <v>0</v>
      </c>
      <c r="J8088">
        <v>3.99</v>
      </c>
      <c r="K8088">
        <v>119.7</v>
      </c>
    </row>
    <row r="8089" spans="1:11" x14ac:dyDescent="0.2">
      <c r="A8089">
        <v>1616</v>
      </c>
      <c r="B8089">
        <v>5608123</v>
      </c>
      <c r="C8089" t="s">
        <v>11176</v>
      </c>
      <c r="D8089">
        <v>6</v>
      </c>
      <c r="E8089">
        <v>8</v>
      </c>
      <c r="F8089">
        <v>0</v>
      </c>
      <c r="G8089">
        <v>0</v>
      </c>
      <c r="H8089">
        <v>102</v>
      </c>
      <c r="I8089">
        <v>0</v>
      </c>
      <c r="J8089">
        <v>1.19</v>
      </c>
      <c r="K8089">
        <v>0</v>
      </c>
    </row>
    <row r="8090" spans="1:11" x14ac:dyDescent="0.2">
      <c r="A8090">
        <v>2615</v>
      </c>
      <c r="B8090">
        <v>5608125</v>
      </c>
      <c r="C8090" t="s">
        <v>11177</v>
      </c>
      <c r="D8090">
        <v>6</v>
      </c>
      <c r="E8090">
        <v>6</v>
      </c>
      <c r="F8090">
        <v>2</v>
      </c>
      <c r="G8090">
        <v>12</v>
      </c>
      <c r="H8090">
        <v>105</v>
      </c>
      <c r="I8090">
        <v>0</v>
      </c>
      <c r="J8090">
        <v>1.19</v>
      </c>
      <c r="K8090">
        <v>14.28</v>
      </c>
    </row>
    <row r="8091" spans="1:11" x14ac:dyDescent="0.2">
      <c r="A8091">
        <v>48670</v>
      </c>
      <c r="B8091">
        <v>5608126</v>
      </c>
      <c r="C8091" t="s">
        <v>11178</v>
      </c>
      <c r="D8091">
        <v>10</v>
      </c>
      <c r="E8091">
        <v>9</v>
      </c>
      <c r="F8091">
        <v>-1</v>
      </c>
      <c r="G8091">
        <v>-9</v>
      </c>
      <c r="H8091">
        <v>70</v>
      </c>
      <c r="I8091">
        <v>0</v>
      </c>
      <c r="J8091">
        <v>9.99</v>
      </c>
      <c r="K8091">
        <v>-89.91</v>
      </c>
    </row>
    <row r="8092" spans="1:11" x14ac:dyDescent="0.2">
      <c r="A8092">
        <v>52624</v>
      </c>
      <c r="B8092">
        <v>5608129</v>
      </c>
      <c r="C8092" t="s">
        <v>11179</v>
      </c>
      <c r="D8092">
        <v>6</v>
      </c>
      <c r="E8092">
        <v>24</v>
      </c>
      <c r="F8092">
        <v>144</v>
      </c>
      <c r="G8092">
        <v>3456</v>
      </c>
      <c r="H8092">
        <v>72</v>
      </c>
      <c r="I8092">
        <v>2</v>
      </c>
      <c r="J8092">
        <v>2.69</v>
      </c>
      <c r="K8092">
        <v>9296.64</v>
      </c>
    </row>
    <row r="8093" spans="1:11" x14ac:dyDescent="0.2">
      <c r="A8093">
        <v>49618</v>
      </c>
      <c r="B8093">
        <v>5608134</v>
      </c>
      <c r="C8093" t="s">
        <v>11180</v>
      </c>
      <c r="D8093">
        <v>10</v>
      </c>
      <c r="E8093">
        <v>24</v>
      </c>
      <c r="F8093">
        <v>3</v>
      </c>
      <c r="G8093">
        <v>72</v>
      </c>
      <c r="H8093">
        <v>16</v>
      </c>
      <c r="I8093">
        <v>0.2</v>
      </c>
      <c r="J8093">
        <v>1.99</v>
      </c>
      <c r="K8093">
        <v>143.28</v>
      </c>
    </row>
    <row r="8094" spans="1:11" x14ac:dyDescent="0.2">
      <c r="A8094">
        <v>50606</v>
      </c>
      <c r="B8094">
        <v>5608135</v>
      </c>
      <c r="C8094" t="s">
        <v>11181</v>
      </c>
      <c r="D8094">
        <v>10</v>
      </c>
      <c r="E8094">
        <v>10</v>
      </c>
      <c r="F8094">
        <v>-14</v>
      </c>
      <c r="G8094">
        <v>-140</v>
      </c>
      <c r="H8094">
        <v>104</v>
      </c>
      <c r="I8094">
        <v>-0.1</v>
      </c>
      <c r="J8094">
        <v>0.99</v>
      </c>
      <c r="K8094">
        <v>-138.6</v>
      </c>
    </row>
    <row r="8095" spans="1:11" x14ac:dyDescent="0.2">
      <c r="A8095">
        <v>47617</v>
      </c>
      <c r="B8095">
        <v>5608139</v>
      </c>
      <c r="C8095" t="s">
        <v>11182</v>
      </c>
      <c r="D8095">
        <v>10</v>
      </c>
      <c r="E8095">
        <v>24</v>
      </c>
      <c r="F8095">
        <v>-3</v>
      </c>
      <c r="G8095">
        <v>-72</v>
      </c>
      <c r="H8095">
        <v>28</v>
      </c>
      <c r="I8095">
        <v>-0.1</v>
      </c>
      <c r="J8095">
        <v>1.89</v>
      </c>
      <c r="K8095">
        <v>-136.08000000000001</v>
      </c>
    </row>
    <row r="8096" spans="1:11" x14ac:dyDescent="0.2">
      <c r="A8096">
        <v>46644</v>
      </c>
      <c r="B8096">
        <v>5608140</v>
      </c>
      <c r="C8096" t="s">
        <v>11183</v>
      </c>
      <c r="D8096">
        <v>10</v>
      </c>
      <c r="E8096">
        <v>24</v>
      </c>
      <c r="F8096">
        <v>0</v>
      </c>
      <c r="G8096">
        <v>0</v>
      </c>
      <c r="H8096">
        <v>28</v>
      </c>
      <c r="I8096">
        <v>0</v>
      </c>
      <c r="J8096">
        <v>1.79</v>
      </c>
      <c r="K8096">
        <v>0</v>
      </c>
    </row>
    <row r="8097" spans="1:11" x14ac:dyDescent="0.2">
      <c r="A8097">
        <v>49622</v>
      </c>
      <c r="B8097">
        <v>5608145</v>
      </c>
      <c r="C8097" t="s">
        <v>11184</v>
      </c>
      <c r="D8097">
        <v>10</v>
      </c>
      <c r="E8097">
        <v>12</v>
      </c>
      <c r="F8097">
        <v>5</v>
      </c>
      <c r="G8097">
        <v>60</v>
      </c>
      <c r="H8097">
        <v>144</v>
      </c>
      <c r="I8097">
        <v>0</v>
      </c>
      <c r="J8097">
        <v>1.39</v>
      </c>
      <c r="K8097">
        <v>83.4</v>
      </c>
    </row>
    <row r="8098" spans="1:11" x14ac:dyDescent="0.2">
      <c r="A8098">
        <v>52626</v>
      </c>
      <c r="B8098">
        <v>5608147</v>
      </c>
      <c r="C8098" t="s">
        <v>11185</v>
      </c>
      <c r="D8098">
        <v>6</v>
      </c>
      <c r="E8098">
        <v>6</v>
      </c>
      <c r="F8098">
        <v>300</v>
      </c>
      <c r="G8098">
        <v>1800</v>
      </c>
      <c r="H8098">
        <v>150</v>
      </c>
      <c r="I8098">
        <v>2</v>
      </c>
      <c r="J8098">
        <v>1.99</v>
      </c>
      <c r="K8098">
        <v>3582</v>
      </c>
    </row>
    <row r="8099" spans="1:11" x14ac:dyDescent="0.2">
      <c r="A8099">
        <v>52627</v>
      </c>
      <c r="B8099">
        <v>5608148</v>
      </c>
      <c r="C8099" t="s">
        <v>11186</v>
      </c>
      <c r="D8099">
        <v>6</v>
      </c>
      <c r="E8099">
        <v>6</v>
      </c>
      <c r="F8099">
        <v>300</v>
      </c>
      <c r="G8099">
        <v>1800</v>
      </c>
      <c r="H8099">
        <v>150</v>
      </c>
      <c r="I8099">
        <v>2</v>
      </c>
      <c r="J8099">
        <v>2.29</v>
      </c>
      <c r="K8099">
        <v>4122</v>
      </c>
    </row>
    <row r="8100" spans="1:11" x14ac:dyDescent="0.2">
      <c r="A8100">
        <v>43542</v>
      </c>
      <c r="B8100">
        <v>5608149</v>
      </c>
      <c r="C8100" t="s">
        <v>11187</v>
      </c>
      <c r="D8100">
        <v>10</v>
      </c>
      <c r="E8100">
        <v>4</v>
      </c>
      <c r="F8100">
        <v>3</v>
      </c>
      <c r="G8100">
        <v>12</v>
      </c>
      <c r="H8100">
        <v>77</v>
      </c>
      <c r="I8100">
        <v>0</v>
      </c>
      <c r="J8100">
        <v>2.99</v>
      </c>
      <c r="K8100">
        <v>35.880000000000003</v>
      </c>
    </row>
    <row r="8101" spans="1:11" x14ac:dyDescent="0.2">
      <c r="A8101">
        <v>48645</v>
      </c>
      <c r="B8101">
        <v>5608156</v>
      </c>
      <c r="C8101" t="s">
        <v>11188</v>
      </c>
      <c r="D8101">
        <v>10</v>
      </c>
      <c r="E8101">
        <v>10</v>
      </c>
      <c r="F8101">
        <v>-1</v>
      </c>
      <c r="G8101">
        <v>-10</v>
      </c>
      <c r="H8101">
        <v>60</v>
      </c>
      <c r="I8101">
        <v>0</v>
      </c>
      <c r="J8101">
        <v>3.99</v>
      </c>
      <c r="K8101">
        <v>-39.9</v>
      </c>
    </row>
    <row r="8102" spans="1:11" x14ac:dyDescent="0.2">
      <c r="A8102">
        <v>46507</v>
      </c>
      <c r="B8102">
        <v>5608158</v>
      </c>
      <c r="C8102" t="s">
        <v>11189</v>
      </c>
      <c r="D8102">
        <v>10</v>
      </c>
      <c r="E8102">
        <v>6</v>
      </c>
      <c r="F8102">
        <v>3</v>
      </c>
      <c r="G8102">
        <v>18</v>
      </c>
      <c r="H8102">
        <v>180</v>
      </c>
      <c r="I8102">
        <v>0</v>
      </c>
      <c r="J8102">
        <v>1.69</v>
      </c>
      <c r="K8102">
        <v>30.42</v>
      </c>
    </row>
    <row r="8103" spans="1:11" x14ac:dyDescent="0.2">
      <c r="A8103">
        <v>85071</v>
      </c>
      <c r="B8103">
        <v>5608194</v>
      </c>
      <c r="C8103" t="s">
        <v>11190</v>
      </c>
      <c r="D8103">
        <v>8</v>
      </c>
      <c r="E8103">
        <v>4</v>
      </c>
      <c r="F8103">
        <v>175</v>
      </c>
      <c r="G8103">
        <v>700</v>
      </c>
      <c r="H8103">
        <v>60</v>
      </c>
      <c r="I8103">
        <v>2.9</v>
      </c>
      <c r="J8103">
        <v>2.99</v>
      </c>
      <c r="K8103">
        <v>2093</v>
      </c>
    </row>
    <row r="8104" spans="1:11" x14ac:dyDescent="0.2">
      <c r="B8104">
        <v>5608196</v>
      </c>
      <c r="C8104" t="s">
        <v>11191</v>
      </c>
      <c r="D8104">
        <v>11</v>
      </c>
      <c r="E8104">
        <v>6</v>
      </c>
      <c r="F8104">
        <v>1</v>
      </c>
      <c r="G8104">
        <v>6</v>
      </c>
      <c r="H8104">
        <v>80</v>
      </c>
      <c r="I8104">
        <v>0</v>
      </c>
      <c r="J8104">
        <v>14.99</v>
      </c>
      <c r="K8104">
        <v>89.94</v>
      </c>
    </row>
    <row r="8105" spans="1:11" x14ac:dyDescent="0.2">
      <c r="A8105">
        <v>43790</v>
      </c>
      <c r="B8105">
        <v>5608202</v>
      </c>
      <c r="C8105" t="s">
        <v>11192</v>
      </c>
      <c r="D8105">
        <v>10</v>
      </c>
      <c r="E8105">
        <v>12</v>
      </c>
      <c r="F8105">
        <v>0</v>
      </c>
      <c r="G8105">
        <v>0</v>
      </c>
      <c r="H8105">
        <v>200</v>
      </c>
      <c r="I8105">
        <v>0</v>
      </c>
      <c r="J8105">
        <v>2.66</v>
      </c>
      <c r="K8105">
        <v>0</v>
      </c>
    </row>
    <row r="8106" spans="1:11" x14ac:dyDescent="0.2">
      <c r="A8106">
        <v>43777</v>
      </c>
      <c r="B8106">
        <v>5608203</v>
      </c>
      <c r="C8106" t="s">
        <v>11193</v>
      </c>
      <c r="D8106">
        <v>10</v>
      </c>
      <c r="E8106">
        <v>12</v>
      </c>
      <c r="F8106">
        <v>1</v>
      </c>
      <c r="G8106">
        <v>12</v>
      </c>
      <c r="H8106">
        <v>200</v>
      </c>
      <c r="I8106">
        <v>0</v>
      </c>
      <c r="J8106">
        <v>2.66</v>
      </c>
      <c r="K8106">
        <v>31.92</v>
      </c>
    </row>
    <row r="8107" spans="1:11" x14ac:dyDescent="0.2">
      <c r="A8107">
        <v>43774</v>
      </c>
      <c r="B8107">
        <v>5608205</v>
      </c>
      <c r="C8107" t="s">
        <v>11194</v>
      </c>
      <c r="D8107">
        <v>10</v>
      </c>
      <c r="E8107">
        <v>6</v>
      </c>
      <c r="F8107">
        <v>4</v>
      </c>
      <c r="G8107">
        <v>24</v>
      </c>
      <c r="H8107">
        <v>390</v>
      </c>
      <c r="I8107">
        <v>0</v>
      </c>
      <c r="J8107">
        <v>7.37</v>
      </c>
      <c r="K8107">
        <v>176.88</v>
      </c>
    </row>
    <row r="8108" spans="1:11" x14ac:dyDescent="0.2">
      <c r="A8108">
        <v>43700</v>
      </c>
      <c r="B8108">
        <v>5608206</v>
      </c>
      <c r="C8108" t="s">
        <v>11195</v>
      </c>
      <c r="D8108">
        <v>10</v>
      </c>
      <c r="E8108">
        <v>12</v>
      </c>
      <c r="F8108">
        <v>1</v>
      </c>
      <c r="G8108">
        <v>12</v>
      </c>
      <c r="H8108">
        <v>160</v>
      </c>
      <c r="I8108">
        <v>0</v>
      </c>
      <c r="J8108">
        <v>3.99</v>
      </c>
      <c r="K8108">
        <v>47.88</v>
      </c>
    </row>
    <row r="8109" spans="1:11" x14ac:dyDescent="0.2">
      <c r="A8109">
        <v>43699</v>
      </c>
      <c r="B8109">
        <v>5608209</v>
      </c>
      <c r="C8109" t="s">
        <v>11196</v>
      </c>
      <c r="D8109">
        <v>10</v>
      </c>
      <c r="E8109">
        <v>8</v>
      </c>
      <c r="F8109">
        <v>1</v>
      </c>
      <c r="G8109">
        <v>8</v>
      </c>
      <c r="H8109">
        <v>80</v>
      </c>
      <c r="I8109">
        <v>0</v>
      </c>
      <c r="J8109">
        <v>3.2</v>
      </c>
      <c r="K8109">
        <v>25.6</v>
      </c>
    </row>
    <row r="8110" spans="1:11" x14ac:dyDescent="0.2">
      <c r="A8110">
        <v>1643</v>
      </c>
      <c r="B8110">
        <v>5608214</v>
      </c>
      <c r="C8110" t="s">
        <v>11197</v>
      </c>
      <c r="D8110">
        <v>6</v>
      </c>
      <c r="E8110">
        <v>198</v>
      </c>
      <c r="F8110">
        <v>1</v>
      </c>
      <c r="G8110">
        <v>198</v>
      </c>
      <c r="H8110">
        <v>4</v>
      </c>
      <c r="I8110">
        <v>0.3</v>
      </c>
      <c r="J8110">
        <v>4.75</v>
      </c>
      <c r="K8110">
        <v>940.5</v>
      </c>
    </row>
    <row r="8111" spans="1:11" x14ac:dyDescent="0.2">
      <c r="A8111">
        <v>43773</v>
      </c>
      <c r="B8111">
        <v>5608219</v>
      </c>
      <c r="C8111" t="s">
        <v>11198</v>
      </c>
      <c r="D8111">
        <v>10</v>
      </c>
      <c r="E8111">
        <v>1</v>
      </c>
      <c r="F8111">
        <v>0</v>
      </c>
      <c r="G8111">
        <v>0</v>
      </c>
      <c r="H8111">
        <v>416</v>
      </c>
      <c r="I8111">
        <v>0</v>
      </c>
      <c r="J8111">
        <v>7.95</v>
      </c>
      <c r="K8111">
        <v>0</v>
      </c>
    </row>
    <row r="8112" spans="1:11" x14ac:dyDescent="0.2">
      <c r="A8112">
        <v>43688</v>
      </c>
      <c r="B8112">
        <v>5608220</v>
      </c>
      <c r="C8112" t="s">
        <v>11199</v>
      </c>
      <c r="D8112">
        <v>10</v>
      </c>
      <c r="E8112">
        <v>12</v>
      </c>
      <c r="F8112">
        <v>5</v>
      </c>
      <c r="G8112">
        <v>60</v>
      </c>
      <c r="H8112">
        <v>360</v>
      </c>
      <c r="I8112">
        <v>0</v>
      </c>
      <c r="J8112">
        <v>9.8800000000000008</v>
      </c>
      <c r="K8112">
        <v>592.79999999999995</v>
      </c>
    </row>
    <row r="8113" spans="1:11" x14ac:dyDescent="0.2">
      <c r="A8113">
        <v>43665</v>
      </c>
      <c r="B8113">
        <v>5608226</v>
      </c>
      <c r="C8113" t="s">
        <v>11200</v>
      </c>
      <c r="D8113">
        <v>10</v>
      </c>
      <c r="E8113">
        <v>1</v>
      </c>
      <c r="F8113">
        <v>0</v>
      </c>
      <c r="G8113">
        <v>0</v>
      </c>
      <c r="H8113">
        <v>384</v>
      </c>
      <c r="I8113">
        <v>0</v>
      </c>
      <c r="J8113">
        <v>7.95</v>
      </c>
      <c r="K8113">
        <v>0</v>
      </c>
    </row>
    <row r="8114" spans="1:11" x14ac:dyDescent="0.2">
      <c r="A8114">
        <v>43690</v>
      </c>
      <c r="B8114">
        <v>5608231</v>
      </c>
      <c r="C8114" t="s">
        <v>11201</v>
      </c>
      <c r="D8114">
        <v>10</v>
      </c>
      <c r="E8114">
        <v>1</v>
      </c>
      <c r="F8114">
        <v>0</v>
      </c>
      <c r="G8114">
        <v>0</v>
      </c>
      <c r="H8114">
        <v>144</v>
      </c>
      <c r="I8114">
        <v>0</v>
      </c>
      <c r="J8114">
        <v>3.99</v>
      </c>
      <c r="K8114">
        <v>0</v>
      </c>
    </row>
    <row r="8115" spans="1:11" x14ac:dyDescent="0.2">
      <c r="A8115">
        <v>43695</v>
      </c>
      <c r="B8115">
        <v>5608232</v>
      </c>
      <c r="C8115" t="s">
        <v>11202</v>
      </c>
      <c r="D8115">
        <v>10</v>
      </c>
      <c r="E8115">
        <v>8</v>
      </c>
      <c r="F8115">
        <v>0</v>
      </c>
      <c r="G8115">
        <v>0</v>
      </c>
      <c r="H8115">
        <v>180</v>
      </c>
      <c r="I8115">
        <v>0</v>
      </c>
      <c r="J8115">
        <v>1.49</v>
      </c>
      <c r="K8115">
        <v>0</v>
      </c>
    </row>
    <row r="8116" spans="1:11" x14ac:dyDescent="0.2">
      <c r="A8116">
        <v>49651</v>
      </c>
      <c r="B8116">
        <v>5608235</v>
      </c>
      <c r="C8116" t="s">
        <v>11203</v>
      </c>
      <c r="D8116">
        <v>10</v>
      </c>
      <c r="E8116">
        <v>78</v>
      </c>
      <c r="F8116">
        <v>0</v>
      </c>
      <c r="G8116">
        <v>0</v>
      </c>
      <c r="H8116">
        <v>4</v>
      </c>
      <c r="I8116">
        <v>0</v>
      </c>
      <c r="J8116">
        <v>7.39</v>
      </c>
      <c r="K8116">
        <v>0</v>
      </c>
    </row>
    <row r="8117" spans="1:11" x14ac:dyDescent="0.2">
      <c r="A8117">
        <v>82021</v>
      </c>
      <c r="B8117">
        <v>5608236</v>
      </c>
      <c r="C8117" t="s">
        <v>11204</v>
      </c>
      <c r="D8117">
        <v>9</v>
      </c>
      <c r="E8117">
        <v>12</v>
      </c>
      <c r="F8117">
        <v>296</v>
      </c>
      <c r="G8117">
        <v>3552</v>
      </c>
      <c r="H8117">
        <v>60</v>
      </c>
      <c r="I8117">
        <v>4.9000000000000004</v>
      </c>
      <c r="J8117">
        <v>1.89</v>
      </c>
      <c r="K8117">
        <v>6713.28</v>
      </c>
    </row>
    <row r="8118" spans="1:11" x14ac:dyDescent="0.2">
      <c r="A8118">
        <v>43662</v>
      </c>
      <c r="B8118">
        <v>5608241</v>
      </c>
      <c r="C8118" t="s">
        <v>11205</v>
      </c>
      <c r="D8118">
        <v>10</v>
      </c>
      <c r="E8118">
        <v>1</v>
      </c>
      <c r="F8118">
        <v>28</v>
      </c>
      <c r="G8118">
        <v>28</v>
      </c>
      <c r="H8118">
        <v>112</v>
      </c>
      <c r="I8118">
        <v>0.3</v>
      </c>
      <c r="J8118">
        <v>4.49</v>
      </c>
      <c r="K8118">
        <v>125.72</v>
      </c>
    </row>
    <row r="8119" spans="1:11" x14ac:dyDescent="0.2">
      <c r="A8119">
        <v>43661</v>
      </c>
      <c r="B8119">
        <v>5608246</v>
      </c>
      <c r="C8119" t="s">
        <v>11206</v>
      </c>
      <c r="D8119">
        <v>10</v>
      </c>
      <c r="E8119">
        <v>1</v>
      </c>
      <c r="F8119">
        <v>32</v>
      </c>
      <c r="G8119">
        <v>32</v>
      </c>
      <c r="H8119">
        <v>128</v>
      </c>
      <c r="I8119">
        <v>0.3</v>
      </c>
      <c r="J8119">
        <v>3.74</v>
      </c>
      <c r="K8119">
        <v>119.68</v>
      </c>
    </row>
    <row r="8120" spans="1:11" x14ac:dyDescent="0.2">
      <c r="A8120">
        <v>43686</v>
      </c>
      <c r="B8120">
        <v>5608249</v>
      </c>
      <c r="C8120" t="s">
        <v>11207</v>
      </c>
      <c r="D8120">
        <v>10</v>
      </c>
      <c r="E8120">
        <v>72</v>
      </c>
      <c r="F8120">
        <v>0</v>
      </c>
      <c r="G8120">
        <v>0</v>
      </c>
      <c r="H8120">
        <v>8</v>
      </c>
      <c r="I8120">
        <v>0</v>
      </c>
      <c r="J8120">
        <v>4.99</v>
      </c>
      <c r="K8120">
        <v>0</v>
      </c>
    </row>
    <row r="8121" spans="1:11" x14ac:dyDescent="0.2">
      <c r="A8121">
        <v>57652</v>
      </c>
      <c r="B8121">
        <v>5608253</v>
      </c>
      <c r="C8121" t="s">
        <v>11208</v>
      </c>
      <c r="D8121">
        <v>10</v>
      </c>
      <c r="E8121">
        <v>12</v>
      </c>
      <c r="F8121">
        <v>1</v>
      </c>
      <c r="G8121">
        <v>17</v>
      </c>
      <c r="H8121">
        <v>187</v>
      </c>
      <c r="I8121">
        <v>0</v>
      </c>
      <c r="J8121">
        <v>1.19</v>
      </c>
      <c r="K8121">
        <v>20.23</v>
      </c>
    </row>
    <row r="8122" spans="1:11" x14ac:dyDescent="0.2">
      <c r="A8122">
        <v>57653</v>
      </c>
      <c r="B8122">
        <v>5608254</v>
      </c>
      <c r="C8122" t="s">
        <v>11209</v>
      </c>
      <c r="D8122">
        <v>10</v>
      </c>
      <c r="E8122">
        <v>12</v>
      </c>
      <c r="F8122">
        <v>4</v>
      </c>
      <c r="G8122">
        <v>52</v>
      </c>
      <c r="H8122">
        <v>187</v>
      </c>
      <c r="I8122">
        <v>0</v>
      </c>
      <c r="J8122">
        <v>1.19</v>
      </c>
      <c r="K8122">
        <v>61.88</v>
      </c>
    </row>
    <row r="8123" spans="1:11" x14ac:dyDescent="0.2">
      <c r="A8123">
        <v>44687</v>
      </c>
      <c r="B8123">
        <v>5608264</v>
      </c>
      <c r="C8123" t="s">
        <v>11210</v>
      </c>
      <c r="D8123">
        <v>10</v>
      </c>
      <c r="E8123">
        <v>20</v>
      </c>
      <c r="F8123">
        <v>-1</v>
      </c>
      <c r="G8123">
        <v>-20</v>
      </c>
      <c r="H8123">
        <v>72</v>
      </c>
      <c r="I8123">
        <v>0</v>
      </c>
      <c r="J8123">
        <v>3.49</v>
      </c>
      <c r="K8123">
        <v>-69.8</v>
      </c>
    </row>
    <row r="8124" spans="1:11" x14ac:dyDescent="0.2">
      <c r="A8124">
        <v>50607</v>
      </c>
      <c r="B8124">
        <v>5608265</v>
      </c>
      <c r="C8124" t="s">
        <v>11211</v>
      </c>
      <c r="D8124">
        <v>10</v>
      </c>
      <c r="E8124">
        <v>8</v>
      </c>
      <c r="F8124">
        <v>0</v>
      </c>
      <c r="G8124">
        <v>0</v>
      </c>
      <c r="H8124">
        <v>48</v>
      </c>
      <c r="I8124">
        <v>0</v>
      </c>
      <c r="J8124">
        <v>9.99</v>
      </c>
      <c r="K8124">
        <v>0</v>
      </c>
    </row>
    <row r="8125" spans="1:11" x14ac:dyDescent="0.2">
      <c r="A8125">
        <v>52613</v>
      </c>
      <c r="B8125">
        <v>5608268</v>
      </c>
      <c r="C8125" t="s">
        <v>11212</v>
      </c>
      <c r="D8125">
        <v>6</v>
      </c>
      <c r="E8125">
        <v>12</v>
      </c>
      <c r="F8125">
        <v>96</v>
      </c>
      <c r="G8125">
        <v>1152</v>
      </c>
      <c r="H8125">
        <v>96</v>
      </c>
      <c r="I8125">
        <v>1</v>
      </c>
      <c r="J8125">
        <v>3.29</v>
      </c>
      <c r="K8125">
        <v>3790.08</v>
      </c>
    </row>
    <row r="8126" spans="1:11" x14ac:dyDescent="0.2">
      <c r="A8126">
        <v>45665</v>
      </c>
      <c r="B8126">
        <v>5608270</v>
      </c>
      <c r="C8126" t="s">
        <v>11213</v>
      </c>
      <c r="D8126">
        <v>10</v>
      </c>
      <c r="E8126">
        <v>7</v>
      </c>
      <c r="F8126">
        <v>0</v>
      </c>
      <c r="G8126">
        <v>0</v>
      </c>
      <c r="H8126">
        <v>80</v>
      </c>
      <c r="I8126">
        <v>0</v>
      </c>
      <c r="J8126">
        <v>4.5199999999999996</v>
      </c>
      <c r="K8126">
        <v>0</v>
      </c>
    </row>
    <row r="8127" spans="1:11" x14ac:dyDescent="0.2">
      <c r="A8127">
        <v>45664</v>
      </c>
      <c r="B8127">
        <v>5608272</v>
      </c>
      <c r="C8127" t="s">
        <v>11214</v>
      </c>
      <c r="D8127">
        <v>10</v>
      </c>
      <c r="E8127">
        <v>7</v>
      </c>
      <c r="F8127">
        <v>0</v>
      </c>
      <c r="G8127">
        <v>0</v>
      </c>
      <c r="H8127">
        <v>80</v>
      </c>
      <c r="I8127">
        <v>0</v>
      </c>
      <c r="J8127">
        <v>4.5199999999999996</v>
      </c>
      <c r="K8127">
        <v>0</v>
      </c>
    </row>
    <row r="8128" spans="1:11" x14ac:dyDescent="0.2">
      <c r="B8128">
        <v>5608273</v>
      </c>
      <c r="C8128" t="s">
        <v>11215</v>
      </c>
      <c r="D8128">
        <v>10</v>
      </c>
      <c r="E8128">
        <v>6</v>
      </c>
      <c r="F8128">
        <v>-3</v>
      </c>
      <c r="G8128">
        <v>-18</v>
      </c>
      <c r="H8128">
        <v>64</v>
      </c>
      <c r="I8128">
        <v>0</v>
      </c>
      <c r="J8128">
        <v>1.42</v>
      </c>
      <c r="K8128">
        <v>-25.56</v>
      </c>
    </row>
    <row r="8129" spans="1:11" x14ac:dyDescent="0.2">
      <c r="A8129">
        <v>95411</v>
      </c>
      <c r="B8129">
        <v>5608279</v>
      </c>
      <c r="C8129" t="s">
        <v>11216</v>
      </c>
      <c r="D8129">
        <v>8</v>
      </c>
      <c r="E8129">
        <v>6</v>
      </c>
      <c r="F8129">
        <v>2519</v>
      </c>
      <c r="G8129">
        <v>15114</v>
      </c>
      <c r="H8129">
        <v>84</v>
      </c>
      <c r="I8129">
        <v>30</v>
      </c>
      <c r="J8129">
        <v>0.54</v>
      </c>
      <c r="K8129">
        <v>8161.56</v>
      </c>
    </row>
    <row r="8130" spans="1:11" x14ac:dyDescent="0.2">
      <c r="A8130">
        <v>46666</v>
      </c>
      <c r="B8130">
        <v>5608282</v>
      </c>
      <c r="C8130" t="s">
        <v>11217</v>
      </c>
      <c r="D8130">
        <v>10</v>
      </c>
      <c r="E8130">
        <v>80</v>
      </c>
      <c r="F8130">
        <v>0</v>
      </c>
      <c r="G8130">
        <v>0</v>
      </c>
      <c r="H8130">
        <v>4</v>
      </c>
      <c r="I8130">
        <v>0</v>
      </c>
      <c r="J8130">
        <v>1.99</v>
      </c>
      <c r="K8130">
        <v>0</v>
      </c>
    </row>
    <row r="8131" spans="1:11" x14ac:dyDescent="0.2">
      <c r="A8131">
        <v>46661</v>
      </c>
      <c r="B8131">
        <v>5608284</v>
      </c>
      <c r="C8131" t="s">
        <v>11218</v>
      </c>
      <c r="D8131">
        <v>10</v>
      </c>
      <c r="E8131">
        <v>6</v>
      </c>
      <c r="F8131">
        <v>0</v>
      </c>
      <c r="G8131">
        <v>0</v>
      </c>
      <c r="H8131">
        <v>100</v>
      </c>
      <c r="I8131">
        <v>0</v>
      </c>
      <c r="J8131">
        <v>2</v>
      </c>
      <c r="K8131">
        <v>0</v>
      </c>
    </row>
    <row r="8132" spans="1:11" x14ac:dyDescent="0.2">
      <c r="A8132">
        <v>49621</v>
      </c>
      <c r="B8132">
        <v>5608287</v>
      </c>
      <c r="C8132" t="s">
        <v>11219</v>
      </c>
      <c r="D8132">
        <v>10</v>
      </c>
      <c r="E8132">
        <v>6</v>
      </c>
      <c r="F8132">
        <v>2</v>
      </c>
      <c r="G8132">
        <v>12</v>
      </c>
      <c r="H8132">
        <v>136</v>
      </c>
      <c r="I8132">
        <v>0</v>
      </c>
      <c r="J8132">
        <v>10.99</v>
      </c>
      <c r="K8132">
        <v>131.88</v>
      </c>
    </row>
    <row r="8133" spans="1:11" x14ac:dyDescent="0.2">
      <c r="A8133">
        <v>47675</v>
      </c>
      <c r="B8133">
        <v>5608308</v>
      </c>
      <c r="C8133" t="s">
        <v>11220</v>
      </c>
      <c r="D8133">
        <v>6</v>
      </c>
      <c r="E8133">
        <v>42</v>
      </c>
      <c r="F8133">
        <v>1</v>
      </c>
      <c r="G8133">
        <v>42</v>
      </c>
      <c r="H8133">
        <v>4</v>
      </c>
      <c r="I8133">
        <v>0.3</v>
      </c>
      <c r="J8133">
        <v>7.65</v>
      </c>
      <c r="K8133">
        <v>321.3</v>
      </c>
    </row>
    <row r="8134" spans="1:11" x14ac:dyDescent="0.2">
      <c r="A8134">
        <v>47673</v>
      </c>
      <c r="B8134">
        <v>5608310</v>
      </c>
      <c r="C8134" t="s">
        <v>11221</v>
      </c>
      <c r="D8134">
        <v>10</v>
      </c>
      <c r="E8134">
        <v>36</v>
      </c>
      <c r="F8134">
        <v>0</v>
      </c>
      <c r="G8134">
        <v>0</v>
      </c>
      <c r="H8134">
        <v>4</v>
      </c>
      <c r="I8134">
        <v>0</v>
      </c>
      <c r="J8134">
        <v>7.99</v>
      </c>
      <c r="K8134">
        <v>0</v>
      </c>
    </row>
    <row r="8135" spans="1:11" x14ac:dyDescent="0.2">
      <c r="A8135">
        <v>50608</v>
      </c>
      <c r="B8135">
        <v>5608315</v>
      </c>
      <c r="C8135" t="s">
        <v>11222</v>
      </c>
      <c r="D8135">
        <v>10</v>
      </c>
      <c r="E8135">
        <v>10</v>
      </c>
      <c r="F8135">
        <v>3</v>
      </c>
      <c r="G8135">
        <v>30</v>
      </c>
      <c r="H8135">
        <v>64</v>
      </c>
      <c r="I8135">
        <v>0</v>
      </c>
      <c r="J8135">
        <v>2.29</v>
      </c>
      <c r="K8135">
        <v>68.7</v>
      </c>
    </row>
    <row r="8136" spans="1:11" x14ac:dyDescent="0.2">
      <c r="B8136">
        <v>5608334</v>
      </c>
      <c r="C8136" t="s">
        <v>11223</v>
      </c>
      <c r="D8136">
        <v>11</v>
      </c>
      <c r="E8136">
        <v>1</v>
      </c>
      <c r="F8136">
        <v>2</v>
      </c>
      <c r="G8136">
        <v>2</v>
      </c>
      <c r="H8136">
        <v>224</v>
      </c>
      <c r="I8136">
        <v>0</v>
      </c>
      <c r="J8136">
        <v>11.99</v>
      </c>
      <c r="K8136">
        <v>23.98</v>
      </c>
    </row>
    <row r="8137" spans="1:11" x14ac:dyDescent="0.2">
      <c r="A8137">
        <v>48628</v>
      </c>
      <c r="B8137">
        <v>5608338</v>
      </c>
      <c r="C8137" t="s">
        <v>11224</v>
      </c>
      <c r="D8137">
        <v>10</v>
      </c>
      <c r="E8137">
        <v>108</v>
      </c>
      <c r="F8137">
        <v>0</v>
      </c>
      <c r="G8137">
        <v>0</v>
      </c>
      <c r="H8137">
        <v>4</v>
      </c>
      <c r="I8137">
        <v>0</v>
      </c>
      <c r="J8137">
        <v>5.59</v>
      </c>
      <c r="K8137">
        <v>0</v>
      </c>
    </row>
    <row r="8138" spans="1:11" x14ac:dyDescent="0.2">
      <c r="A8138">
        <v>48617</v>
      </c>
      <c r="B8138">
        <v>5608341</v>
      </c>
      <c r="C8138" t="s">
        <v>11225</v>
      </c>
      <c r="D8138">
        <v>10</v>
      </c>
      <c r="E8138">
        <v>20</v>
      </c>
      <c r="F8138">
        <v>-1</v>
      </c>
      <c r="G8138">
        <v>-20</v>
      </c>
      <c r="H8138">
        <v>70</v>
      </c>
      <c r="I8138">
        <v>0</v>
      </c>
      <c r="J8138">
        <v>1.59</v>
      </c>
      <c r="K8138">
        <v>-31.8</v>
      </c>
    </row>
    <row r="8139" spans="1:11" x14ac:dyDescent="0.2">
      <c r="B8139">
        <v>5608342</v>
      </c>
      <c r="C8139" t="s">
        <v>11226</v>
      </c>
      <c r="D8139">
        <v>10</v>
      </c>
      <c r="E8139">
        <v>5</v>
      </c>
      <c r="F8139">
        <v>-21</v>
      </c>
      <c r="G8139">
        <v>-105</v>
      </c>
      <c r="H8139">
        <v>90</v>
      </c>
      <c r="I8139">
        <v>-0.2</v>
      </c>
      <c r="J8139">
        <v>1.65</v>
      </c>
      <c r="K8139">
        <v>-173.25</v>
      </c>
    </row>
    <row r="8140" spans="1:11" x14ac:dyDescent="0.2">
      <c r="B8140">
        <v>5608343</v>
      </c>
      <c r="C8140" t="s">
        <v>11227</v>
      </c>
      <c r="D8140">
        <v>10</v>
      </c>
      <c r="E8140">
        <v>12</v>
      </c>
      <c r="F8140">
        <v>12</v>
      </c>
      <c r="G8140">
        <v>144</v>
      </c>
      <c r="H8140">
        <v>88</v>
      </c>
      <c r="I8140">
        <v>0.1</v>
      </c>
      <c r="J8140">
        <v>1.49</v>
      </c>
      <c r="K8140">
        <v>214.56</v>
      </c>
    </row>
    <row r="8141" spans="1:11" x14ac:dyDescent="0.2">
      <c r="A8141">
        <v>48520</v>
      </c>
      <c r="B8141">
        <v>5608344</v>
      </c>
      <c r="C8141" t="s">
        <v>11228</v>
      </c>
      <c r="D8141">
        <v>10</v>
      </c>
      <c r="E8141">
        <v>112</v>
      </c>
      <c r="F8141">
        <v>0</v>
      </c>
      <c r="G8141">
        <v>0</v>
      </c>
      <c r="H8141">
        <v>4</v>
      </c>
      <c r="I8141">
        <v>0</v>
      </c>
      <c r="J8141">
        <v>1.99</v>
      </c>
      <c r="K8141">
        <v>0</v>
      </c>
    </row>
    <row r="8142" spans="1:11" x14ac:dyDescent="0.2">
      <c r="A8142">
        <v>65267</v>
      </c>
      <c r="B8142">
        <v>5608383</v>
      </c>
      <c r="C8142" t="s">
        <v>11229</v>
      </c>
      <c r="D8142">
        <v>8</v>
      </c>
      <c r="E8142">
        <v>27</v>
      </c>
      <c r="F8142">
        <v>764</v>
      </c>
      <c r="G8142">
        <v>20628</v>
      </c>
      <c r="H8142">
        <v>72</v>
      </c>
      <c r="I8142">
        <v>10.6</v>
      </c>
      <c r="J8142">
        <v>0.56999999999999995</v>
      </c>
      <c r="K8142">
        <v>11757.96</v>
      </c>
    </row>
    <row r="8143" spans="1:11" x14ac:dyDescent="0.2">
      <c r="A8143">
        <v>69210</v>
      </c>
      <c r="B8143">
        <v>5608392</v>
      </c>
      <c r="C8143" t="s">
        <v>11230</v>
      </c>
      <c r="D8143">
        <v>8</v>
      </c>
      <c r="E8143">
        <v>7</v>
      </c>
      <c r="F8143">
        <v>232</v>
      </c>
      <c r="G8143">
        <v>1624</v>
      </c>
      <c r="H8143">
        <v>108</v>
      </c>
      <c r="I8143">
        <v>2.1</v>
      </c>
      <c r="J8143">
        <v>1.85</v>
      </c>
      <c r="K8143">
        <v>3004.4</v>
      </c>
    </row>
    <row r="8144" spans="1:11" x14ac:dyDescent="0.2">
      <c r="A8144">
        <v>50624</v>
      </c>
      <c r="B8144">
        <v>5608396</v>
      </c>
      <c r="C8144" t="s">
        <v>11231</v>
      </c>
      <c r="D8144">
        <v>10</v>
      </c>
      <c r="E8144">
        <v>64</v>
      </c>
      <c r="F8144">
        <v>0</v>
      </c>
      <c r="G8144">
        <v>0</v>
      </c>
      <c r="H8144">
        <v>4</v>
      </c>
      <c r="I8144">
        <v>0</v>
      </c>
      <c r="J8144">
        <v>5.3</v>
      </c>
      <c r="K8144">
        <v>0</v>
      </c>
    </row>
    <row r="8145" spans="1:11" x14ac:dyDescent="0.2">
      <c r="A8145">
        <v>50631</v>
      </c>
      <c r="B8145">
        <v>5608398</v>
      </c>
      <c r="C8145" t="s">
        <v>11232</v>
      </c>
      <c r="D8145">
        <v>10</v>
      </c>
      <c r="E8145">
        <v>63</v>
      </c>
      <c r="F8145">
        <v>0</v>
      </c>
      <c r="G8145">
        <v>0</v>
      </c>
      <c r="H8145">
        <v>4</v>
      </c>
      <c r="I8145">
        <v>0</v>
      </c>
      <c r="J8145">
        <v>4.79</v>
      </c>
      <c r="K8145">
        <v>0</v>
      </c>
    </row>
    <row r="8146" spans="1:11" x14ac:dyDescent="0.2">
      <c r="A8146">
        <v>50632</v>
      </c>
      <c r="B8146">
        <v>5608400</v>
      </c>
      <c r="C8146" t="s">
        <v>11233</v>
      </c>
      <c r="D8146">
        <v>10</v>
      </c>
      <c r="E8146">
        <v>4</v>
      </c>
      <c r="F8146">
        <v>17</v>
      </c>
      <c r="G8146">
        <v>68</v>
      </c>
      <c r="H8146">
        <v>90</v>
      </c>
      <c r="I8146">
        <v>0.2</v>
      </c>
      <c r="J8146">
        <v>3.1</v>
      </c>
      <c r="K8146">
        <v>210.8</v>
      </c>
    </row>
    <row r="8147" spans="1:11" x14ac:dyDescent="0.2">
      <c r="A8147">
        <v>72023</v>
      </c>
      <c r="B8147">
        <v>5608401</v>
      </c>
      <c r="C8147" t="s">
        <v>4235</v>
      </c>
      <c r="D8147">
        <v>8</v>
      </c>
      <c r="E8147">
        <v>24</v>
      </c>
      <c r="F8147">
        <v>242</v>
      </c>
      <c r="G8147">
        <v>5808</v>
      </c>
      <c r="H8147">
        <v>48</v>
      </c>
      <c r="I8147">
        <v>5</v>
      </c>
      <c r="J8147">
        <v>1.45</v>
      </c>
      <c r="K8147">
        <v>8421.6</v>
      </c>
    </row>
    <row r="8148" spans="1:11" x14ac:dyDescent="0.2">
      <c r="A8148">
        <v>52644</v>
      </c>
      <c r="B8148">
        <v>5608444</v>
      </c>
      <c r="C8148" t="s">
        <v>11234</v>
      </c>
      <c r="D8148">
        <v>6</v>
      </c>
      <c r="E8148">
        <v>6</v>
      </c>
      <c r="F8148">
        <v>880</v>
      </c>
      <c r="G8148">
        <v>5280</v>
      </c>
      <c r="H8148">
        <v>110</v>
      </c>
      <c r="I8148">
        <v>8</v>
      </c>
      <c r="J8148">
        <v>3.44</v>
      </c>
      <c r="K8148">
        <v>18163.2</v>
      </c>
    </row>
    <row r="8149" spans="1:11" x14ac:dyDescent="0.2">
      <c r="A8149">
        <v>52639</v>
      </c>
      <c r="B8149">
        <v>5608447</v>
      </c>
      <c r="C8149" t="s">
        <v>11235</v>
      </c>
      <c r="D8149">
        <v>6</v>
      </c>
      <c r="E8149">
        <v>108</v>
      </c>
      <c r="F8149">
        <v>78</v>
      </c>
      <c r="G8149">
        <v>8424</v>
      </c>
      <c r="H8149">
        <v>2</v>
      </c>
      <c r="I8149">
        <v>39</v>
      </c>
      <c r="J8149">
        <v>2.42</v>
      </c>
      <c r="K8149">
        <v>20386.080000000002</v>
      </c>
    </row>
    <row r="8150" spans="1:11" x14ac:dyDescent="0.2">
      <c r="A8150">
        <v>52651</v>
      </c>
      <c r="B8150">
        <v>5608448</v>
      </c>
      <c r="C8150" t="s">
        <v>11236</v>
      </c>
      <c r="D8150">
        <v>6</v>
      </c>
      <c r="E8150">
        <v>12</v>
      </c>
      <c r="F8150">
        <v>160</v>
      </c>
      <c r="G8150">
        <v>1920</v>
      </c>
      <c r="H8150">
        <v>80</v>
      </c>
      <c r="I8150">
        <v>2</v>
      </c>
      <c r="J8150">
        <v>5.47</v>
      </c>
      <c r="K8150">
        <v>10502.4</v>
      </c>
    </row>
    <row r="8151" spans="1:11" x14ac:dyDescent="0.2">
      <c r="A8151">
        <v>32636</v>
      </c>
      <c r="B8151">
        <v>5700021</v>
      </c>
      <c r="C8151" t="s">
        <v>11237</v>
      </c>
      <c r="D8151">
        <v>10</v>
      </c>
      <c r="E8151">
        <v>6</v>
      </c>
      <c r="F8151">
        <v>0</v>
      </c>
      <c r="G8151">
        <v>0</v>
      </c>
      <c r="H8151">
        <v>105</v>
      </c>
      <c r="I8151">
        <v>0</v>
      </c>
      <c r="J8151">
        <v>5</v>
      </c>
      <c r="K8151">
        <v>0</v>
      </c>
    </row>
    <row r="8152" spans="1:11" x14ac:dyDescent="0.2">
      <c r="A8152">
        <v>57322</v>
      </c>
      <c r="B8152">
        <v>5700054</v>
      </c>
      <c r="C8152" t="s">
        <v>11238</v>
      </c>
      <c r="D8152">
        <v>10</v>
      </c>
      <c r="E8152">
        <v>12</v>
      </c>
      <c r="F8152">
        <v>0</v>
      </c>
      <c r="G8152">
        <v>0</v>
      </c>
      <c r="H8152">
        <v>152</v>
      </c>
      <c r="I8152">
        <v>0</v>
      </c>
      <c r="J8152">
        <v>0.5</v>
      </c>
      <c r="K8152">
        <v>0</v>
      </c>
    </row>
    <row r="8153" spans="1:11" x14ac:dyDescent="0.2">
      <c r="A8153">
        <v>57323</v>
      </c>
      <c r="B8153">
        <v>5700055</v>
      </c>
      <c r="C8153" t="s">
        <v>11239</v>
      </c>
      <c r="D8153">
        <v>10</v>
      </c>
      <c r="E8153">
        <v>15</v>
      </c>
      <c r="F8153">
        <v>0</v>
      </c>
      <c r="G8153">
        <v>0</v>
      </c>
      <c r="H8153">
        <v>120</v>
      </c>
      <c r="I8153">
        <v>0</v>
      </c>
      <c r="J8153">
        <v>0.5</v>
      </c>
      <c r="K8153">
        <v>0</v>
      </c>
    </row>
    <row r="8154" spans="1:11" x14ac:dyDescent="0.2">
      <c r="A8154">
        <v>99871</v>
      </c>
      <c r="B8154">
        <v>5700126</v>
      </c>
      <c r="C8154" t="s">
        <v>11240</v>
      </c>
      <c r="D8154">
        <v>10</v>
      </c>
      <c r="E8154">
        <v>12</v>
      </c>
      <c r="F8154">
        <v>0</v>
      </c>
      <c r="G8154">
        <v>0</v>
      </c>
      <c r="H8154">
        <v>120</v>
      </c>
      <c r="I8154">
        <v>0</v>
      </c>
      <c r="J8154">
        <v>1.2</v>
      </c>
      <c r="K8154">
        <v>0</v>
      </c>
    </row>
    <row r="8155" spans="1:11" x14ac:dyDescent="0.2">
      <c r="A8155">
        <v>75230</v>
      </c>
      <c r="B8155">
        <v>5700140</v>
      </c>
      <c r="C8155" t="s">
        <v>11241</v>
      </c>
      <c r="D8155">
        <v>10</v>
      </c>
      <c r="E8155">
        <v>18</v>
      </c>
      <c r="F8155">
        <v>1</v>
      </c>
      <c r="G8155">
        <v>18</v>
      </c>
      <c r="H8155">
        <v>70</v>
      </c>
      <c r="I8155">
        <v>0</v>
      </c>
      <c r="J8155">
        <v>2.4900000000000002</v>
      </c>
      <c r="K8155">
        <v>44.82</v>
      </c>
    </row>
    <row r="8156" spans="1:11" x14ac:dyDescent="0.2">
      <c r="A8156">
        <v>57506</v>
      </c>
      <c r="B8156">
        <v>5700143</v>
      </c>
      <c r="C8156" t="s">
        <v>11242</v>
      </c>
      <c r="D8156">
        <v>10</v>
      </c>
      <c r="E8156">
        <v>15</v>
      </c>
      <c r="F8156">
        <v>0</v>
      </c>
      <c r="G8156">
        <v>0</v>
      </c>
      <c r="H8156">
        <v>120</v>
      </c>
      <c r="I8156">
        <v>0</v>
      </c>
      <c r="J8156">
        <v>0.8</v>
      </c>
      <c r="K8156">
        <v>0</v>
      </c>
    </row>
    <row r="8157" spans="1:11" x14ac:dyDescent="0.2">
      <c r="A8157">
        <v>4634</v>
      </c>
      <c r="B8157">
        <v>5700159</v>
      </c>
      <c r="C8157" t="s">
        <v>11243</v>
      </c>
      <c r="D8157">
        <v>6</v>
      </c>
      <c r="E8157">
        <v>16</v>
      </c>
      <c r="F8157">
        <v>0</v>
      </c>
      <c r="G8157">
        <v>0</v>
      </c>
      <c r="H8157">
        <v>110</v>
      </c>
      <c r="I8157">
        <v>0</v>
      </c>
      <c r="J8157">
        <v>0.79</v>
      </c>
      <c r="K8157">
        <v>0</v>
      </c>
    </row>
    <row r="8158" spans="1:11" x14ac:dyDescent="0.2">
      <c r="B8158">
        <v>5700343</v>
      </c>
      <c r="C8158" t="s">
        <v>11244</v>
      </c>
      <c r="D8158">
        <v>11</v>
      </c>
      <c r="E8158">
        <v>12</v>
      </c>
      <c r="F8158">
        <v>0</v>
      </c>
      <c r="G8158">
        <v>0</v>
      </c>
      <c r="H8158">
        <v>224</v>
      </c>
      <c r="I8158">
        <v>0</v>
      </c>
      <c r="J8158">
        <v>0.69</v>
      </c>
      <c r="K8158">
        <v>0</v>
      </c>
    </row>
    <row r="8159" spans="1:11" x14ac:dyDescent="0.2">
      <c r="A8159">
        <v>44622</v>
      </c>
      <c r="B8159">
        <v>5700520</v>
      </c>
      <c r="C8159" t="s">
        <v>11245</v>
      </c>
      <c r="D8159">
        <v>10</v>
      </c>
      <c r="E8159">
        <v>16</v>
      </c>
      <c r="F8159">
        <v>1</v>
      </c>
      <c r="G8159">
        <v>16</v>
      </c>
      <c r="H8159">
        <v>60</v>
      </c>
      <c r="I8159">
        <v>0</v>
      </c>
      <c r="J8159">
        <v>2.29</v>
      </c>
      <c r="K8159">
        <v>36.64</v>
      </c>
    </row>
    <row r="8160" spans="1:11" x14ac:dyDescent="0.2">
      <c r="A8160">
        <v>51605</v>
      </c>
      <c r="B8160">
        <v>5700777</v>
      </c>
      <c r="C8160" t="s">
        <v>11246</v>
      </c>
      <c r="D8160">
        <v>10</v>
      </c>
      <c r="E8160">
        <v>27</v>
      </c>
      <c r="F8160">
        <v>0</v>
      </c>
      <c r="G8160">
        <v>0</v>
      </c>
      <c r="H8160">
        <v>120</v>
      </c>
      <c r="I8160">
        <v>0</v>
      </c>
      <c r="J8160">
        <v>2.99</v>
      </c>
      <c r="K8160">
        <v>0</v>
      </c>
    </row>
    <row r="8161" spans="1:11" x14ac:dyDescent="0.2">
      <c r="A8161">
        <v>75192</v>
      </c>
      <c r="B8161">
        <v>5700855</v>
      </c>
      <c r="C8161" t="s">
        <v>11247</v>
      </c>
      <c r="D8161">
        <v>9</v>
      </c>
      <c r="E8161">
        <v>18</v>
      </c>
      <c r="F8161">
        <v>0</v>
      </c>
      <c r="G8161">
        <v>0</v>
      </c>
      <c r="H8161">
        <v>156</v>
      </c>
      <c r="I8161">
        <v>0</v>
      </c>
      <c r="J8161">
        <v>1.49</v>
      </c>
      <c r="K8161">
        <v>0</v>
      </c>
    </row>
    <row r="8162" spans="1:11" x14ac:dyDescent="0.2">
      <c r="A8162">
        <v>99789</v>
      </c>
      <c r="B8162">
        <v>5700886</v>
      </c>
      <c r="C8162" t="s">
        <v>11248</v>
      </c>
      <c r="D8162">
        <v>10</v>
      </c>
      <c r="E8162">
        <v>10</v>
      </c>
      <c r="F8162">
        <v>0</v>
      </c>
      <c r="G8162">
        <v>0</v>
      </c>
      <c r="H8162">
        <v>70</v>
      </c>
      <c r="I8162">
        <v>0</v>
      </c>
      <c r="J8162">
        <v>3.29</v>
      </c>
      <c r="K8162">
        <v>0</v>
      </c>
    </row>
    <row r="8163" spans="1:11" x14ac:dyDescent="0.2">
      <c r="A8163">
        <v>4635</v>
      </c>
      <c r="B8163">
        <v>5701091</v>
      </c>
      <c r="C8163" t="s">
        <v>11249</v>
      </c>
      <c r="D8163">
        <v>6</v>
      </c>
      <c r="E8163">
        <v>16</v>
      </c>
      <c r="F8163">
        <v>4</v>
      </c>
      <c r="G8163">
        <v>64</v>
      </c>
      <c r="H8163">
        <v>110</v>
      </c>
      <c r="I8163">
        <v>0</v>
      </c>
      <c r="J8163">
        <v>0.79</v>
      </c>
      <c r="K8163">
        <v>50.56</v>
      </c>
    </row>
    <row r="8164" spans="1:11" x14ac:dyDescent="0.2">
      <c r="A8164">
        <v>72274</v>
      </c>
      <c r="B8164">
        <v>5701543</v>
      </c>
      <c r="C8164" t="s">
        <v>11250</v>
      </c>
      <c r="D8164">
        <v>8</v>
      </c>
      <c r="E8164">
        <v>12</v>
      </c>
      <c r="F8164">
        <v>318</v>
      </c>
      <c r="G8164">
        <v>3816</v>
      </c>
      <c r="H8164">
        <v>119</v>
      </c>
      <c r="I8164">
        <v>2.7</v>
      </c>
      <c r="J8164">
        <v>1.99</v>
      </c>
      <c r="K8164">
        <v>7593.84</v>
      </c>
    </row>
    <row r="8165" spans="1:11" x14ac:dyDescent="0.2">
      <c r="B8165">
        <v>5701596</v>
      </c>
      <c r="C8165" t="s">
        <v>11251</v>
      </c>
      <c r="D8165">
        <v>11</v>
      </c>
      <c r="E8165">
        <v>20</v>
      </c>
      <c r="F8165">
        <v>0</v>
      </c>
      <c r="G8165">
        <v>0</v>
      </c>
      <c r="H8165">
        <v>120</v>
      </c>
      <c r="I8165">
        <v>0</v>
      </c>
      <c r="J8165">
        <v>0.99</v>
      </c>
      <c r="K8165">
        <v>0</v>
      </c>
    </row>
    <row r="8166" spans="1:11" x14ac:dyDescent="0.2">
      <c r="B8166">
        <v>5701597</v>
      </c>
      <c r="C8166" t="s">
        <v>11252</v>
      </c>
      <c r="D8166">
        <v>11</v>
      </c>
      <c r="E8166">
        <v>20</v>
      </c>
      <c r="F8166">
        <v>0</v>
      </c>
      <c r="G8166">
        <v>0</v>
      </c>
      <c r="H8166">
        <v>120</v>
      </c>
      <c r="I8166">
        <v>0</v>
      </c>
      <c r="J8166">
        <v>0.99</v>
      </c>
      <c r="K8166">
        <v>0</v>
      </c>
    </row>
    <row r="8167" spans="1:11" x14ac:dyDescent="0.2">
      <c r="A8167">
        <v>57166</v>
      </c>
      <c r="B8167">
        <v>5701598</v>
      </c>
      <c r="C8167" t="s">
        <v>11253</v>
      </c>
      <c r="D8167">
        <v>11</v>
      </c>
      <c r="E8167">
        <v>12</v>
      </c>
      <c r="F8167">
        <v>0</v>
      </c>
      <c r="G8167">
        <v>0</v>
      </c>
      <c r="H8167">
        <v>108</v>
      </c>
      <c r="I8167">
        <v>0</v>
      </c>
      <c r="J8167">
        <v>1.2</v>
      </c>
      <c r="K8167">
        <v>0</v>
      </c>
    </row>
    <row r="8168" spans="1:11" x14ac:dyDescent="0.2">
      <c r="B8168">
        <v>5701602</v>
      </c>
      <c r="C8168" t="s">
        <v>11254</v>
      </c>
      <c r="D8168">
        <v>11</v>
      </c>
      <c r="E8168">
        <v>48</v>
      </c>
      <c r="F8168">
        <v>0</v>
      </c>
      <c r="G8168">
        <v>0</v>
      </c>
      <c r="H8168">
        <v>99</v>
      </c>
      <c r="I8168">
        <v>0</v>
      </c>
      <c r="J8168">
        <v>1.44</v>
      </c>
      <c r="K8168">
        <v>0</v>
      </c>
    </row>
    <row r="8169" spans="1:11" x14ac:dyDescent="0.2">
      <c r="A8169">
        <v>57324</v>
      </c>
      <c r="B8169">
        <v>5701603</v>
      </c>
      <c r="C8169" t="s">
        <v>11255</v>
      </c>
      <c r="D8169">
        <v>10</v>
      </c>
      <c r="E8169">
        <v>48</v>
      </c>
      <c r="F8169">
        <v>0</v>
      </c>
      <c r="G8169">
        <v>0</v>
      </c>
      <c r="H8169">
        <v>99</v>
      </c>
      <c r="I8169">
        <v>0</v>
      </c>
      <c r="J8169">
        <v>0.5</v>
      </c>
      <c r="K8169">
        <v>0</v>
      </c>
    </row>
    <row r="8170" spans="1:11" x14ac:dyDescent="0.2">
      <c r="A8170">
        <v>32521</v>
      </c>
      <c r="B8170">
        <v>5701606</v>
      </c>
      <c r="C8170" t="s">
        <v>11256</v>
      </c>
      <c r="D8170">
        <v>10</v>
      </c>
      <c r="E8170">
        <v>34</v>
      </c>
      <c r="F8170">
        <v>0</v>
      </c>
      <c r="G8170">
        <v>0</v>
      </c>
      <c r="H8170">
        <v>75</v>
      </c>
      <c r="I8170">
        <v>0</v>
      </c>
      <c r="J8170">
        <v>1.99</v>
      </c>
      <c r="K8170">
        <v>0</v>
      </c>
    </row>
    <row r="8171" spans="1:11" x14ac:dyDescent="0.2">
      <c r="A8171">
        <v>32522</v>
      </c>
      <c r="B8171">
        <v>5701613</v>
      </c>
      <c r="C8171" t="s">
        <v>11257</v>
      </c>
      <c r="D8171">
        <v>10</v>
      </c>
      <c r="E8171">
        <v>6</v>
      </c>
      <c r="F8171">
        <v>0</v>
      </c>
      <c r="G8171">
        <v>0</v>
      </c>
      <c r="H8171">
        <v>125</v>
      </c>
      <c r="I8171">
        <v>0</v>
      </c>
      <c r="J8171">
        <v>1.79</v>
      </c>
      <c r="K8171">
        <v>0</v>
      </c>
    </row>
    <row r="8172" spans="1:11" x14ac:dyDescent="0.2">
      <c r="A8172">
        <v>32607</v>
      </c>
      <c r="B8172">
        <v>5701619</v>
      </c>
      <c r="C8172" t="s">
        <v>11258</v>
      </c>
      <c r="D8172">
        <v>10</v>
      </c>
      <c r="E8172">
        <v>1</v>
      </c>
      <c r="F8172">
        <v>0</v>
      </c>
      <c r="G8172">
        <v>0</v>
      </c>
      <c r="H8172">
        <v>42</v>
      </c>
      <c r="I8172">
        <v>0</v>
      </c>
      <c r="J8172">
        <v>39.99</v>
      </c>
      <c r="K8172">
        <v>0</v>
      </c>
    </row>
    <row r="8173" spans="1:11" x14ac:dyDescent="0.2">
      <c r="A8173">
        <v>32523</v>
      </c>
      <c r="B8173">
        <v>5701620</v>
      </c>
      <c r="C8173" t="s">
        <v>5751</v>
      </c>
      <c r="D8173">
        <v>10</v>
      </c>
      <c r="E8173">
        <v>16</v>
      </c>
      <c r="F8173">
        <v>0</v>
      </c>
      <c r="G8173">
        <v>0</v>
      </c>
      <c r="H8173">
        <v>99</v>
      </c>
      <c r="I8173">
        <v>0</v>
      </c>
      <c r="J8173">
        <v>3.59</v>
      </c>
      <c r="K8173">
        <v>0</v>
      </c>
    </row>
    <row r="8174" spans="1:11" x14ac:dyDescent="0.2">
      <c r="A8174">
        <v>32524</v>
      </c>
      <c r="B8174">
        <v>5701621</v>
      </c>
      <c r="C8174" t="s">
        <v>11259</v>
      </c>
      <c r="D8174">
        <v>10</v>
      </c>
      <c r="E8174">
        <v>12</v>
      </c>
      <c r="F8174">
        <v>0</v>
      </c>
      <c r="G8174">
        <v>0</v>
      </c>
      <c r="H8174">
        <v>189</v>
      </c>
      <c r="I8174">
        <v>0</v>
      </c>
      <c r="J8174">
        <v>1.49</v>
      </c>
      <c r="K8174">
        <v>0</v>
      </c>
    </row>
    <row r="8175" spans="1:11" x14ac:dyDescent="0.2">
      <c r="A8175">
        <v>32525</v>
      </c>
      <c r="B8175">
        <v>5701624</v>
      </c>
      <c r="C8175" t="s">
        <v>11260</v>
      </c>
      <c r="D8175">
        <v>10</v>
      </c>
      <c r="E8175">
        <v>17</v>
      </c>
      <c r="F8175">
        <v>0</v>
      </c>
      <c r="G8175">
        <v>0</v>
      </c>
      <c r="H8175">
        <v>117</v>
      </c>
      <c r="I8175">
        <v>0</v>
      </c>
      <c r="J8175">
        <v>1.59</v>
      </c>
      <c r="K8175">
        <v>0</v>
      </c>
    </row>
    <row r="8176" spans="1:11" x14ac:dyDescent="0.2">
      <c r="A8176">
        <v>32613</v>
      </c>
      <c r="B8176">
        <v>5701629</v>
      </c>
      <c r="C8176" t="s">
        <v>11261</v>
      </c>
      <c r="D8176">
        <v>10</v>
      </c>
      <c r="E8176">
        <v>18</v>
      </c>
      <c r="F8176">
        <v>0</v>
      </c>
      <c r="G8176">
        <v>0</v>
      </c>
      <c r="H8176">
        <v>40</v>
      </c>
      <c r="I8176">
        <v>0</v>
      </c>
      <c r="J8176">
        <v>0.5</v>
      </c>
      <c r="K8176">
        <v>0</v>
      </c>
    </row>
    <row r="8177" spans="1:11" x14ac:dyDescent="0.2">
      <c r="A8177">
        <v>32614</v>
      </c>
      <c r="B8177">
        <v>5701638</v>
      </c>
      <c r="C8177" t="s">
        <v>11262</v>
      </c>
      <c r="D8177">
        <v>10</v>
      </c>
      <c r="E8177">
        <v>8</v>
      </c>
      <c r="F8177">
        <v>0</v>
      </c>
      <c r="G8177">
        <v>0</v>
      </c>
      <c r="H8177">
        <v>81</v>
      </c>
      <c r="I8177">
        <v>0</v>
      </c>
      <c r="J8177">
        <v>0.5</v>
      </c>
      <c r="K8177">
        <v>0</v>
      </c>
    </row>
    <row r="8178" spans="1:11" x14ac:dyDescent="0.2">
      <c r="A8178">
        <v>57325</v>
      </c>
      <c r="B8178">
        <v>5701651</v>
      </c>
      <c r="C8178" t="s">
        <v>11263</v>
      </c>
      <c r="D8178">
        <v>10</v>
      </c>
      <c r="E8178">
        <v>8</v>
      </c>
      <c r="F8178">
        <v>0</v>
      </c>
      <c r="G8178">
        <v>0</v>
      </c>
      <c r="H8178">
        <v>98</v>
      </c>
      <c r="I8178">
        <v>0</v>
      </c>
      <c r="J8178">
        <v>0.5</v>
      </c>
      <c r="K8178">
        <v>0</v>
      </c>
    </row>
    <row r="8179" spans="1:11" x14ac:dyDescent="0.2">
      <c r="A8179">
        <v>57507</v>
      </c>
      <c r="B8179">
        <v>5701666</v>
      </c>
      <c r="C8179" t="s">
        <v>11264</v>
      </c>
      <c r="D8179">
        <v>10</v>
      </c>
      <c r="E8179">
        <v>10</v>
      </c>
      <c r="F8179">
        <v>9</v>
      </c>
      <c r="G8179">
        <v>85</v>
      </c>
      <c r="H8179">
        <v>180</v>
      </c>
      <c r="I8179">
        <v>0</v>
      </c>
      <c r="J8179">
        <v>2.9</v>
      </c>
      <c r="K8179">
        <v>246.5</v>
      </c>
    </row>
    <row r="8180" spans="1:11" x14ac:dyDescent="0.2">
      <c r="A8180">
        <v>57326</v>
      </c>
      <c r="B8180">
        <v>5701671</v>
      </c>
      <c r="C8180" t="s">
        <v>11265</v>
      </c>
      <c r="D8180">
        <v>10</v>
      </c>
      <c r="E8180">
        <v>20</v>
      </c>
      <c r="F8180">
        <v>0</v>
      </c>
      <c r="G8180">
        <v>0</v>
      </c>
      <c r="H8180">
        <v>40</v>
      </c>
      <c r="I8180">
        <v>0</v>
      </c>
      <c r="J8180">
        <v>0.5</v>
      </c>
      <c r="K8180">
        <v>0</v>
      </c>
    </row>
    <row r="8181" spans="1:11" x14ac:dyDescent="0.2">
      <c r="A8181">
        <v>32526</v>
      </c>
      <c r="B8181">
        <v>5701693</v>
      </c>
      <c r="C8181" t="s">
        <v>11266</v>
      </c>
      <c r="D8181">
        <v>10</v>
      </c>
      <c r="E8181">
        <v>12</v>
      </c>
      <c r="F8181">
        <v>0</v>
      </c>
      <c r="G8181">
        <v>0</v>
      </c>
      <c r="H8181">
        <v>108</v>
      </c>
      <c r="I8181">
        <v>0</v>
      </c>
      <c r="J8181">
        <v>1.89</v>
      </c>
      <c r="K8181">
        <v>0</v>
      </c>
    </row>
    <row r="8182" spans="1:11" x14ac:dyDescent="0.2">
      <c r="A8182">
        <v>32527</v>
      </c>
      <c r="B8182">
        <v>5701698</v>
      </c>
      <c r="C8182" t="s">
        <v>6295</v>
      </c>
      <c r="D8182">
        <v>10</v>
      </c>
      <c r="E8182">
        <v>12</v>
      </c>
      <c r="F8182">
        <v>0</v>
      </c>
      <c r="G8182">
        <v>0</v>
      </c>
      <c r="H8182">
        <v>108</v>
      </c>
      <c r="I8182">
        <v>0</v>
      </c>
      <c r="J8182">
        <v>1.89</v>
      </c>
      <c r="K8182">
        <v>0</v>
      </c>
    </row>
    <row r="8183" spans="1:11" x14ac:dyDescent="0.2">
      <c r="B8183">
        <v>5701708</v>
      </c>
      <c r="C8183" t="s">
        <v>11267</v>
      </c>
      <c r="D8183">
        <v>11</v>
      </c>
      <c r="E8183">
        <v>28</v>
      </c>
      <c r="F8183">
        <v>0</v>
      </c>
      <c r="G8183">
        <v>0</v>
      </c>
      <c r="H8183">
        <v>56</v>
      </c>
      <c r="I8183">
        <v>0</v>
      </c>
      <c r="J8183">
        <v>1.19</v>
      </c>
      <c r="K8183">
        <v>0</v>
      </c>
    </row>
    <row r="8184" spans="1:11" x14ac:dyDescent="0.2">
      <c r="A8184">
        <v>57358</v>
      </c>
      <c r="B8184">
        <v>5701742</v>
      </c>
      <c r="C8184" t="s">
        <v>11268</v>
      </c>
      <c r="D8184">
        <v>10</v>
      </c>
      <c r="E8184">
        <v>12</v>
      </c>
      <c r="F8184">
        <v>0</v>
      </c>
      <c r="G8184">
        <v>0</v>
      </c>
      <c r="H8184">
        <v>121</v>
      </c>
      <c r="I8184">
        <v>0</v>
      </c>
      <c r="J8184">
        <v>2.5</v>
      </c>
      <c r="K8184">
        <v>0</v>
      </c>
    </row>
    <row r="8185" spans="1:11" x14ac:dyDescent="0.2">
      <c r="A8185">
        <v>57167</v>
      </c>
      <c r="B8185">
        <v>5701743</v>
      </c>
      <c r="C8185" t="s">
        <v>11269</v>
      </c>
      <c r="D8185">
        <v>11</v>
      </c>
      <c r="E8185">
        <v>18</v>
      </c>
      <c r="F8185">
        <v>0</v>
      </c>
      <c r="G8185">
        <v>0</v>
      </c>
      <c r="H8185">
        <v>70</v>
      </c>
      <c r="I8185">
        <v>0</v>
      </c>
      <c r="J8185">
        <v>2.5</v>
      </c>
      <c r="K8185">
        <v>0</v>
      </c>
    </row>
    <row r="8186" spans="1:11" x14ac:dyDescent="0.2">
      <c r="A8186">
        <v>99527</v>
      </c>
      <c r="B8186">
        <v>5701928</v>
      </c>
      <c r="C8186" t="s">
        <v>11270</v>
      </c>
      <c r="D8186">
        <v>10</v>
      </c>
      <c r="E8186">
        <v>10</v>
      </c>
      <c r="F8186">
        <v>0</v>
      </c>
      <c r="G8186">
        <v>0</v>
      </c>
      <c r="H8186">
        <v>48</v>
      </c>
      <c r="I8186">
        <v>0</v>
      </c>
      <c r="J8186">
        <v>7.64</v>
      </c>
      <c r="K8186">
        <v>0</v>
      </c>
    </row>
    <row r="8187" spans="1:11" x14ac:dyDescent="0.2">
      <c r="A8187">
        <v>32528</v>
      </c>
      <c r="B8187">
        <v>5701936</v>
      </c>
      <c r="C8187" t="s">
        <v>11271</v>
      </c>
      <c r="D8187">
        <v>10</v>
      </c>
      <c r="E8187">
        <v>24</v>
      </c>
      <c r="F8187">
        <v>0</v>
      </c>
      <c r="G8187">
        <v>0</v>
      </c>
      <c r="H8187">
        <v>104</v>
      </c>
      <c r="I8187">
        <v>0</v>
      </c>
      <c r="J8187">
        <v>2.69</v>
      </c>
      <c r="K8187">
        <v>0</v>
      </c>
    </row>
    <row r="8188" spans="1:11" x14ac:dyDescent="0.2">
      <c r="A8188">
        <v>32529</v>
      </c>
      <c r="B8188">
        <v>5701937</v>
      </c>
      <c r="C8188" t="s">
        <v>11272</v>
      </c>
      <c r="D8188">
        <v>10</v>
      </c>
      <c r="E8188">
        <v>24</v>
      </c>
      <c r="F8188">
        <v>0</v>
      </c>
      <c r="G8188">
        <v>0</v>
      </c>
      <c r="H8188">
        <v>104</v>
      </c>
      <c r="I8188">
        <v>0</v>
      </c>
      <c r="J8188">
        <v>3.69</v>
      </c>
      <c r="K8188">
        <v>0</v>
      </c>
    </row>
    <row r="8189" spans="1:11" x14ac:dyDescent="0.2">
      <c r="B8189">
        <v>5701943</v>
      </c>
      <c r="C8189" t="s">
        <v>11273</v>
      </c>
      <c r="D8189">
        <v>11</v>
      </c>
      <c r="E8189">
        <v>20</v>
      </c>
      <c r="F8189">
        <v>0</v>
      </c>
      <c r="G8189">
        <v>0</v>
      </c>
      <c r="H8189">
        <v>110</v>
      </c>
      <c r="I8189">
        <v>0</v>
      </c>
      <c r="J8189">
        <v>1.49</v>
      </c>
      <c r="K8189">
        <v>0</v>
      </c>
    </row>
    <row r="8190" spans="1:11" x14ac:dyDescent="0.2">
      <c r="A8190">
        <v>32530</v>
      </c>
      <c r="B8190">
        <v>5701949</v>
      </c>
      <c r="C8190" t="s">
        <v>11274</v>
      </c>
      <c r="D8190">
        <v>10</v>
      </c>
      <c r="E8190">
        <v>6</v>
      </c>
      <c r="F8190">
        <v>0</v>
      </c>
      <c r="G8190">
        <v>0</v>
      </c>
      <c r="H8190">
        <v>130</v>
      </c>
      <c r="I8190">
        <v>0</v>
      </c>
      <c r="J8190">
        <v>1.49</v>
      </c>
      <c r="K8190">
        <v>0</v>
      </c>
    </row>
    <row r="8191" spans="1:11" x14ac:dyDescent="0.2">
      <c r="A8191">
        <v>32608</v>
      </c>
      <c r="B8191">
        <v>5701955</v>
      </c>
      <c r="C8191" t="s">
        <v>11275</v>
      </c>
      <c r="D8191">
        <v>10</v>
      </c>
      <c r="E8191">
        <v>18</v>
      </c>
      <c r="F8191">
        <v>0</v>
      </c>
      <c r="G8191">
        <v>0</v>
      </c>
      <c r="H8191">
        <v>70</v>
      </c>
      <c r="I8191">
        <v>0</v>
      </c>
      <c r="J8191">
        <v>2.9</v>
      </c>
      <c r="K8191">
        <v>0</v>
      </c>
    </row>
    <row r="8192" spans="1:11" x14ac:dyDescent="0.2">
      <c r="A8192">
        <v>57508</v>
      </c>
      <c r="B8192">
        <v>5701956</v>
      </c>
      <c r="C8192" t="s">
        <v>11276</v>
      </c>
      <c r="D8192">
        <v>10</v>
      </c>
      <c r="E8192">
        <v>18</v>
      </c>
      <c r="F8192">
        <v>0</v>
      </c>
      <c r="G8192">
        <v>5</v>
      </c>
      <c r="H8192">
        <v>70</v>
      </c>
      <c r="I8192">
        <v>0</v>
      </c>
      <c r="J8192">
        <v>2.9</v>
      </c>
      <c r="K8192">
        <v>14.5</v>
      </c>
    </row>
    <row r="8193" spans="1:11" x14ac:dyDescent="0.2">
      <c r="A8193">
        <v>32531</v>
      </c>
      <c r="B8193">
        <v>5701959</v>
      </c>
      <c r="C8193" t="s">
        <v>11277</v>
      </c>
      <c r="D8193">
        <v>10</v>
      </c>
      <c r="E8193">
        <v>12</v>
      </c>
      <c r="F8193">
        <v>0</v>
      </c>
      <c r="G8193">
        <v>0</v>
      </c>
      <c r="H8193">
        <v>280</v>
      </c>
      <c r="I8193">
        <v>0</v>
      </c>
      <c r="J8193">
        <v>1.89</v>
      </c>
      <c r="K8193">
        <v>0</v>
      </c>
    </row>
    <row r="8194" spans="1:11" x14ac:dyDescent="0.2">
      <c r="A8194">
        <v>99870</v>
      </c>
      <c r="B8194">
        <v>5701971</v>
      </c>
      <c r="C8194" t="s">
        <v>11278</v>
      </c>
      <c r="D8194">
        <v>10</v>
      </c>
      <c r="E8194">
        <v>12</v>
      </c>
      <c r="F8194">
        <v>0</v>
      </c>
      <c r="G8194">
        <v>0</v>
      </c>
      <c r="H8194">
        <v>54</v>
      </c>
      <c r="I8194">
        <v>0</v>
      </c>
      <c r="J8194">
        <v>2.99</v>
      </c>
      <c r="K8194">
        <v>0</v>
      </c>
    </row>
    <row r="8195" spans="1:11" x14ac:dyDescent="0.2">
      <c r="A8195">
        <v>46621</v>
      </c>
      <c r="B8195">
        <v>5702388</v>
      </c>
      <c r="C8195" t="s">
        <v>11279</v>
      </c>
      <c r="D8195">
        <v>10</v>
      </c>
      <c r="E8195">
        <v>21</v>
      </c>
      <c r="F8195">
        <v>0</v>
      </c>
      <c r="G8195">
        <v>0</v>
      </c>
      <c r="H8195">
        <v>20</v>
      </c>
      <c r="I8195">
        <v>0</v>
      </c>
      <c r="J8195">
        <v>3.99</v>
      </c>
      <c r="K8195">
        <v>0</v>
      </c>
    </row>
    <row r="8196" spans="1:11" x14ac:dyDescent="0.2">
      <c r="A8196">
        <v>46622</v>
      </c>
      <c r="B8196">
        <v>5702389</v>
      </c>
      <c r="C8196" t="s">
        <v>11280</v>
      </c>
      <c r="D8196">
        <v>10</v>
      </c>
      <c r="E8196">
        <v>21</v>
      </c>
      <c r="F8196">
        <v>0</v>
      </c>
      <c r="G8196">
        <v>0</v>
      </c>
      <c r="H8196">
        <v>420</v>
      </c>
      <c r="I8196">
        <v>0</v>
      </c>
      <c r="J8196">
        <v>3.99</v>
      </c>
      <c r="K8196">
        <v>0</v>
      </c>
    </row>
    <row r="8197" spans="1:11" x14ac:dyDescent="0.2">
      <c r="A8197">
        <v>46623</v>
      </c>
      <c r="B8197">
        <v>5702391</v>
      </c>
      <c r="C8197" t="s">
        <v>11281</v>
      </c>
      <c r="D8197">
        <v>10</v>
      </c>
      <c r="E8197">
        <v>24</v>
      </c>
      <c r="F8197">
        <v>0</v>
      </c>
      <c r="G8197">
        <v>0</v>
      </c>
      <c r="H8197">
        <v>20</v>
      </c>
      <c r="I8197">
        <v>0</v>
      </c>
      <c r="J8197">
        <v>3.99</v>
      </c>
      <c r="K8197">
        <v>0</v>
      </c>
    </row>
    <row r="8198" spans="1:11" x14ac:dyDescent="0.2">
      <c r="A8198">
        <v>27522</v>
      </c>
      <c r="B8198">
        <v>5702592</v>
      </c>
      <c r="C8198" t="s">
        <v>11282</v>
      </c>
      <c r="D8198">
        <v>10</v>
      </c>
      <c r="E8198">
        <v>6</v>
      </c>
      <c r="F8198">
        <v>0</v>
      </c>
      <c r="G8198">
        <v>0</v>
      </c>
      <c r="H8198">
        <v>130</v>
      </c>
      <c r="I8198">
        <v>0</v>
      </c>
      <c r="J8198">
        <v>1.29</v>
      </c>
      <c r="K8198">
        <v>0</v>
      </c>
    </row>
    <row r="8199" spans="1:11" x14ac:dyDescent="0.2">
      <c r="A8199">
        <v>27523</v>
      </c>
      <c r="B8199">
        <v>5702594</v>
      </c>
      <c r="C8199" t="s">
        <v>11283</v>
      </c>
      <c r="D8199">
        <v>10</v>
      </c>
      <c r="E8199">
        <v>6</v>
      </c>
      <c r="F8199">
        <v>0</v>
      </c>
      <c r="G8199">
        <v>0</v>
      </c>
      <c r="H8199">
        <v>130</v>
      </c>
      <c r="I8199">
        <v>0</v>
      </c>
      <c r="J8199">
        <v>1.29</v>
      </c>
      <c r="K8199">
        <v>0</v>
      </c>
    </row>
    <row r="8200" spans="1:11" x14ac:dyDescent="0.2">
      <c r="A8200">
        <v>27524</v>
      </c>
      <c r="B8200">
        <v>5702595</v>
      </c>
      <c r="C8200" t="s">
        <v>11284</v>
      </c>
      <c r="D8200">
        <v>10</v>
      </c>
      <c r="E8200">
        <v>6</v>
      </c>
      <c r="F8200">
        <v>0</v>
      </c>
      <c r="G8200">
        <v>0</v>
      </c>
      <c r="H8200">
        <v>130</v>
      </c>
      <c r="I8200">
        <v>0</v>
      </c>
      <c r="J8200">
        <v>1.49</v>
      </c>
      <c r="K8200">
        <v>0</v>
      </c>
    </row>
    <row r="8201" spans="1:11" x14ac:dyDescent="0.2">
      <c r="A8201">
        <v>57271</v>
      </c>
      <c r="B8201">
        <v>5702647</v>
      </c>
      <c r="C8201" t="s">
        <v>11285</v>
      </c>
      <c r="D8201">
        <v>10</v>
      </c>
      <c r="E8201">
        <v>20</v>
      </c>
      <c r="F8201">
        <v>0</v>
      </c>
      <c r="G8201">
        <v>0</v>
      </c>
      <c r="H8201">
        <v>56</v>
      </c>
      <c r="I8201">
        <v>0</v>
      </c>
      <c r="J8201">
        <v>1.3</v>
      </c>
      <c r="K8201">
        <v>0</v>
      </c>
    </row>
    <row r="8202" spans="1:11" x14ac:dyDescent="0.2">
      <c r="A8202">
        <v>57509</v>
      </c>
      <c r="B8202">
        <v>5703042</v>
      </c>
      <c r="C8202" t="s">
        <v>11286</v>
      </c>
      <c r="D8202">
        <v>6</v>
      </c>
      <c r="E8202">
        <v>12</v>
      </c>
      <c r="F8202">
        <v>0</v>
      </c>
      <c r="G8202">
        <v>5</v>
      </c>
      <c r="H8202">
        <v>60</v>
      </c>
      <c r="I8202">
        <v>0</v>
      </c>
      <c r="J8202">
        <v>2.2000000000000002</v>
      </c>
      <c r="K8202">
        <v>11</v>
      </c>
    </row>
    <row r="8203" spans="1:11" x14ac:dyDescent="0.2">
      <c r="A8203">
        <v>66003</v>
      </c>
      <c r="B8203">
        <v>5703047</v>
      </c>
      <c r="C8203" t="s">
        <v>11287</v>
      </c>
      <c r="D8203">
        <v>8</v>
      </c>
      <c r="E8203">
        <v>12</v>
      </c>
      <c r="F8203">
        <v>704</v>
      </c>
      <c r="G8203">
        <v>8448</v>
      </c>
      <c r="H8203">
        <v>90</v>
      </c>
      <c r="I8203">
        <v>7.8</v>
      </c>
      <c r="J8203">
        <v>0.3</v>
      </c>
      <c r="K8203">
        <v>2534.4</v>
      </c>
    </row>
    <row r="8204" spans="1:11" x14ac:dyDescent="0.2">
      <c r="A8204">
        <v>66006</v>
      </c>
      <c r="B8204">
        <v>5703048</v>
      </c>
      <c r="C8204" t="s">
        <v>11288</v>
      </c>
      <c r="D8204">
        <v>8</v>
      </c>
      <c r="E8204">
        <v>12</v>
      </c>
      <c r="F8204">
        <v>2312</v>
      </c>
      <c r="G8204">
        <v>27744</v>
      </c>
      <c r="H8204">
        <v>84</v>
      </c>
      <c r="I8204">
        <v>27.5</v>
      </c>
      <c r="J8204">
        <v>0.39</v>
      </c>
      <c r="K8204">
        <v>10820.16</v>
      </c>
    </row>
    <row r="8205" spans="1:11" x14ac:dyDescent="0.2">
      <c r="A8205">
        <v>75250</v>
      </c>
      <c r="B8205">
        <v>5703051</v>
      </c>
      <c r="C8205" t="s">
        <v>11289</v>
      </c>
      <c r="D8205">
        <v>10</v>
      </c>
      <c r="E8205">
        <v>9</v>
      </c>
      <c r="F8205">
        <v>0</v>
      </c>
      <c r="G8205">
        <v>0</v>
      </c>
      <c r="H8205">
        <v>99</v>
      </c>
      <c r="I8205">
        <v>0</v>
      </c>
      <c r="J8205">
        <v>3.99</v>
      </c>
      <c r="K8205">
        <v>0</v>
      </c>
    </row>
    <row r="8206" spans="1:11" x14ac:dyDescent="0.2">
      <c r="A8206">
        <v>57359</v>
      </c>
      <c r="B8206">
        <v>5703436</v>
      </c>
      <c r="C8206" t="s">
        <v>11290</v>
      </c>
      <c r="D8206">
        <v>10</v>
      </c>
      <c r="E8206">
        <v>24</v>
      </c>
      <c r="F8206">
        <v>0</v>
      </c>
      <c r="G8206">
        <v>0</v>
      </c>
      <c r="H8206">
        <v>110</v>
      </c>
      <c r="I8206">
        <v>0</v>
      </c>
      <c r="J8206">
        <v>1.6</v>
      </c>
      <c r="K8206">
        <v>0</v>
      </c>
    </row>
    <row r="8207" spans="1:11" x14ac:dyDescent="0.2">
      <c r="A8207">
        <v>57593</v>
      </c>
      <c r="B8207">
        <v>5703488</v>
      </c>
      <c r="C8207" t="s">
        <v>11291</v>
      </c>
      <c r="D8207">
        <v>10</v>
      </c>
      <c r="E8207">
        <v>24</v>
      </c>
      <c r="F8207">
        <v>13</v>
      </c>
      <c r="G8207">
        <v>320</v>
      </c>
      <c r="H8207">
        <v>120</v>
      </c>
      <c r="I8207">
        <v>0.1</v>
      </c>
      <c r="J8207">
        <v>0.5</v>
      </c>
      <c r="K8207">
        <v>160</v>
      </c>
    </row>
    <row r="8208" spans="1:11" x14ac:dyDescent="0.2">
      <c r="A8208">
        <v>49619</v>
      </c>
      <c r="B8208">
        <v>5703846</v>
      </c>
      <c r="C8208" t="s">
        <v>11292</v>
      </c>
      <c r="D8208">
        <v>10</v>
      </c>
      <c r="E8208">
        <v>30</v>
      </c>
      <c r="F8208">
        <v>0</v>
      </c>
      <c r="G8208">
        <v>0</v>
      </c>
      <c r="H8208">
        <v>80</v>
      </c>
      <c r="I8208">
        <v>0</v>
      </c>
      <c r="J8208">
        <v>1.99</v>
      </c>
      <c r="K8208">
        <v>0</v>
      </c>
    </row>
    <row r="8209" spans="1:11" x14ac:dyDescent="0.2">
      <c r="A8209">
        <v>46637</v>
      </c>
      <c r="B8209">
        <v>5703850</v>
      </c>
      <c r="C8209" t="s">
        <v>11293</v>
      </c>
      <c r="D8209">
        <v>10</v>
      </c>
      <c r="E8209">
        <v>30</v>
      </c>
      <c r="F8209">
        <v>0</v>
      </c>
      <c r="G8209">
        <v>0</v>
      </c>
      <c r="H8209">
        <v>80</v>
      </c>
      <c r="I8209">
        <v>0</v>
      </c>
      <c r="J8209">
        <v>1.99</v>
      </c>
      <c r="K8209">
        <v>0</v>
      </c>
    </row>
    <row r="8210" spans="1:11" x14ac:dyDescent="0.2">
      <c r="A8210">
        <v>57168</v>
      </c>
      <c r="B8210">
        <v>5703979</v>
      </c>
      <c r="C8210" t="s">
        <v>11294</v>
      </c>
      <c r="D8210">
        <v>10</v>
      </c>
      <c r="E8210">
        <v>23</v>
      </c>
      <c r="F8210">
        <v>0</v>
      </c>
      <c r="G8210">
        <v>0</v>
      </c>
      <c r="H8210">
        <v>32</v>
      </c>
      <c r="I8210">
        <v>0</v>
      </c>
      <c r="J8210">
        <v>0.6</v>
      </c>
      <c r="K8210">
        <v>0</v>
      </c>
    </row>
    <row r="8211" spans="1:11" x14ac:dyDescent="0.2">
      <c r="A8211">
        <v>99996</v>
      </c>
      <c r="B8211">
        <v>5704113</v>
      </c>
      <c r="C8211" t="s">
        <v>11295</v>
      </c>
      <c r="D8211">
        <v>10</v>
      </c>
      <c r="E8211">
        <v>8</v>
      </c>
      <c r="F8211">
        <v>0</v>
      </c>
      <c r="G8211">
        <v>0</v>
      </c>
      <c r="H8211">
        <v>95</v>
      </c>
      <c r="I8211">
        <v>0</v>
      </c>
      <c r="J8211">
        <v>1.99</v>
      </c>
      <c r="K8211">
        <v>0</v>
      </c>
    </row>
    <row r="8212" spans="1:11" x14ac:dyDescent="0.2">
      <c r="A8212">
        <v>33533</v>
      </c>
      <c r="B8212">
        <v>5704134</v>
      </c>
      <c r="C8212" t="s">
        <v>11296</v>
      </c>
      <c r="D8212">
        <v>10</v>
      </c>
      <c r="E8212">
        <v>6</v>
      </c>
      <c r="F8212">
        <v>0</v>
      </c>
      <c r="G8212">
        <v>0</v>
      </c>
      <c r="H8212">
        <v>130</v>
      </c>
      <c r="I8212">
        <v>0</v>
      </c>
      <c r="J8212">
        <v>1.49</v>
      </c>
      <c r="K8212">
        <v>0</v>
      </c>
    </row>
    <row r="8213" spans="1:11" x14ac:dyDescent="0.2">
      <c r="A8213">
        <v>32532</v>
      </c>
      <c r="B8213">
        <v>5704164</v>
      </c>
      <c r="C8213" t="s">
        <v>11297</v>
      </c>
      <c r="D8213">
        <v>10</v>
      </c>
      <c r="E8213">
        <v>12</v>
      </c>
      <c r="F8213">
        <v>0</v>
      </c>
      <c r="G8213">
        <v>0</v>
      </c>
      <c r="H8213">
        <v>121</v>
      </c>
      <c r="I8213">
        <v>0</v>
      </c>
      <c r="J8213">
        <v>3.19</v>
      </c>
      <c r="K8213">
        <v>0</v>
      </c>
    </row>
    <row r="8214" spans="1:11" x14ac:dyDescent="0.2">
      <c r="A8214">
        <v>85052</v>
      </c>
      <c r="B8214">
        <v>5704421</v>
      </c>
      <c r="C8214" t="s">
        <v>11298</v>
      </c>
      <c r="D8214">
        <v>8</v>
      </c>
      <c r="E8214">
        <v>12</v>
      </c>
      <c r="F8214">
        <v>310</v>
      </c>
      <c r="G8214">
        <v>3720</v>
      </c>
      <c r="H8214">
        <v>108</v>
      </c>
      <c r="I8214">
        <v>2.9</v>
      </c>
      <c r="J8214">
        <v>1.89</v>
      </c>
      <c r="K8214">
        <v>7030.8</v>
      </c>
    </row>
    <row r="8215" spans="1:11" x14ac:dyDescent="0.2">
      <c r="A8215">
        <v>99869</v>
      </c>
      <c r="B8215">
        <v>5704626</v>
      </c>
      <c r="C8215" t="s">
        <v>11299</v>
      </c>
      <c r="D8215">
        <v>10</v>
      </c>
      <c r="E8215">
        <v>8</v>
      </c>
      <c r="F8215">
        <v>0</v>
      </c>
      <c r="G8215">
        <v>0</v>
      </c>
      <c r="H8215">
        <v>84</v>
      </c>
      <c r="I8215">
        <v>0</v>
      </c>
      <c r="J8215">
        <v>1.19</v>
      </c>
      <c r="K8215">
        <v>0</v>
      </c>
    </row>
    <row r="8216" spans="1:11" x14ac:dyDescent="0.2">
      <c r="A8216">
        <v>70119</v>
      </c>
      <c r="B8216">
        <v>5704843</v>
      </c>
      <c r="C8216" t="s">
        <v>11300</v>
      </c>
      <c r="D8216">
        <v>8</v>
      </c>
      <c r="E8216">
        <v>10</v>
      </c>
      <c r="F8216">
        <v>355</v>
      </c>
      <c r="G8216">
        <v>3550</v>
      </c>
      <c r="H8216">
        <v>85</v>
      </c>
      <c r="I8216">
        <v>4.2</v>
      </c>
      <c r="J8216">
        <v>2.5499999999999998</v>
      </c>
      <c r="K8216">
        <v>9052.5</v>
      </c>
    </row>
    <row r="8217" spans="1:11" x14ac:dyDescent="0.2">
      <c r="A8217">
        <v>99992</v>
      </c>
      <c r="B8217">
        <v>5704862</v>
      </c>
      <c r="C8217" t="s">
        <v>11301</v>
      </c>
      <c r="D8217">
        <v>10</v>
      </c>
      <c r="E8217">
        <v>14</v>
      </c>
      <c r="F8217">
        <v>0</v>
      </c>
      <c r="G8217">
        <v>0</v>
      </c>
      <c r="H8217">
        <v>117</v>
      </c>
      <c r="I8217">
        <v>0</v>
      </c>
      <c r="J8217">
        <v>1.59</v>
      </c>
      <c r="K8217">
        <v>0</v>
      </c>
    </row>
    <row r="8218" spans="1:11" x14ac:dyDescent="0.2">
      <c r="B8218">
        <v>5704868</v>
      </c>
      <c r="C8218" t="s">
        <v>11302</v>
      </c>
      <c r="D8218">
        <v>11</v>
      </c>
      <c r="E8218">
        <v>6</v>
      </c>
      <c r="F8218">
        <v>0</v>
      </c>
      <c r="G8218">
        <v>0</v>
      </c>
      <c r="H8218">
        <v>130</v>
      </c>
      <c r="I8218">
        <v>0</v>
      </c>
      <c r="J8218">
        <v>1.69</v>
      </c>
      <c r="K8218">
        <v>0</v>
      </c>
    </row>
    <row r="8219" spans="1:11" x14ac:dyDescent="0.2">
      <c r="A8219">
        <v>99788</v>
      </c>
      <c r="B8219">
        <v>5704898</v>
      </c>
      <c r="C8219" t="s">
        <v>11303</v>
      </c>
      <c r="D8219">
        <v>6</v>
      </c>
      <c r="E8219">
        <v>10</v>
      </c>
      <c r="F8219">
        <v>0</v>
      </c>
      <c r="G8219">
        <v>0</v>
      </c>
      <c r="H8219">
        <v>70</v>
      </c>
      <c r="I8219">
        <v>0</v>
      </c>
      <c r="J8219">
        <v>7.69</v>
      </c>
      <c r="K8219">
        <v>0</v>
      </c>
    </row>
    <row r="8220" spans="1:11" x14ac:dyDescent="0.2">
      <c r="A8220">
        <v>43618</v>
      </c>
      <c r="B8220">
        <v>5704984</v>
      </c>
      <c r="C8220" t="s">
        <v>11304</v>
      </c>
      <c r="D8220">
        <v>10</v>
      </c>
      <c r="E8220">
        <v>24</v>
      </c>
      <c r="F8220">
        <v>0</v>
      </c>
      <c r="G8220">
        <v>0</v>
      </c>
      <c r="H8220">
        <v>24</v>
      </c>
      <c r="I8220">
        <v>0</v>
      </c>
      <c r="J8220">
        <v>3.99</v>
      </c>
      <c r="K8220">
        <v>0</v>
      </c>
    </row>
    <row r="8221" spans="1:11" x14ac:dyDescent="0.2">
      <c r="A8221">
        <v>43619</v>
      </c>
      <c r="B8221">
        <v>5704986</v>
      </c>
      <c r="C8221" t="s">
        <v>11305</v>
      </c>
      <c r="D8221">
        <v>10</v>
      </c>
      <c r="E8221">
        <v>22</v>
      </c>
      <c r="F8221">
        <v>1</v>
      </c>
      <c r="G8221">
        <v>22</v>
      </c>
      <c r="H8221">
        <v>20</v>
      </c>
      <c r="I8221">
        <v>0.1</v>
      </c>
      <c r="J8221">
        <v>3.99</v>
      </c>
      <c r="K8221">
        <v>87.78</v>
      </c>
    </row>
    <row r="8222" spans="1:11" x14ac:dyDescent="0.2">
      <c r="A8222">
        <v>43620</v>
      </c>
      <c r="B8222">
        <v>5704988</v>
      </c>
      <c r="C8222" t="s">
        <v>11306</v>
      </c>
      <c r="D8222">
        <v>10</v>
      </c>
      <c r="E8222">
        <v>22</v>
      </c>
      <c r="F8222">
        <v>0</v>
      </c>
      <c r="G8222">
        <v>0</v>
      </c>
      <c r="H8222">
        <v>22</v>
      </c>
      <c r="I8222">
        <v>0</v>
      </c>
      <c r="J8222">
        <v>3.99</v>
      </c>
      <c r="K8222">
        <v>0</v>
      </c>
    </row>
    <row r="8223" spans="1:11" x14ac:dyDescent="0.2">
      <c r="A8223">
        <v>43621</v>
      </c>
      <c r="B8223">
        <v>5704991</v>
      </c>
      <c r="C8223" t="s">
        <v>11307</v>
      </c>
      <c r="D8223">
        <v>10</v>
      </c>
      <c r="E8223">
        <v>24</v>
      </c>
      <c r="F8223">
        <v>0</v>
      </c>
      <c r="G8223">
        <v>0</v>
      </c>
      <c r="H8223">
        <v>20</v>
      </c>
      <c r="I8223">
        <v>0</v>
      </c>
      <c r="J8223">
        <v>3.99</v>
      </c>
      <c r="K8223">
        <v>0</v>
      </c>
    </row>
    <row r="8224" spans="1:11" x14ac:dyDescent="0.2">
      <c r="A8224">
        <v>99350</v>
      </c>
      <c r="B8224">
        <v>5705119</v>
      </c>
      <c r="C8224" t="s">
        <v>11308</v>
      </c>
      <c r="D8224">
        <v>10</v>
      </c>
      <c r="E8224">
        <v>12</v>
      </c>
      <c r="F8224">
        <v>0</v>
      </c>
      <c r="G8224">
        <v>0</v>
      </c>
      <c r="H8224">
        <v>77</v>
      </c>
      <c r="I8224">
        <v>0</v>
      </c>
      <c r="J8224">
        <v>1.59</v>
      </c>
      <c r="K8224">
        <v>0</v>
      </c>
    </row>
    <row r="8225" spans="1:12" x14ac:dyDescent="0.2">
      <c r="B8225">
        <v>5705265</v>
      </c>
      <c r="C8225" t="s">
        <v>11309</v>
      </c>
      <c r="D8225">
        <v>11</v>
      </c>
      <c r="E8225">
        <v>4</v>
      </c>
      <c r="F8225">
        <v>0</v>
      </c>
      <c r="G8225">
        <v>0</v>
      </c>
      <c r="H8225">
        <v>120</v>
      </c>
      <c r="I8225">
        <v>0</v>
      </c>
      <c r="J8225">
        <v>3.99</v>
      </c>
      <c r="K8225">
        <v>0</v>
      </c>
    </row>
    <row r="8226" spans="1:12" x14ac:dyDescent="0.2">
      <c r="A8226">
        <v>32534</v>
      </c>
      <c r="B8226">
        <v>5705271</v>
      </c>
      <c r="C8226" t="s">
        <v>11310</v>
      </c>
      <c r="D8226">
        <v>10</v>
      </c>
      <c r="E8226">
        <v>12</v>
      </c>
      <c r="F8226">
        <v>0</v>
      </c>
      <c r="G8226">
        <v>0</v>
      </c>
      <c r="H8226">
        <v>104</v>
      </c>
      <c r="I8226">
        <v>0</v>
      </c>
      <c r="J8226">
        <v>4.99</v>
      </c>
      <c r="K8226">
        <v>0</v>
      </c>
    </row>
    <row r="8227" spans="1:12" x14ac:dyDescent="0.2">
      <c r="A8227">
        <v>32535</v>
      </c>
      <c r="B8227">
        <v>5705400</v>
      </c>
      <c r="C8227" t="s">
        <v>11311</v>
      </c>
      <c r="D8227">
        <v>10</v>
      </c>
      <c r="E8227">
        <v>20</v>
      </c>
      <c r="F8227">
        <v>0</v>
      </c>
      <c r="G8227">
        <v>0</v>
      </c>
      <c r="H8227">
        <v>120</v>
      </c>
      <c r="I8227">
        <v>0</v>
      </c>
      <c r="J8227">
        <v>0.99</v>
      </c>
      <c r="K8227">
        <v>0</v>
      </c>
    </row>
    <row r="8228" spans="1:12" x14ac:dyDescent="0.2">
      <c r="B8228">
        <v>5705438</v>
      </c>
      <c r="C8228" t="s">
        <v>4837</v>
      </c>
      <c r="D8228">
        <v>11</v>
      </c>
      <c r="E8228">
        <v>6</v>
      </c>
      <c r="F8228">
        <v>0</v>
      </c>
      <c r="G8228">
        <v>0</v>
      </c>
      <c r="H8228">
        <v>160</v>
      </c>
      <c r="I8228">
        <v>0</v>
      </c>
      <c r="J8228">
        <v>1.69</v>
      </c>
      <c r="K8228">
        <v>0</v>
      </c>
    </row>
    <row r="8229" spans="1:12" x14ac:dyDescent="0.2">
      <c r="B8229">
        <v>5705495</v>
      </c>
      <c r="C8229" t="s">
        <v>11312</v>
      </c>
      <c r="D8229">
        <v>10</v>
      </c>
      <c r="E8229">
        <v>6</v>
      </c>
      <c r="F8229">
        <v>0</v>
      </c>
      <c r="G8229">
        <v>0</v>
      </c>
      <c r="H8229">
        <v>125</v>
      </c>
      <c r="I8229">
        <v>0</v>
      </c>
      <c r="J8229">
        <v>1.79</v>
      </c>
      <c r="K8229">
        <v>0</v>
      </c>
    </row>
    <row r="8230" spans="1:12" x14ac:dyDescent="0.2">
      <c r="B8230">
        <v>5705620</v>
      </c>
      <c r="C8230" t="s">
        <v>11313</v>
      </c>
      <c r="D8230">
        <v>11</v>
      </c>
      <c r="E8230">
        <v>15</v>
      </c>
      <c r="F8230">
        <v>0</v>
      </c>
      <c r="G8230">
        <v>0</v>
      </c>
      <c r="H8230">
        <v>108</v>
      </c>
      <c r="I8230">
        <v>0</v>
      </c>
      <c r="J8230">
        <v>1.99</v>
      </c>
      <c r="K8230">
        <v>0</v>
      </c>
    </row>
    <row r="8231" spans="1:12" x14ac:dyDescent="0.2">
      <c r="A8231">
        <v>46638</v>
      </c>
      <c r="B8231">
        <v>5705825</v>
      </c>
      <c r="C8231" t="s">
        <v>11314</v>
      </c>
      <c r="D8231">
        <v>10</v>
      </c>
      <c r="E8231">
        <v>44</v>
      </c>
      <c r="F8231">
        <v>0</v>
      </c>
      <c r="G8231">
        <v>0</v>
      </c>
      <c r="H8231">
        <v>30</v>
      </c>
      <c r="I8231">
        <v>0</v>
      </c>
      <c r="J8231">
        <v>1.19</v>
      </c>
      <c r="K8231">
        <v>0</v>
      </c>
    </row>
    <row r="8232" spans="1:12" x14ac:dyDescent="0.2">
      <c r="A8232">
        <v>57327</v>
      </c>
      <c r="B8232">
        <v>5706456</v>
      </c>
      <c r="C8232" t="s">
        <v>11315</v>
      </c>
      <c r="D8232">
        <v>10</v>
      </c>
      <c r="E8232">
        <v>28</v>
      </c>
      <c r="F8232">
        <v>0</v>
      </c>
      <c r="G8232">
        <v>0</v>
      </c>
      <c r="H8232">
        <v>154</v>
      </c>
      <c r="I8232">
        <v>0</v>
      </c>
      <c r="J8232">
        <v>1</v>
      </c>
      <c r="K8232">
        <v>0</v>
      </c>
    </row>
    <row r="8233" spans="1:12" x14ac:dyDescent="0.2">
      <c r="A8233">
        <v>99858</v>
      </c>
      <c r="B8233">
        <v>5706546</v>
      </c>
      <c r="C8233" t="s">
        <v>11316</v>
      </c>
      <c r="D8233">
        <v>10</v>
      </c>
      <c r="E8233">
        <v>12</v>
      </c>
      <c r="F8233">
        <v>0</v>
      </c>
      <c r="G8233">
        <v>0</v>
      </c>
      <c r="H8233">
        <v>48</v>
      </c>
      <c r="I8233">
        <v>0</v>
      </c>
      <c r="J8233">
        <v>6.39</v>
      </c>
      <c r="K8233">
        <v>0</v>
      </c>
    </row>
    <row r="8234" spans="1:12" x14ac:dyDescent="0.2">
      <c r="A8234">
        <v>86053</v>
      </c>
      <c r="B8234">
        <v>5706941</v>
      </c>
      <c r="C8234" t="s">
        <v>11317</v>
      </c>
      <c r="D8234">
        <v>8</v>
      </c>
      <c r="E8234">
        <v>60</v>
      </c>
      <c r="F8234">
        <v>168</v>
      </c>
      <c r="G8234">
        <v>10080</v>
      </c>
      <c r="H8234">
        <v>56</v>
      </c>
      <c r="I8234">
        <v>3</v>
      </c>
      <c r="J8234">
        <v>0.49</v>
      </c>
      <c r="K8234">
        <v>4939.2</v>
      </c>
    </row>
    <row r="8235" spans="1:12" x14ac:dyDescent="0.2">
      <c r="A8235">
        <v>39618</v>
      </c>
      <c r="B8235">
        <v>5707781</v>
      </c>
      <c r="C8235" t="s">
        <v>11318</v>
      </c>
      <c r="D8235">
        <v>10</v>
      </c>
      <c r="E8235">
        <v>35</v>
      </c>
      <c r="F8235">
        <v>0</v>
      </c>
      <c r="G8235">
        <v>0</v>
      </c>
      <c r="H8235">
        <v>4</v>
      </c>
      <c r="I8235">
        <v>0</v>
      </c>
      <c r="J8235">
        <v>7.99</v>
      </c>
      <c r="K8235">
        <v>0</v>
      </c>
    </row>
    <row r="8236" spans="1:12" x14ac:dyDescent="0.2">
      <c r="A8236">
        <v>32680</v>
      </c>
      <c r="B8236">
        <v>5900003</v>
      </c>
      <c r="C8236" t="s">
        <v>11319</v>
      </c>
      <c r="D8236">
        <v>12</v>
      </c>
      <c r="E8236">
        <v>4</v>
      </c>
      <c r="F8236">
        <v>0</v>
      </c>
      <c r="G8236">
        <v>0</v>
      </c>
      <c r="H8236">
        <v>60</v>
      </c>
      <c r="I8236">
        <v>0</v>
      </c>
      <c r="J8236">
        <v>4</v>
      </c>
      <c r="K8236">
        <v>0</v>
      </c>
      <c r="L8236" t="s">
        <v>3699</v>
      </c>
    </row>
    <row r="8237" spans="1:12" x14ac:dyDescent="0.2">
      <c r="A8237">
        <v>57638</v>
      </c>
      <c r="B8237">
        <v>5900019</v>
      </c>
      <c r="C8237" t="s">
        <v>11320</v>
      </c>
      <c r="D8237">
        <v>10</v>
      </c>
      <c r="E8237">
        <v>20</v>
      </c>
      <c r="F8237">
        <v>5</v>
      </c>
      <c r="G8237">
        <v>100</v>
      </c>
      <c r="H8237">
        <v>88</v>
      </c>
      <c r="I8237">
        <v>0.1</v>
      </c>
      <c r="J8237">
        <v>3.3</v>
      </c>
      <c r="K8237">
        <v>330</v>
      </c>
    </row>
    <row r="8238" spans="1:12" x14ac:dyDescent="0.2">
      <c r="B8238">
        <v>5900092</v>
      </c>
      <c r="C8238" t="s">
        <v>11321</v>
      </c>
      <c r="D8238">
        <v>11</v>
      </c>
      <c r="E8238">
        <v>33</v>
      </c>
      <c r="F8238">
        <v>0</v>
      </c>
      <c r="G8238">
        <v>0</v>
      </c>
      <c r="H8238">
        <v>64</v>
      </c>
      <c r="I8238">
        <v>0</v>
      </c>
      <c r="J8238">
        <v>1.89</v>
      </c>
      <c r="K8238">
        <v>0</v>
      </c>
    </row>
    <row r="8239" spans="1:12" x14ac:dyDescent="0.2">
      <c r="A8239">
        <v>99868</v>
      </c>
      <c r="B8239">
        <v>5900134</v>
      </c>
      <c r="C8239" t="s">
        <v>11322</v>
      </c>
      <c r="D8239">
        <v>10</v>
      </c>
      <c r="E8239">
        <v>20</v>
      </c>
      <c r="F8239">
        <v>0</v>
      </c>
      <c r="G8239">
        <v>0</v>
      </c>
      <c r="H8239">
        <v>49</v>
      </c>
      <c r="I8239">
        <v>0</v>
      </c>
      <c r="J8239">
        <v>1.99</v>
      </c>
      <c r="K8239">
        <v>0</v>
      </c>
    </row>
    <row r="8240" spans="1:12" x14ac:dyDescent="0.2">
      <c r="A8240">
        <v>99952</v>
      </c>
      <c r="B8240">
        <v>5900161</v>
      </c>
      <c r="C8240" t="s">
        <v>11323</v>
      </c>
      <c r="D8240">
        <v>10</v>
      </c>
      <c r="E8240">
        <v>10</v>
      </c>
      <c r="F8240">
        <v>0</v>
      </c>
      <c r="G8240">
        <v>0</v>
      </c>
      <c r="H8240">
        <v>48</v>
      </c>
      <c r="I8240">
        <v>0</v>
      </c>
      <c r="J8240">
        <v>3.09</v>
      </c>
      <c r="K8240">
        <v>0</v>
      </c>
    </row>
    <row r="8241" spans="1:11" x14ac:dyDescent="0.2">
      <c r="A8241">
        <v>99866</v>
      </c>
      <c r="B8241">
        <v>5900182</v>
      </c>
      <c r="C8241" t="s">
        <v>11324</v>
      </c>
      <c r="D8241">
        <v>10</v>
      </c>
      <c r="E8241">
        <v>12</v>
      </c>
      <c r="F8241">
        <v>0</v>
      </c>
      <c r="G8241">
        <v>0</v>
      </c>
      <c r="H8241">
        <v>42</v>
      </c>
      <c r="I8241">
        <v>0</v>
      </c>
      <c r="J8241">
        <v>10</v>
      </c>
      <c r="K8241">
        <v>0</v>
      </c>
    </row>
    <row r="8242" spans="1:11" x14ac:dyDescent="0.2">
      <c r="A8242">
        <v>4620</v>
      </c>
      <c r="B8242">
        <v>5900550</v>
      </c>
      <c r="C8242" t="s">
        <v>11325</v>
      </c>
      <c r="D8242">
        <v>6</v>
      </c>
      <c r="E8242">
        <v>20</v>
      </c>
      <c r="F8242">
        <v>6</v>
      </c>
      <c r="G8242">
        <v>120</v>
      </c>
      <c r="H8242">
        <v>30</v>
      </c>
      <c r="I8242">
        <v>0.2</v>
      </c>
      <c r="J8242">
        <v>1.99</v>
      </c>
      <c r="K8242">
        <v>238.8</v>
      </c>
    </row>
    <row r="8243" spans="1:11" x14ac:dyDescent="0.2">
      <c r="A8243">
        <v>57360</v>
      </c>
      <c r="B8243">
        <v>5901212</v>
      </c>
      <c r="C8243" t="s">
        <v>11326</v>
      </c>
      <c r="D8243">
        <v>10</v>
      </c>
      <c r="E8243">
        <v>12</v>
      </c>
      <c r="F8243">
        <v>0</v>
      </c>
      <c r="G8243">
        <v>0</v>
      </c>
      <c r="H8243">
        <v>72</v>
      </c>
      <c r="I8243">
        <v>0</v>
      </c>
      <c r="J8243">
        <v>1.1000000000000001</v>
      </c>
      <c r="K8243">
        <v>0</v>
      </c>
    </row>
    <row r="8244" spans="1:11" x14ac:dyDescent="0.2">
      <c r="B8244">
        <v>5901438</v>
      </c>
      <c r="C8244" t="s">
        <v>11327</v>
      </c>
      <c r="D8244">
        <v>11</v>
      </c>
      <c r="E8244">
        <v>26</v>
      </c>
      <c r="F8244">
        <v>0</v>
      </c>
      <c r="G8244">
        <v>0</v>
      </c>
      <c r="H8244">
        <v>64</v>
      </c>
      <c r="I8244">
        <v>0</v>
      </c>
      <c r="J8244">
        <v>1.49</v>
      </c>
      <c r="K8244">
        <v>0</v>
      </c>
    </row>
    <row r="8245" spans="1:11" x14ac:dyDescent="0.2">
      <c r="A8245">
        <v>57361</v>
      </c>
      <c r="B8245">
        <v>5902645</v>
      </c>
      <c r="C8245" t="s">
        <v>11328</v>
      </c>
      <c r="D8245">
        <v>10</v>
      </c>
      <c r="E8245">
        <v>15</v>
      </c>
      <c r="F8245">
        <v>0</v>
      </c>
      <c r="G8245">
        <v>0</v>
      </c>
      <c r="H8245">
        <v>96</v>
      </c>
      <c r="I8245">
        <v>0</v>
      </c>
      <c r="J8245">
        <v>0.5</v>
      </c>
      <c r="K8245">
        <v>0</v>
      </c>
    </row>
    <row r="8246" spans="1:11" x14ac:dyDescent="0.2">
      <c r="A8246">
        <v>47650</v>
      </c>
      <c r="B8246">
        <v>5902981</v>
      </c>
      <c r="C8246" t="s">
        <v>11329</v>
      </c>
      <c r="D8246">
        <v>10</v>
      </c>
      <c r="E8246">
        <v>48</v>
      </c>
      <c r="F8246">
        <v>1</v>
      </c>
      <c r="G8246">
        <v>48</v>
      </c>
      <c r="H8246">
        <v>72</v>
      </c>
      <c r="I8246">
        <v>0</v>
      </c>
      <c r="J8246">
        <v>1.99</v>
      </c>
      <c r="K8246">
        <v>95.52</v>
      </c>
    </row>
    <row r="8247" spans="1:11" x14ac:dyDescent="0.2">
      <c r="A8247">
        <v>99989</v>
      </c>
      <c r="B8247">
        <v>6000043</v>
      </c>
      <c r="C8247" t="s">
        <v>11330</v>
      </c>
      <c r="D8247">
        <v>10</v>
      </c>
      <c r="E8247">
        <v>12</v>
      </c>
      <c r="F8247">
        <v>0</v>
      </c>
      <c r="G8247">
        <v>0</v>
      </c>
      <c r="H8247">
        <v>108</v>
      </c>
      <c r="I8247">
        <v>0</v>
      </c>
      <c r="J8247">
        <v>2.12</v>
      </c>
      <c r="K8247">
        <v>0</v>
      </c>
    </row>
    <row r="8248" spans="1:11" x14ac:dyDescent="0.2">
      <c r="A8248">
        <v>99025</v>
      </c>
      <c r="B8248">
        <v>6000049</v>
      </c>
      <c r="C8248" t="s">
        <v>11331</v>
      </c>
      <c r="D8248">
        <v>10</v>
      </c>
      <c r="E8248">
        <v>20</v>
      </c>
      <c r="F8248">
        <v>0</v>
      </c>
      <c r="G8248">
        <v>0</v>
      </c>
      <c r="H8248">
        <v>52</v>
      </c>
      <c r="I8248">
        <v>0</v>
      </c>
      <c r="J8248">
        <v>1.69</v>
      </c>
      <c r="K8248">
        <v>0</v>
      </c>
    </row>
    <row r="8249" spans="1:11" x14ac:dyDescent="0.2">
      <c r="B8249">
        <v>6000074</v>
      </c>
      <c r="C8249" t="s">
        <v>11332</v>
      </c>
      <c r="D8249">
        <v>11</v>
      </c>
      <c r="E8249">
        <v>8</v>
      </c>
      <c r="F8249">
        <v>-3</v>
      </c>
      <c r="G8249">
        <v>-24</v>
      </c>
      <c r="H8249">
        <v>76</v>
      </c>
      <c r="I8249">
        <v>0</v>
      </c>
      <c r="J8249">
        <v>3.59</v>
      </c>
      <c r="K8249">
        <v>-86.16</v>
      </c>
    </row>
    <row r="8250" spans="1:11" x14ac:dyDescent="0.2">
      <c r="A8250">
        <v>72113</v>
      </c>
      <c r="B8250">
        <v>6000118</v>
      </c>
      <c r="C8250" t="s">
        <v>11333</v>
      </c>
      <c r="D8250">
        <v>8</v>
      </c>
      <c r="E8250">
        <v>18</v>
      </c>
      <c r="F8250">
        <v>197</v>
      </c>
      <c r="G8250">
        <v>3546</v>
      </c>
      <c r="H8250">
        <v>96</v>
      </c>
      <c r="I8250">
        <v>2.1</v>
      </c>
      <c r="J8250">
        <v>1.59</v>
      </c>
      <c r="K8250">
        <v>5638.14</v>
      </c>
    </row>
    <row r="8251" spans="1:11" x14ac:dyDescent="0.2">
      <c r="A8251">
        <v>72115</v>
      </c>
      <c r="B8251">
        <v>6000120</v>
      </c>
      <c r="C8251" t="s">
        <v>11334</v>
      </c>
      <c r="D8251">
        <v>8</v>
      </c>
      <c r="E8251">
        <v>21</v>
      </c>
      <c r="F8251">
        <v>192</v>
      </c>
      <c r="G8251">
        <v>4032</v>
      </c>
      <c r="H8251">
        <v>90</v>
      </c>
      <c r="I8251">
        <v>2.1</v>
      </c>
      <c r="J8251">
        <v>0.99</v>
      </c>
      <c r="K8251">
        <v>3991.68</v>
      </c>
    </row>
    <row r="8252" spans="1:11" x14ac:dyDescent="0.2">
      <c r="A8252">
        <v>57684</v>
      </c>
      <c r="B8252">
        <v>6000122</v>
      </c>
      <c r="C8252" t="s">
        <v>11335</v>
      </c>
      <c r="D8252">
        <v>10</v>
      </c>
      <c r="E8252">
        <v>18</v>
      </c>
      <c r="F8252">
        <v>2</v>
      </c>
      <c r="G8252">
        <v>31</v>
      </c>
      <c r="H8252">
        <v>36</v>
      </c>
      <c r="I8252">
        <v>0</v>
      </c>
      <c r="J8252">
        <v>1.99</v>
      </c>
      <c r="K8252">
        <v>61.69</v>
      </c>
    </row>
    <row r="8253" spans="1:11" x14ac:dyDescent="0.2">
      <c r="A8253">
        <v>57685</v>
      </c>
      <c r="B8253">
        <v>6000123</v>
      </c>
      <c r="C8253" t="s">
        <v>11336</v>
      </c>
      <c r="D8253">
        <v>10</v>
      </c>
      <c r="E8253">
        <v>12</v>
      </c>
      <c r="F8253">
        <v>-3</v>
      </c>
      <c r="G8253">
        <v>-31</v>
      </c>
      <c r="H8253">
        <v>48</v>
      </c>
      <c r="I8253">
        <v>-0.1</v>
      </c>
      <c r="J8253">
        <v>1.19</v>
      </c>
      <c r="K8253">
        <v>-36.89</v>
      </c>
    </row>
    <row r="8254" spans="1:11" x14ac:dyDescent="0.2">
      <c r="A8254">
        <v>57686</v>
      </c>
      <c r="B8254">
        <v>6000150</v>
      </c>
      <c r="C8254" t="s">
        <v>11337</v>
      </c>
      <c r="D8254">
        <v>10</v>
      </c>
      <c r="E8254">
        <v>6</v>
      </c>
      <c r="F8254">
        <v>-1</v>
      </c>
      <c r="G8254">
        <v>-3</v>
      </c>
      <c r="H8254">
        <v>152</v>
      </c>
      <c r="I8254">
        <v>0</v>
      </c>
      <c r="J8254">
        <v>1.19</v>
      </c>
      <c r="K8254">
        <v>-3.57</v>
      </c>
    </row>
    <row r="8255" spans="1:11" x14ac:dyDescent="0.2">
      <c r="A8255">
        <v>42522</v>
      </c>
      <c r="B8255">
        <v>6000173</v>
      </c>
      <c r="C8255" t="s">
        <v>11338</v>
      </c>
      <c r="D8255">
        <v>10</v>
      </c>
      <c r="E8255">
        <v>12</v>
      </c>
      <c r="F8255">
        <v>3</v>
      </c>
      <c r="G8255">
        <v>36</v>
      </c>
      <c r="H8255">
        <v>72</v>
      </c>
      <c r="I8255">
        <v>0</v>
      </c>
      <c r="J8255">
        <v>0.99</v>
      </c>
      <c r="K8255">
        <v>35.64</v>
      </c>
    </row>
    <row r="8256" spans="1:11" x14ac:dyDescent="0.2">
      <c r="A8256">
        <v>85175</v>
      </c>
      <c r="B8256">
        <v>6000244</v>
      </c>
      <c r="C8256" t="s">
        <v>11339</v>
      </c>
      <c r="D8256">
        <v>9</v>
      </c>
      <c r="E8256">
        <v>6</v>
      </c>
      <c r="F8256">
        <v>3</v>
      </c>
      <c r="G8256">
        <v>18</v>
      </c>
      <c r="H8256">
        <v>90</v>
      </c>
      <c r="I8256">
        <v>0</v>
      </c>
      <c r="J8256">
        <v>3.29</v>
      </c>
      <c r="K8256">
        <v>59.22</v>
      </c>
    </row>
    <row r="8257" spans="1:11" x14ac:dyDescent="0.2">
      <c r="A8257">
        <v>42524</v>
      </c>
      <c r="B8257">
        <v>6000260</v>
      </c>
      <c r="C8257" t="s">
        <v>11340</v>
      </c>
      <c r="D8257">
        <v>10</v>
      </c>
      <c r="E8257">
        <v>16</v>
      </c>
      <c r="F8257">
        <v>3</v>
      </c>
      <c r="G8257">
        <v>48</v>
      </c>
      <c r="H8257">
        <v>48</v>
      </c>
      <c r="I8257">
        <v>0.1</v>
      </c>
      <c r="J8257">
        <v>1.19</v>
      </c>
      <c r="K8257">
        <v>57.12</v>
      </c>
    </row>
    <row r="8258" spans="1:11" x14ac:dyDescent="0.2">
      <c r="A8258">
        <v>57687</v>
      </c>
      <c r="B8258">
        <v>6000270</v>
      </c>
      <c r="C8258" t="s">
        <v>11341</v>
      </c>
      <c r="D8258">
        <v>10</v>
      </c>
      <c r="E8258">
        <v>12</v>
      </c>
      <c r="F8258">
        <v>8</v>
      </c>
      <c r="G8258">
        <v>100</v>
      </c>
      <c r="H8258">
        <v>140</v>
      </c>
      <c r="I8258">
        <v>0.1</v>
      </c>
      <c r="J8258">
        <v>0.99</v>
      </c>
      <c r="K8258">
        <v>99</v>
      </c>
    </row>
    <row r="8259" spans="1:11" x14ac:dyDescent="0.2">
      <c r="A8259">
        <v>57688</v>
      </c>
      <c r="B8259">
        <v>6000283</v>
      </c>
      <c r="C8259" t="s">
        <v>11342</v>
      </c>
      <c r="D8259">
        <v>10</v>
      </c>
      <c r="E8259">
        <v>12</v>
      </c>
      <c r="F8259">
        <v>2</v>
      </c>
      <c r="G8259">
        <v>24</v>
      </c>
      <c r="H8259">
        <v>377</v>
      </c>
      <c r="I8259">
        <v>0</v>
      </c>
      <c r="J8259">
        <v>0.99</v>
      </c>
      <c r="K8259">
        <v>23.76</v>
      </c>
    </row>
    <row r="8260" spans="1:11" x14ac:dyDescent="0.2">
      <c r="A8260">
        <v>99097</v>
      </c>
      <c r="B8260">
        <v>6000287</v>
      </c>
      <c r="C8260" t="s">
        <v>11343</v>
      </c>
      <c r="D8260">
        <v>10</v>
      </c>
      <c r="E8260">
        <v>12</v>
      </c>
      <c r="F8260">
        <v>0</v>
      </c>
      <c r="G8260">
        <v>0</v>
      </c>
      <c r="H8260">
        <v>72</v>
      </c>
      <c r="I8260">
        <v>0</v>
      </c>
      <c r="J8260">
        <v>2.29</v>
      </c>
      <c r="K8260">
        <v>0</v>
      </c>
    </row>
    <row r="8261" spans="1:11" x14ac:dyDescent="0.2">
      <c r="A8261">
        <v>86052</v>
      </c>
      <c r="B8261">
        <v>6000293</v>
      </c>
      <c r="C8261" t="s">
        <v>11344</v>
      </c>
      <c r="D8261">
        <v>8</v>
      </c>
      <c r="E8261">
        <v>60</v>
      </c>
      <c r="F8261">
        <v>240</v>
      </c>
      <c r="G8261">
        <v>14400</v>
      </c>
      <c r="H8261">
        <v>48</v>
      </c>
      <c r="I8261">
        <v>5</v>
      </c>
      <c r="J8261">
        <v>0.59</v>
      </c>
      <c r="K8261">
        <v>8496</v>
      </c>
    </row>
    <row r="8262" spans="1:11" x14ac:dyDescent="0.2">
      <c r="A8262">
        <v>42616</v>
      </c>
      <c r="B8262">
        <v>6000313</v>
      </c>
      <c r="C8262" t="s">
        <v>11345</v>
      </c>
      <c r="D8262">
        <v>10</v>
      </c>
      <c r="E8262">
        <v>12</v>
      </c>
      <c r="F8262">
        <v>43</v>
      </c>
      <c r="G8262">
        <v>515</v>
      </c>
      <c r="H8262">
        <v>54</v>
      </c>
      <c r="I8262">
        <v>0.8</v>
      </c>
      <c r="J8262">
        <v>1.19</v>
      </c>
      <c r="K8262">
        <v>612.85</v>
      </c>
    </row>
    <row r="8263" spans="1:11" x14ac:dyDescent="0.2">
      <c r="A8263">
        <v>57689</v>
      </c>
      <c r="B8263">
        <v>6000314</v>
      </c>
      <c r="C8263" t="s">
        <v>11346</v>
      </c>
      <c r="D8263">
        <v>10</v>
      </c>
      <c r="E8263">
        <v>12</v>
      </c>
      <c r="F8263">
        <v>2</v>
      </c>
      <c r="G8263">
        <v>28</v>
      </c>
      <c r="H8263">
        <v>63</v>
      </c>
      <c r="I8263">
        <v>0</v>
      </c>
      <c r="J8263">
        <v>0.99</v>
      </c>
      <c r="K8263">
        <v>27.72</v>
      </c>
    </row>
    <row r="8264" spans="1:11" x14ac:dyDescent="0.2">
      <c r="A8264">
        <v>42525</v>
      </c>
      <c r="B8264">
        <v>6000320</v>
      </c>
      <c r="C8264" t="s">
        <v>11347</v>
      </c>
      <c r="D8264">
        <v>10</v>
      </c>
      <c r="E8264">
        <v>12</v>
      </c>
      <c r="F8264">
        <v>3</v>
      </c>
      <c r="G8264">
        <v>36</v>
      </c>
      <c r="H8264">
        <v>90</v>
      </c>
      <c r="I8264">
        <v>0</v>
      </c>
      <c r="J8264">
        <v>2.4900000000000002</v>
      </c>
      <c r="K8264">
        <v>89.64</v>
      </c>
    </row>
    <row r="8265" spans="1:11" x14ac:dyDescent="0.2">
      <c r="B8265">
        <v>6000322</v>
      </c>
      <c r="C8265" t="s">
        <v>11348</v>
      </c>
      <c r="D8265">
        <v>11</v>
      </c>
      <c r="E8265">
        <v>12</v>
      </c>
      <c r="F8265">
        <v>0</v>
      </c>
      <c r="G8265">
        <v>0</v>
      </c>
      <c r="H8265">
        <v>56</v>
      </c>
      <c r="I8265">
        <v>0</v>
      </c>
      <c r="J8265">
        <v>4.99</v>
      </c>
      <c r="K8265">
        <v>0</v>
      </c>
    </row>
    <row r="8266" spans="1:11" x14ac:dyDescent="0.2">
      <c r="A8266">
        <v>75039</v>
      </c>
      <c r="B8266">
        <v>6000388</v>
      </c>
      <c r="C8266" t="s">
        <v>11349</v>
      </c>
      <c r="D8266">
        <v>10</v>
      </c>
      <c r="E8266">
        <v>24</v>
      </c>
      <c r="F8266">
        <v>7</v>
      </c>
      <c r="G8266">
        <v>160</v>
      </c>
      <c r="H8266">
        <v>72</v>
      </c>
      <c r="I8266">
        <v>0.1</v>
      </c>
      <c r="J8266">
        <v>0.99</v>
      </c>
      <c r="K8266">
        <v>158.4</v>
      </c>
    </row>
    <row r="8267" spans="1:11" x14ac:dyDescent="0.2">
      <c r="A8267">
        <v>46617</v>
      </c>
      <c r="B8267">
        <v>6000389</v>
      </c>
      <c r="C8267" t="s">
        <v>11350</v>
      </c>
      <c r="D8267">
        <v>10</v>
      </c>
      <c r="E8267">
        <v>12</v>
      </c>
      <c r="F8267">
        <v>1</v>
      </c>
      <c r="G8267">
        <v>12</v>
      </c>
      <c r="H8267">
        <v>16</v>
      </c>
      <c r="I8267">
        <v>0.1</v>
      </c>
      <c r="J8267">
        <v>5.39</v>
      </c>
      <c r="K8267">
        <v>64.680000000000007</v>
      </c>
    </row>
    <row r="8268" spans="1:11" x14ac:dyDescent="0.2">
      <c r="A8268">
        <v>95732</v>
      </c>
      <c r="B8268">
        <v>6000397</v>
      </c>
      <c r="C8268" t="s">
        <v>11351</v>
      </c>
      <c r="D8268">
        <v>10</v>
      </c>
      <c r="E8268">
        <v>8</v>
      </c>
      <c r="F8268">
        <v>3</v>
      </c>
      <c r="G8268">
        <v>24</v>
      </c>
      <c r="H8268">
        <v>24</v>
      </c>
      <c r="I8268">
        <v>0.1</v>
      </c>
      <c r="J8268">
        <v>5.39</v>
      </c>
      <c r="K8268">
        <v>129.36000000000001</v>
      </c>
    </row>
    <row r="8269" spans="1:11" x14ac:dyDescent="0.2">
      <c r="A8269">
        <v>75055</v>
      </c>
      <c r="B8269">
        <v>6000398</v>
      </c>
      <c r="C8269" t="s">
        <v>11352</v>
      </c>
      <c r="D8269">
        <v>10</v>
      </c>
      <c r="E8269">
        <v>24</v>
      </c>
      <c r="F8269">
        <v>12</v>
      </c>
      <c r="G8269">
        <v>288</v>
      </c>
      <c r="H8269">
        <v>72</v>
      </c>
      <c r="I8269">
        <v>0.2</v>
      </c>
      <c r="J8269">
        <v>0.99</v>
      </c>
      <c r="K8269">
        <v>285.12</v>
      </c>
    </row>
    <row r="8270" spans="1:11" x14ac:dyDescent="0.2">
      <c r="A8270">
        <v>42526</v>
      </c>
      <c r="B8270">
        <v>6000426</v>
      </c>
      <c r="C8270" t="s">
        <v>11353</v>
      </c>
      <c r="D8270">
        <v>10</v>
      </c>
      <c r="E8270">
        <v>20</v>
      </c>
      <c r="F8270">
        <v>3</v>
      </c>
      <c r="G8270">
        <v>60</v>
      </c>
      <c r="H8270">
        <v>136</v>
      </c>
      <c r="I8270">
        <v>0</v>
      </c>
      <c r="J8270">
        <v>1.29</v>
      </c>
      <c r="K8270">
        <v>77.400000000000006</v>
      </c>
    </row>
    <row r="8271" spans="1:11" x14ac:dyDescent="0.2">
      <c r="A8271">
        <v>42527</v>
      </c>
      <c r="B8271">
        <v>6000442</v>
      </c>
      <c r="C8271" t="s">
        <v>11354</v>
      </c>
      <c r="D8271">
        <v>10</v>
      </c>
      <c r="E8271">
        <v>10</v>
      </c>
      <c r="F8271">
        <v>3</v>
      </c>
      <c r="G8271">
        <v>30</v>
      </c>
      <c r="H8271">
        <v>126</v>
      </c>
      <c r="I8271">
        <v>0</v>
      </c>
      <c r="J8271">
        <v>2.99</v>
      </c>
      <c r="K8271">
        <v>89.7</v>
      </c>
    </row>
    <row r="8272" spans="1:11" x14ac:dyDescent="0.2">
      <c r="B8272">
        <v>6000486</v>
      </c>
      <c r="C8272" t="s">
        <v>11355</v>
      </c>
      <c r="D8272">
        <v>11</v>
      </c>
      <c r="E8272">
        <v>8</v>
      </c>
      <c r="F8272">
        <v>0</v>
      </c>
      <c r="G8272">
        <v>0</v>
      </c>
      <c r="H8272">
        <v>60</v>
      </c>
      <c r="I8272">
        <v>0</v>
      </c>
      <c r="J8272">
        <v>2.4900000000000002</v>
      </c>
      <c r="K8272">
        <v>0</v>
      </c>
    </row>
    <row r="8273" spans="1:11" x14ac:dyDescent="0.2">
      <c r="A8273">
        <v>42528</v>
      </c>
      <c r="B8273">
        <v>6000496</v>
      </c>
      <c r="C8273" t="s">
        <v>11356</v>
      </c>
      <c r="D8273">
        <v>10</v>
      </c>
      <c r="E8273">
        <v>26</v>
      </c>
      <c r="F8273">
        <v>3</v>
      </c>
      <c r="G8273">
        <v>78</v>
      </c>
      <c r="H8273">
        <v>72</v>
      </c>
      <c r="I8273">
        <v>0</v>
      </c>
      <c r="J8273">
        <v>1.99</v>
      </c>
      <c r="K8273">
        <v>155.22</v>
      </c>
    </row>
    <row r="8274" spans="1:11" x14ac:dyDescent="0.2">
      <c r="A8274">
        <v>47661</v>
      </c>
      <c r="B8274">
        <v>6000572</v>
      </c>
      <c r="C8274" t="s">
        <v>11357</v>
      </c>
      <c r="D8274">
        <v>10</v>
      </c>
      <c r="E8274">
        <v>25</v>
      </c>
      <c r="F8274">
        <v>1</v>
      </c>
      <c r="G8274">
        <v>25</v>
      </c>
      <c r="H8274">
        <v>168</v>
      </c>
      <c r="I8274">
        <v>0</v>
      </c>
      <c r="J8274">
        <v>1.99</v>
      </c>
      <c r="K8274">
        <v>49.75</v>
      </c>
    </row>
    <row r="8275" spans="1:11" x14ac:dyDescent="0.2">
      <c r="A8275">
        <v>46639</v>
      </c>
      <c r="B8275">
        <v>6000578</v>
      </c>
      <c r="C8275" t="s">
        <v>11358</v>
      </c>
      <c r="D8275">
        <v>10</v>
      </c>
      <c r="E8275">
        <v>18</v>
      </c>
      <c r="F8275">
        <v>1</v>
      </c>
      <c r="G8275">
        <v>18</v>
      </c>
      <c r="H8275">
        <v>252</v>
      </c>
      <c r="I8275">
        <v>0</v>
      </c>
      <c r="J8275">
        <v>1.99</v>
      </c>
      <c r="K8275">
        <v>35.82</v>
      </c>
    </row>
    <row r="8276" spans="1:11" x14ac:dyDescent="0.2">
      <c r="A8276">
        <v>48657</v>
      </c>
      <c r="B8276">
        <v>6000657</v>
      </c>
      <c r="C8276" t="s">
        <v>11359</v>
      </c>
      <c r="D8276">
        <v>10</v>
      </c>
      <c r="E8276">
        <v>16</v>
      </c>
      <c r="F8276">
        <v>-3</v>
      </c>
      <c r="G8276">
        <v>-48</v>
      </c>
      <c r="H8276">
        <v>81</v>
      </c>
      <c r="I8276">
        <v>0</v>
      </c>
      <c r="J8276">
        <v>1.99</v>
      </c>
      <c r="K8276">
        <v>-95.52</v>
      </c>
    </row>
    <row r="8277" spans="1:11" x14ac:dyDescent="0.2">
      <c r="A8277">
        <v>48514</v>
      </c>
      <c r="B8277">
        <v>6000658</v>
      </c>
      <c r="C8277" t="s">
        <v>11360</v>
      </c>
      <c r="D8277">
        <v>10</v>
      </c>
      <c r="E8277">
        <v>16</v>
      </c>
      <c r="F8277">
        <v>-6</v>
      </c>
      <c r="G8277">
        <v>-96</v>
      </c>
      <c r="H8277">
        <v>81</v>
      </c>
      <c r="I8277">
        <v>-0.1</v>
      </c>
      <c r="J8277">
        <v>1.69</v>
      </c>
      <c r="K8277">
        <v>-162.24</v>
      </c>
    </row>
    <row r="8278" spans="1:11" x14ac:dyDescent="0.2">
      <c r="A8278">
        <v>42529</v>
      </c>
      <c r="B8278">
        <v>6000720</v>
      </c>
      <c r="C8278" t="s">
        <v>11361</v>
      </c>
      <c r="D8278">
        <v>10</v>
      </c>
      <c r="E8278">
        <v>6</v>
      </c>
      <c r="F8278">
        <v>3</v>
      </c>
      <c r="G8278">
        <v>18</v>
      </c>
      <c r="H8278">
        <v>56</v>
      </c>
      <c r="I8278">
        <v>0.1</v>
      </c>
      <c r="J8278">
        <v>4.99</v>
      </c>
      <c r="K8278">
        <v>89.82</v>
      </c>
    </row>
    <row r="8279" spans="1:11" x14ac:dyDescent="0.2">
      <c r="A8279">
        <v>42530</v>
      </c>
      <c r="B8279">
        <v>6000724</v>
      </c>
      <c r="C8279" t="s">
        <v>11362</v>
      </c>
      <c r="D8279">
        <v>10</v>
      </c>
      <c r="E8279">
        <v>12</v>
      </c>
      <c r="F8279">
        <v>3</v>
      </c>
      <c r="G8279">
        <v>36</v>
      </c>
      <c r="H8279">
        <v>105</v>
      </c>
      <c r="I8279">
        <v>0</v>
      </c>
      <c r="J8279">
        <v>2.79</v>
      </c>
      <c r="K8279">
        <v>100.44</v>
      </c>
    </row>
    <row r="8280" spans="1:11" x14ac:dyDescent="0.2">
      <c r="B8280">
        <v>6000727</v>
      </c>
      <c r="C8280" t="s">
        <v>11363</v>
      </c>
      <c r="D8280">
        <v>11</v>
      </c>
      <c r="E8280">
        <v>12</v>
      </c>
      <c r="F8280">
        <v>0</v>
      </c>
      <c r="G8280">
        <v>0</v>
      </c>
      <c r="H8280">
        <v>196</v>
      </c>
      <c r="I8280">
        <v>0</v>
      </c>
      <c r="J8280">
        <v>2.29</v>
      </c>
      <c r="K8280">
        <v>0</v>
      </c>
    </row>
    <row r="8281" spans="1:11" x14ac:dyDescent="0.2">
      <c r="B8281">
        <v>6000767</v>
      </c>
      <c r="C8281" t="s">
        <v>11364</v>
      </c>
      <c r="D8281">
        <v>11</v>
      </c>
      <c r="E8281">
        <v>12</v>
      </c>
      <c r="F8281">
        <v>0</v>
      </c>
      <c r="G8281">
        <v>0</v>
      </c>
      <c r="H8281">
        <v>120</v>
      </c>
      <c r="I8281">
        <v>0</v>
      </c>
      <c r="J8281">
        <v>1.99</v>
      </c>
      <c r="K8281">
        <v>0</v>
      </c>
    </row>
    <row r="8282" spans="1:11" x14ac:dyDescent="0.2">
      <c r="A8282">
        <v>46512</v>
      </c>
      <c r="B8282">
        <v>6000900</v>
      </c>
      <c r="C8282" t="s">
        <v>11365</v>
      </c>
      <c r="D8282">
        <v>10</v>
      </c>
      <c r="E8282">
        <v>24</v>
      </c>
      <c r="F8282">
        <v>6</v>
      </c>
      <c r="G8282">
        <v>144</v>
      </c>
      <c r="H8282">
        <v>84</v>
      </c>
      <c r="I8282">
        <v>0.1</v>
      </c>
      <c r="J8282">
        <v>1.29</v>
      </c>
      <c r="K8282">
        <v>185.76</v>
      </c>
    </row>
    <row r="8283" spans="1:11" x14ac:dyDescent="0.2">
      <c r="A8283">
        <v>42531</v>
      </c>
      <c r="B8283">
        <v>6000975</v>
      </c>
      <c r="C8283" t="s">
        <v>11366</v>
      </c>
      <c r="D8283">
        <v>10</v>
      </c>
      <c r="E8283">
        <v>16</v>
      </c>
      <c r="F8283">
        <v>3</v>
      </c>
      <c r="G8283">
        <v>48</v>
      </c>
      <c r="H8283">
        <v>72</v>
      </c>
      <c r="I8283">
        <v>0</v>
      </c>
      <c r="J8283">
        <v>1.49</v>
      </c>
      <c r="K8283">
        <v>71.52</v>
      </c>
    </row>
    <row r="8284" spans="1:11" x14ac:dyDescent="0.2">
      <c r="B8284">
        <v>6001075</v>
      </c>
      <c r="C8284" t="s">
        <v>11367</v>
      </c>
      <c r="D8284">
        <v>11</v>
      </c>
      <c r="E8284">
        <v>24</v>
      </c>
      <c r="F8284">
        <v>-1</v>
      </c>
      <c r="G8284">
        <v>-25</v>
      </c>
      <c r="H8284">
        <v>40</v>
      </c>
      <c r="I8284">
        <v>0</v>
      </c>
      <c r="J8284">
        <v>0.67</v>
      </c>
      <c r="K8284">
        <v>-16.75</v>
      </c>
    </row>
    <row r="8285" spans="1:11" x14ac:dyDescent="0.2">
      <c r="A8285">
        <v>99027</v>
      </c>
      <c r="B8285">
        <v>6001403</v>
      </c>
      <c r="C8285" t="s">
        <v>11368</v>
      </c>
      <c r="D8285">
        <v>10</v>
      </c>
      <c r="E8285">
        <v>8</v>
      </c>
      <c r="F8285">
        <v>0</v>
      </c>
      <c r="G8285">
        <v>0</v>
      </c>
      <c r="H8285">
        <v>105</v>
      </c>
      <c r="I8285">
        <v>0</v>
      </c>
      <c r="J8285">
        <v>2.19</v>
      </c>
      <c r="K8285">
        <v>0</v>
      </c>
    </row>
    <row r="8286" spans="1:11" x14ac:dyDescent="0.2">
      <c r="A8286">
        <v>81226</v>
      </c>
      <c r="B8286">
        <v>6001442</v>
      </c>
      <c r="C8286" t="s">
        <v>11369</v>
      </c>
      <c r="D8286">
        <v>8</v>
      </c>
      <c r="E8286">
        <v>16</v>
      </c>
      <c r="F8286">
        <v>367</v>
      </c>
      <c r="G8286">
        <v>5872</v>
      </c>
      <c r="H8286">
        <v>104</v>
      </c>
      <c r="I8286">
        <v>3.5</v>
      </c>
      <c r="J8286">
        <v>1.79</v>
      </c>
      <c r="K8286">
        <v>10510.88</v>
      </c>
    </row>
    <row r="8287" spans="1:11" x14ac:dyDescent="0.2">
      <c r="A8287">
        <v>99026</v>
      </c>
      <c r="B8287">
        <v>6001588</v>
      </c>
      <c r="C8287" t="s">
        <v>11370</v>
      </c>
      <c r="D8287">
        <v>10</v>
      </c>
      <c r="E8287">
        <v>12</v>
      </c>
      <c r="F8287">
        <v>0</v>
      </c>
      <c r="G8287">
        <v>0</v>
      </c>
      <c r="H8287">
        <v>120</v>
      </c>
      <c r="I8287">
        <v>0</v>
      </c>
      <c r="J8287">
        <v>2.39</v>
      </c>
      <c r="K8287">
        <v>0</v>
      </c>
    </row>
    <row r="8288" spans="1:11" x14ac:dyDescent="0.2">
      <c r="A8288">
        <v>72119</v>
      </c>
      <c r="B8288">
        <v>6001877</v>
      </c>
      <c r="C8288" t="s">
        <v>11371</v>
      </c>
      <c r="D8288">
        <v>8</v>
      </c>
      <c r="E8288">
        <v>16</v>
      </c>
      <c r="F8288">
        <v>441</v>
      </c>
      <c r="G8288">
        <v>7048</v>
      </c>
      <c r="H8288">
        <v>56</v>
      </c>
      <c r="I8288">
        <v>7.9</v>
      </c>
      <c r="J8288">
        <v>1.19</v>
      </c>
      <c r="K8288">
        <v>8387.1200000000008</v>
      </c>
    </row>
    <row r="8289" spans="1:11" x14ac:dyDescent="0.2">
      <c r="A8289">
        <v>70219</v>
      </c>
      <c r="B8289">
        <v>6002387</v>
      </c>
      <c r="C8289" t="s">
        <v>11372</v>
      </c>
      <c r="D8289">
        <v>8</v>
      </c>
      <c r="E8289">
        <v>12</v>
      </c>
      <c r="F8289">
        <v>113</v>
      </c>
      <c r="G8289">
        <v>1356</v>
      </c>
      <c r="H8289">
        <v>144</v>
      </c>
      <c r="I8289">
        <v>0.8</v>
      </c>
      <c r="J8289">
        <v>2.4900000000000002</v>
      </c>
      <c r="K8289">
        <v>3376.44</v>
      </c>
    </row>
    <row r="8290" spans="1:11" x14ac:dyDescent="0.2">
      <c r="A8290">
        <v>99461</v>
      </c>
      <c r="B8290">
        <v>6002475</v>
      </c>
      <c r="C8290" t="s">
        <v>11373</v>
      </c>
      <c r="D8290">
        <v>10</v>
      </c>
      <c r="E8290">
        <v>8</v>
      </c>
      <c r="F8290">
        <v>0</v>
      </c>
      <c r="G8290">
        <v>0</v>
      </c>
      <c r="H8290">
        <v>156</v>
      </c>
      <c r="I8290">
        <v>0</v>
      </c>
      <c r="J8290">
        <v>2.29</v>
      </c>
      <c r="K8290">
        <v>0</v>
      </c>
    </row>
    <row r="8291" spans="1:11" x14ac:dyDescent="0.2">
      <c r="B8291">
        <v>6002594</v>
      </c>
      <c r="C8291" t="s">
        <v>11374</v>
      </c>
      <c r="D8291">
        <v>11</v>
      </c>
      <c r="E8291">
        <v>24</v>
      </c>
      <c r="F8291">
        <v>0</v>
      </c>
      <c r="G8291">
        <v>0</v>
      </c>
      <c r="H8291">
        <v>70</v>
      </c>
      <c r="I8291">
        <v>0</v>
      </c>
      <c r="J8291">
        <v>0.99</v>
      </c>
      <c r="K8291">
        <v>0</v>
      </c>
    </row>
    <row r="8292" spans="1:11" x14ac:dyDescent="0.2">
      <c r="A8292">
        <v>51517</v>
      </c>
      <c r="B8292">
        <v>6002595</v>
      </c>
      <c r="C8292" t="s">
        <v>11375</v>
      </c>
      <c r="D8292">
        <v>10</v>
      </c>
      <c r="E8292">
        <v>6</v>
      </c>
      <c r="F8292">
        <v>6</v>
      </c>
      <c r="G8292">
        <v>36</v>
      </c>
      <c r="H8292">
        <v>140</v>
      </c>
      <c r="I8292">
        <v>0</v>
      </c>
      <c r="K8292">
        <v>0</v>
      </c>
    </row>
    <row r="8293" spans="1:11" x14ac:dyDescent="0.2">
      <c r="A8293">
        <v>99351</v>
      </c>
      <c r="B8293">
        <v>6002654</v>
      </c>
      <c r="C8293" t="s">
        <v>11376</v>
      </c>
      <c r="D8293">
        <v>10</v>
      </c>
      <c r="E8293">
        <v>6</v>
      </c>
      <c r="F8293">
        <v>0</v>
      </c>
      <c r="G8293">
        <v>0</v>
      </c>
      <c r="H8293">
        <v>96</v>
      </c>
      <c r="I8293">
        <v>0</v>
      </c>
      <c r="J8293">
        <v>1.99</v>
      </c>
      <c r="K8293">
        <v>0</v>
      </c>
    </row>
    <row r="8294" spans="1:11" x14ac:dyDescent="0.2">
      <c r="A8294">
        <v>31525</v>
      </c>
      <c r="B8294">
        <v>6003056</v>
      </c>
      <c r="C8294" t="s">
        <v>11377</v>
      </c>
      <c r="D8294">
        <v>10</v>
      </c>
      <c r="E8294">
        <v>24</v>
      </c>
      <c r="F8294">
        <v>0</v>
      </c>
      <c r="G8294">
        <v>0</v>
      </c>
      <c r="H8294">
        <v>40</v>
      </c>
      <c r="I8294">
        <v>0</v>
      </c>
      <c r="J8294">
        <v>4.99</v>
      </c>
      <c r="K8294">
        <v>0</v>
      </c>
    </row>
    <row r="8295" spans="1:11" x14ac:dyDescent="0.2">
      <c r="A8295">
        <v>99159</v>
      </c>
      <c r="B8295">
        <v>6003106</v>
      </c>
      <c r="C8295" t="s">
        <v>11378</v>
      </c>
      <c r="D8295">
        <v>10</v>
      </c>
      <c r="E8295">
        <v>10</v>
      </c>
      <c r="F8295">
        <v>0</v>
      </c>
      <c r="G8295">
        <v>0</v>
      </c>
      <c r="H8295">
        <v>72</v>
      </c>
      <c r="I8295">
        <v>0</v>
      </c>
      <c r="J8295">
        <v>2.29</v>
      </c>
      <c r="K8295">
        <v>0</v>
      </c>
    </row>
    <row r="8296" spans="1:11" x14ac:dyDescent="0.2">
      <c r="A8296">
        <v>57303</v>
      </c>
      <c r="B8296">
        <v>6003467</v>
      </c>
      <c r="C8296" t="s">
        <v>11379</v>
      </c>
      <c r="D8296">
        <v>11</v>
      </c>
      <c r="E8296">
        <v>15</v>
      </c>
      <c r="F8296">
        <v>0</v>
      </c>
      <c r="G8296">
        <v>0</v>
      </c>
      <c r="H8296">
        <v>42</v>
      </c>
      <c r="I8296">
        <v>0</v>
      </c>
      <c r="J8296">
        <v>2.4900000000000002</v>
      </c>
      <c r="K8296">
        <v>0</v>
      </c>
    </row>
    <row r="8297" spans="1:11" x14ac:dyDescent="0.2">
      <c r="B8297">
        <v>6003606</v>
      </c>
      <c r="C8297" t="s">
        <v>11380</v>
      </c>
      <c r="D8297">
        <v>11</v>
      </c>
      <c r="E8297">
        <v>20</v>
      </c>
      <c r="F8297">
        <v>0</v>
      </c>
      <c r="G8297">
        <v>0</v>
      </c>
      <c r="H8297">
        <v>60</v>
      </c>
      <c r="I8297">
        <v>0</v>
      </c>
      <c r="J8297">
        <v>1.99</v>
      </c>
      <c r="K8297">
        <v>0</v>
      </c>
    </row>
    <row r="8298" spans="1:11" x14ac:dyDescent="0.2">
      <c r="A8298">
        <v>48515</v>
      </c>
      <c r="B8298">
        <v>6003661</v>
      </c>
      <c r="C8298" t="s">
        <v>11381</v>
      </c>
      <c r="D8298">
        <v>10</v>
      </c>
      <c r="E8298">
        <v>16</v>
      </c>
      <c r="F8298">
        <v>-1</v>
      </c>
      <c r="G8298">
        <v>-16</v>
      </c>
      <c r="H8298">
        <v>48</v>
      </c>
      <c r="I8298">
        <v>0</v>
      </c>
      <c r="J8298">
        <v>2.99</v>
      </c>
      <c r="K8298">
        <v>-47.84</v>
      </c>
    </row>
    <row r="8299" spans="1:11" x14ac:dyDescent="0.2">
      <c r="A8299">
        <v>72128</v>
      </c>
      <c r="B8299">
        <v>6003923</v>
      </c>
      <c r="C8299" t="s">
        <v>11382</v>
      </c>
      <c r="D8299">
        <v>8</v>
      </c>
      <c r="E8299">
        <v>16</v>
      </c>
      <c r="F8299">
        <v>94</v>
      </c>
      <c r="G8299">
        <v>1504</v>
      </c>
      <c r="H8299">
        <v>48</v>
      </c>
      <c r="I8299">
        <v>2</v>
      </c>
      <c r="J8299">
        <v>1.25</v>
      </c>
      <c r="K8299">
        <v>1880</v>
      </c>
    </row>
    <row r="8300" spans="1:11" x14ac:dyDescent="0.2">
      <c r="A8300">
        <v>0</v>
      </c>
      <c r="B8300">
        <v>6004432</v>
      </c>
      <c r="C8300" t="s">
        <v>11383</v>
      </c>
      <c r="D8300">
        <v>11</v>
      </c>
      <c r="E8300">
        <v>9</v>
      </c>
      <c r="F8300">
        <v>0</v>
      </c>
      <c r="G8300">
        <v>0</v>
      </c>
      <c r="H8300">
        <v>108</v>
      </c>
      <c r="I8300">
        <v>0</v>
      </c>
      <c r="J8300">
        <v>1.0900000000000001</v>
      </c>
      <c r="K8300">
        <v>0</v>
      </c>
    </row>
    <row r="8301" spans="1:11" x14ac:dyDescent="0.2">
      <c r="A8301">
        <v>84208</v>
      </c>
      <c r="B8301">
        <v>6004433</v>
      </c>
      <c r="C8301" t="s">
        <v>11384</v>
      </c>
      <c r="D8301">
        <v>8</v>
      </c>
      <c r="E8301">
        <v>9</v>
      </c>
      <c r="F8301">
        <v>161</v>
      </c>
      <c r="G8301">
        <v>1449</v>
      </c>
      <c r="H8301">
        <v>112</v>
      </c>
      <c r="I8301">
        <v>1.4</v>
      </c>
      <c r="J8301">
        <v>1.19</v>
      </c>
      <c r="K8301">
        <v>1724.31</v>
      </c>
    </row>
    <row r="8302" spans="1:11" x14ac:dyDescent="0.2">
      <c r="A8302">
        <v>57207</v>
      </c>
      <c r="B8302">
        <v>6004709</v>
      </c>
      <c r="C8302" t="s">
        <v>11385</v>
      </c>
      <c r="D8302">
        <v>11</v>
      </c>
      <c r="E8302">
        <v>24</v>
      </c>
      <c r="F8302">
        <v>0</v>
      </c>
      <c r="G8302">
        <v>0</v>
      </c>
      <c r="H8302">
        <v>54</v>
      </c>
      <c r="I8302">
        <v>0</v>
      </c>
      <c r="J8302">
        <v>1.2</v>
      </c>
      <c r="K8302">
        <v>0</v>
      </c>
    </row>
    <row r="8303" spans="1:11" x14ac:dyDescent="0.2">
      <c r="A8303">
        <v>99352</v>
      </c>
      <c r="B8303">
        <v>6004715</v>
      </c>
      <c r="C8303" t="s">
        <v>11386</v>
      </c>
      <c r="D8303">
        <v>10</v>
      </c>
      <c r="E8303">
        <v>12</v>
      </c>
      <c r="F8303">
        <v>0</v>
      </c>
      <c r="G8303">
        <v>0</v>
      </c>
      <c r="H8303">
        <v>60</v>
      </c>
      <c r="I8303">
        <v>0</v>
      </c>
      <c r="J8303">
        <v>1.69</v>
      </c>
      <c r="K8303">
        <v>0</v>
      </c>
    </row>
    <row r="8304" spans="1:11" x14ac:dyDescent="0.2">
      <c r="A8304">
        <v>84074</v>
      </c>
      <c r="B8304">
        <v>6004923</v>
      </c>
      <c r="C8304" t="s">
        <v>11387</v>
      </c>
      <c r="D8304">
        <v>8</v>
      </c>
      <c r="E8304">
        <v>16</v>
      </c>
      <c r="F8304">
        <v>279</v>
      </c>
      <c r="G8304">
        <v>4464</v>
      </c>
      <c r="H8304">
        <v>54</v>
      </c>
      <c r="I8304">
        <v>5.2</v>
      </c>
      <c r="J8304">
        <v>0.95</v>
      </c>
      <c r="K8304">
        <v>4240.8</v>
      </c>
    </row>
    <row r="8305" spans="1:11" x14ac:dyDescent="0.2">
      <c r="A8305">
        <v>48616</v>
      </c>
      <c r="B8305">
        <v>6005159</v>
      </c>
      <c r="C8305" t="s">
        <v>11388</v>
      </c>
      <c r="D8305">
        <v>10</v>
      </c>
      <c r="E8305">
        <v>12</v>
      </c>
      <c r="F8305">
        <v>0</v>
      </c>
      <c r="G8305">
        <v>0</v>
      </c>
      <c r="H8305">
        <v>14</v>
      </c>
      <c r="I8305">
        <v>0</v>
      </c>
      <c r="J8305">
        <v>6.79</v>
      </c>
      <c r="K8305">
        <v>0</v>
      </c>
    </row>
    <row r="8306" spans="1:11" x14ac:dyDescent="0.2">
      <c r="A8306">
        <v>44509</v>
      </c>
      <c r="B8306">
        <v>6005575</v>
      </c>
      <c r="C8306" t="s">
        <v>11389</v>
      </c>
      <c r="D8306">
        <v>10</v>
      </c>
      <c r="E8306">
        <v>10</v>
      </c>
      <c r="F8306">
        <v>1</v>
      </c>
      <c r="G8306">
        <v>10</v>
      </c>
      <c r="H8306">
        <v>80</v>
      </c>
      <c r="I8306">
        <v>0</v>
      </c>
      <c r="J8306">
        <v>4.99</v>
      </c>
      <c r="K8306">
        <v>49.9</v>
      </c>
    </row>
    <row r="8307" spans="1:11" x14ac:dyDescent="0.2">
      <c r="A8307">
        <v>42532</v>
      </c>
      <c r="B8307">
        <v>6005745</v>
      </c>
      <c r="C8307" t="s">
        <v>11390</v>
      </c>
      <c r="D8307">
        <v>10</v>
      </c>
      <c r="E8307">
        <v>14</v>
      </c>
      <c r="F8307">
        <v>3</v>
      </c>
      <c r="G8307">
        <v>42</v>
      </c>
      <c r="H8307">
        <v>90</v>
      </c>
      <c r="I8307">
        <v>0</v>
      </c>
      <c r="J8307">
        <v>1.59</v>
      </c>
      <c r="K8307">
        <v>66.78</v>
      </c>
    </row>
    <row r="8308" spans="1:11" x14ac:dyDescent="0.2">
      <c r="A8308">
        <v>42533</v>
      </c>
      <c r="B8308">
        <v>6006350</v>
      </c>
      <c r="C8308" t="s">
        <v>11391</v>
      </c>
      <c r="D8308">
        <v>10</v>
      </c>
      <c r="E8308">
        <v>12</v>
      </c>
      <c r="F8308">
        <v>3</v>
      </c>
      <c r="G8308">
        <v>36</v>
      </c>
      <c r="H8308">
        <v>130</v>
      </c>
      <c r="I8308">
        <v>0</v>
      </c>
      <c r="J8308">
        <v>2.99</v>
      </c>
      <c r="K8308">
        <v>107.64</v>
      </c>
    </row>
    <row r="8309" spans="1:11" x14ac:dyDescent="0.2">
      <c r="A8309">
        <v>84124</v>
      </c>
      <c r="B8309">
        <v>6006526</v>
      </c>
      <c r="C8309" t="s">
        <v>11392</v>
      </c>
      <c r="D8309">
        <v>8</v>
      </c>
      <c r="E8309">
        <v>8</v>
      </c>
      <c r="F8309">
        <v>255</v>
      </c>
      <c r="G8309">
        <v>2040</v>
      </c>
      <c r="H8309">
        <v>60</v>
      </c>
      <c r="I8309">
        <v>4.3</v>
      </c>
      <c r="J8309">
        <v>0.79</v>
      </c>
      <c r="K8309">
        <v>1611.6</v>
      </c>
    </row>
    <row r="8310" spans="1:11" x14ac:dyDescent="0.2">
      <c r="A8310">
        <v>42644</v>
      </c>
      <c r="B8310">
        <v>6007287</v>
      </c>
      <c r="C8310" t="s">
        <v>11393</v>
      </c>
      <c r="D8310">
        <v>10</v>
      </c>
      <c r="E8310">
        <v>12</v>
      </c>
      <c r="F8310">
        <v>0</v>
      </c>
      <c r="G8310">
        <v>2</v>
      </c>
      <c r="H8310">
        <v>100</v>
      </c>
      <c r="I8310">
        <v>0</v>
      </c>
      <c r="J8310">
        <v>3.39</v>
      </c>
      <c r="K8310">
        <v>6.78</v>
      </c>
    </row>
    <row r="8311" spans="1:11" x14ac:dyDescent="0.2">
      <c r="A8311">
        <v>42534</v>
      </c>
      <c r="B8311">
        <v>6007311</v>
      </c>
      <c r="C8311" t="s">
        <v>11394</v>
      </c>
      <c r="D8311">
        <v>10</v>
      </c>
      <c r="E8311">
        <v>16</v>
      </c>
      <c r="F8311">
        <v>3</v>
      </c>
      <c r="G8311">
        <v>48</v>
      </c>
      <c r="H8311">
        <v>56</v>
      </c>
      <c r="I8311">
        <v>0.1</v>
      </c>
      <c r="J8311">
        <v>3.79</v>
      </c>
      <c r="K8311">
        <v>181.92</v>
      </c>
    </row>
    <row r="8312" spans="1:11" x14ac:dyDescent="0.2">
      <c r="A8312">
        <v>99906</v>
      </c>
      <c r="B8312">
        <v>6200000</v>
      </c>
      <c r="C8312" t="s">
        <v>11395</v>
      </c>
      <c r="D8312">
        <v>10</v>
      </c>
      <c r="E8312">
        <v>6</v>
      </c>
      <c r="F8312">
        <v>0</v>
      </c>
      <c r="G8312">
        <v>0</v>
      </c>
      <c r="H8312">
        <v>63</v>
      </c>
      <c r="I8312">
        <v>0</v>
      </c>
      <c r="J8312">
        <v>2.39</v>
      </c>
      <c r="K8312">
        <v>0</v>
      </c>
    </row>
    <row r="8313" spans="1:11" x14ac:dyDescent="0.2">
      <c r="A8313">
        <v>99907</v>
      </c>
      <c r="B8313">
        <v>6200001</v>
      </c>
      <c r="C8313" t="s">
        <v>11396</v>
      </c>
      <c r="D8313">
        <v>10</v>
      </c>
      <c r="E8313">
        <v>6</v>
      </c>
      <c r="F8313">
        <v>0</v>
      </c>
      <c r="G8313">
        <v>0</v>
      </c>
      <c r="H8313">
        <v>63</v>
      </c>
      <c r="I8313">
        <v>0</v>
      </c>
      <c r="J8313">
        <v>2.39</v>
      </c>
      <c r="K8313">
        <v>0</v>
      </c>
    </row>
    <row r="8314" spans="1:11" x14ac:dyDescent="0.2">
      <c r="A8314">
        <v>99794</v>
      </c>
      <c r="B8314">
        <v>6200007</v>
      </c>
      <c r="C8314" t="s">
        <v>11397</v>
      </c>
      <c r="D8314">
        <v>6</v>
      </c>
      <c r="E8314">
        <v>14</v>
      </c>
      <c r="F8314">
        <v>0</v>
      </c>
      <c r="G8314">
        <v>0</v>
      </c>
      <c r="H8314">
        <v>63</v>
      </c>
      <c r="I8314">
        <v>0</v>
      </c>
      <c r="J8314">
        <v>0.01</v>
      </c>
      <c r="K8314">
        <v>0</v>
      </c>
    </row>
    <row r="8315" spans="1:11" x14ac:dyDescent="0.2">
      <c r="A8315">
        <v>57510</v>
      </c>
      <c r="B8315">
        <v>6200014</v>
      </c>
      <c r="C8315" t="s">
        <v>11398</v>
      </c>
      <c r="D8315">
        <v>10</v>
      </c>
      <c r="E8315">
        <v>12</v>
      </c>
      <c r="F8315">
        <v>18</v>
      </c>
      <c r="G8315">
        <v>221</v>
      </c>
      <c r="H8315">
        <v>108</v>
      </c>
      <c r="I8315">
        <v>0.2</v>
      </c>
      <c r="J8315">
        <v>1.8</v>
      </c>
      <c r="K8315">
        <v>397.8</v>
      </c>
    </row>
    <row r="8316" spans="1:11" x14ac:dyDescent="0.2">
      <c r="A8316">
        <v>57511</v>
      </c>
      <c r="B8316">
        <v>6200022</v>
      </c>
      <c r="C8316" t="s">
        <v>11399</v>
      </c>
      <c r="D8316">
        <v>10</v>
      </c>
      <c r="E8316">
        <v>12</v>
      </c>
      <c r="F8316">
        <v>25</v>
      </c>
      <c r="G8316">
        <v>304</v>
      </c>
      <c r="H8316">
        <v>168</v>
      </c>
      <c r="I8316">
        <v>0.2</v>
      </c>
      <c r="J8316">
        <v>1.2</v>
      </c>
      <c r="K8316">
        <v>364.8</v>
      </c>
    </row>
    <row r="8317" spans="1:11" x14ac:dyDescent="0.2">
      <c r="A8317">
        <v>57400</v>
      </c>
      <c r="B8317">
        <v>6200024</v>
      </c>
      <c r="C8317" t="s">
        <v>11400</v>
      </c>
      <c r="D8317">
        <v>10</v>
      </c>
      <c r="E8317">
        <v>12</v>
      </c>
      <c r="F8317">
        <v>0</v>
      </c>
      <c r="G8317">
        <v>0</v>
      </c>
      <c r="H8317">
        <v>168</v>
      </c>
      <c r="I8317">
        <v>0</v>
      </c>
      <c r="J8317">
        <v>1</v>
      </c>
      <c r="K8317">
        <v>0</v>
      </c>
    </row>
    <row r="8318" spans="1:11" x14ac:dyDescent="0.2">
      <c r="A8318">
        <v>57401</v>
      </c>
      <c r="B8318">
        <v>6200040</v>
      </c>
      <c r="C8318" t="s">
        <v>11401</v>
      </c>
      <c r="D8318">
        <v>10</v>
      </c>
      <c r="E8318">
        <v>12</v>
      </c>
      <c r="F8318">
        <v>0</v>
      </c>
      <c r="G8318">
        <v>0</v>
      </c>
      <c r="H8318">
        <v>104</v>
      </c>
      <c r="I8318">
        <v>0</v>
      </c>
      <c r="J8318">
        <v>1.4</v>
      </c>
      <c r="K8318">
        <v>0</v>
      </c>
    </row>
    <row r="8319" spans="1:11" x14ac:dyDescent="0.2">
      <c r="A8319">
        <v>57512</v>
      </c>
      <c r="B8319">
        <v>6200042</v>
      </c>
      <c r="C8319" t="s">
        <v>11402</v>
      </c>
      <c r="D8319">
        <v>10</v>
      </c>
      <c r="E8319">
        <v>16</v>
      </c>
      <c r="F8319">
        <v>20</v>
      </c>
      <c r="G8319">
        <v>323</v>
      </c>
      <c r="H8319">
        <v>132</v>
      </c>
      <c r="I8319">
        <v>0.2</v>
      </c>
      <c r="J8319">
        <v>1.2</v>
      </c>
      <c r="K8319">
        <v>387.6</v>
      </c>
    </row>
    <row r="8320" spans="1:11" x14ac:dyDescent="0.2">
      <c r="A8320">
        <v>57513</v>
      </c>
      <c r="B8320">
        <v>6200043</v>
      </c>
      <c r="C8320" t="s">
        <v>11403</v>
      </c>
      <c r="D8320">
        <v>10</v>
      </c>
      <c r="E8320">
        <v>16</v>
      </c>
      <c r="F8320">
        <v>22</v>
      </c>
      <c r="G8320">
        <v>349</v>
      </c>
      <c r="H8320">
        <v>132</v>
      </c>
      <c r="I8320">
        <v>0.2</v>
      </c>
      <c r="J8320">
        <v>1.2</v>
      </c>
      <c r="K8320">
        <v>418.8</v>
      </c>
    </row>
    <row r="8321" spans="1:12" x14ac:dyDescent="0.2">
      <c r="A8321">
        <v>57402</v>
      </c>
      <c r="B8321">
        <v>6200052</v>
      </c>
      <c r="C8321" t="s">
        <v>11404</v>
      </c>
      <c r="D8321">
        <v>10</v>
      </c>
      <c r="E8321">
        <v>42</v>
      </c>
      <c r="F8321">
        <v>0</v>
      </c>
      <c r="G8321">
        <v>0</v>
      </c>
      <c r="H8321">
        <v>160</v>
      </c>
      <c r="I8321">
        <v>0</v>
      </c>
      <c r="J8321">
        <v>0.3</v>
      </c>
      <c r="K8321">
        <v>0</v>
      </c>
    </row>
    <row r="8322" spans="1:12" x14ac:dyDescent="0.2">
      <c r="A8322">
        <v>99908</v>
      </c>
      <c r="B8322">
        <v>6200063</v>
      </c>
      <c r="C8322" t="s">
        <v>11405</v>
      </c>
      <c r="D8322">
        <v>10</v>
      </c>
      <c r="E8322">
        <v>10</v>
      </c>
      <c r="F8322">
        <v>0</v>
      </c>
      <c r="G8322">
        <v>0</v>
      </c>
      <c r="H8322">
        <v>54</v>
      </c>
      <c r="I8322">
        <v>0</v>
      </c>
      <c r="J8322">
        <v>2.39</v>
      </c>
      <c r="K8322">
        <v>0</v>
      </c>
    </row>
    <row r="8323" spans="1:12" x14ac:dyDescent="0.2">
      <c r="A8323">
        <v>57514</v>
      </c>
      <c r="B8323">
        <v>6200065</v>
      </c>
      <c r="C8323" t="s">
        <v>11406</v>
      </c>
      <c r="D8323">
        <v>10</v>
      </c>
      <c r="E8323">
        <v>12</v>
      </c>
      <c r="F8323">
        <v>15</v>
      </c>
      <c r="G8323">
        <v>175</v>
      </c>
      <c r="H8323">
        <v>80</v>
      </c>
      <c r="I8323">
        <v>0.2</v>
      </c>
      <c r="J8323">
        <v>1.4</v>
      </c>
      <c r="K8323">
        <v>245</v>
      </c>
    </row>
    <row r="8324" spans="1:12" x14ac:dyDescent="0.2">
      <c r="A8324">
        <v>34663</v>
      </c>
      <c r="B8324">
        <v>6200066</v>
      </c>
      <c r="C8324" t="s">
        <v>11407</v>
      </c>
      <c r="D8324">
        <v>12</v>
      </c>
      <c r="E8324">
        <v>6</v>
      </c>
      <c r="F8324">
        <v>0</v>
      </c>
      <c r="G8324">
        <v>0</v>
      </c>
      <c r="H8324">
        <v>96</v>
      </c>
      <c r="I8324">
        <v>0</v>
      </c>
      <c r="J8324">
        <v>2</v>
      </c>
      <c r="K8324">
        <v>0</v>
      </c>
      <c r="L8324" t="s">
        <v>3699</v>
      </c>
    </row>
    <row r="8325" spans="1:12" x14ac:dyDescent="0.2">
      <c r="A8325">
        <v>34611</v>
      </c>
      <c r="B8325">
        <v>6200074</v>
      </c>
      <c r="C8325" t="s">
        <v>11408</v>
      </c>
      <c r="D8325">
        <v>10</v>
      </c>
      <c r="E8325">
        <v>24</v>
      </c>
      <c r="F8325">
        <v>0</v>
      </c>
      <c r="G8325">
        <v>0</v>
      </c>
      <c r="H8325">
        <v>78</v>
      </c>
      <c r="I8325">
        <v>0</v>
      </c>
      <c r="J8325">
        <v>0.5</v>
      </c>
      <c r="K8325">
        <v>0</v>
      </c>
    </row>
    <row r="8326" spans="1:12" x14ac:dyDescent="0.2">
      <c r="A8326">
        <v>34519</v>
      </c>
      <c r="B8326">
        <v>6200099</v>
      </c>
      <c r="C8326" t="s">
        <v>10215</v>
      </c>
      <c r="D8326">
        <v>10</v>
      </c>
      <c r="E8326">
        <v>12</v>
      </c>
      <c r="F8326">
        <v>0</v>
      </c>
      <c r="G8326">
        <v>0</v>
      </c>
      <c r="H8326">
        <v>54</v>
      </c>
      <c r="I8326">
        <v>0</v>
      </c>
      <c r="J8326">
        <v>2.4900000000000002</v>
      </c>
      <c r="K8326">
        <v>0</v>
      </c>
    </row>
    <row r="8327" spans="1:12" x14ac:dyDescent="0.2">
      <c r="A8327">
        <v>99909</v>
      </c>
      <c r="B8327">
        <v>6200273</v>
      </c>
      <c r="C8327" t="s">
        <v>11409</v>
      </c>
      <c r="D8327">
        <v>10</v>
      </c>
      <c r="E8327">
        <v>12</v>
      </c>
      <c r="F8327">
        <v>0</v>
      </c>
      <c r="G8327">
        <v>0</v>
      </c>
      <c r="H8327">
        <v>42</v>
      </c>
      <c r="I8327">
        <v>0</v>
      </c>
      <c r="J8327">
        <v>3.39</v>
      </c>
      <c r="K8327">
        <v>0</v>
      </c>
    </row>
    <row r="8328" spans="1:12" x14ac:dyDescent="0.2">
      <c r="A8328">
        <v>99790</v>
      </c>
      <c r="B8328">
        <v>6200274</v>
      </c>
      <c r="C8328" t="s">
        <v>11410</v>
      </c>
      <c r="D8328">
        <v>10</v>
      </c>
      <c r="E8328">
        <v>12</v>
      </c>
      <c r="F8328">
        <v>0</v>
      </c>
      <c r="G8328">
        <v>0</v>
      </c>
      <c r="H8328">
        <v>42</v>
      </c>
      <c r="I8328">
        <v>0</v>
      </c>
      <c r="J8328">
        <v>3.39</v>
      </c>
      <c r="K8328">
        <v>0</v>
      </c>
    </row>
    <row r="8329" spans="1:12" x14ac:dyDescent="0.2">
      <c r="A8329">
        <v>57328</v>
      </c>
      <c r="B8329">
        <v>6200453</v>
      </c>
      <c r="C8329" t="s">
        <v>11411</v>
      </c>
      <c r="D8329">
        <v>10</v>
      </c>
      <c r="E8329">
        <v>12</v>
      </c>
      <c r="F8329">
        <v>0</v>
      </c>
      <c r="G8329">
        <v>0</v>
      </c>
      <c r="H8329">
        <v>130</v>
      </c>
      <c r="I8329">
        <v>0</v>
      </c>
      <c r="J8329">
        <v>1.49</v>
      </c>
      <c r="K8329">
        <v>0</v>
      </c>
    </row>
    <row r="8330" spans="1:12" x14ac:dyDescent="0.2">
      <c r="A8330">
        <v>34635</v>
      </c>
      <c r="B8330">
        <v>6200607</v>
      </c>
      <c r="C8330" t="s">
        <v>11412</v>
      </c>
      <c r="D8330">
        <v>10</v>
      </c>
      <c r="E8330">
        <v>12</v>
      </c>
      <c r="F8330">
        <v>0</v>
      </c>
      <c r="G8330">
        <v>0</v>
      </c>
      <c r="H8330">
        <v>80</v>
      </c>
      <c r="I8330">
        <v>0</v>
      </c>
      <c r="J8330">
        <v>3.3</v>
      </c>
      <c r="K8330">
        <v>0</v>
      </c>
    </row>
    <row r="8331" spans="1:12" x14ac:dyDescent="0.2">
      <c r="A8331">
        <v>57515</v>
      </c>
      <c r="B8331">
        <v>6200648</v>
      </c>
      <c r="C8331" t="s">
        <v>11413</v>
      </c>
      <c r="D8331">
        <v>10</v>
      </c>
      <c r="E8331">
        <v>36</v>
      </c>
      <c r="F8331">
        <v>8</v>
      </c>
      <c r="G8331">
        <v>271</v>
      </c>
      <c r="H8331">
        <v>72</v>
      </c>
      <c r="I8331">
        <v>0.1</v>
      </c>
      <c r="J8331">
        <v>1.4</v>
      </c>
      <c r="K8331">
        <v>379.4</v>
      </c>
    </row>
    <row r="8332" spans="1:12" x14ac:dyDescent="0.2">
      <c r="A8332">
        <v>57516</v>
      </c>
      <c r="B8332">
        <v>6200695</v>
      </c>
      <c r="C8332" t="s">
        <v>11414</v>
      </c>
      <c r="D8332">
        <v>10</v>
      </c>
      <c r="E8332">
        <v>12</v>
      </c>
      <c r="F8332">
        <v>19</v>
      </c>
      <c r="G8332">
        <v>233</v>
      </c>
      <c r="H8332">
        <v>140</v>
      </c>
      <c r="I8332">
        <v>0.1</v>
      </c>
      <c r="J8332">
        <v>1.4</v>
      </c>
      <c r="K8332">
        <v>326.2</v>
      </c>
    </row>
    <row r="8333" spans="1:12" x14ac:dyDescent="0.2">
      <c r="A8333">
        <v>99209</v>
      </c>
      <c r="B8333">
        <v>6200734</v>
      </c>
      <c r="C8333" t="s">
        <v>11415</v>
      </c>
      <c r="D8333">
        <v>10</v>
      </c>
      <c r="E8333">
        <v>6</v>
      </c>
      <c r="F8333">
        <v>0</v>
      </c>
      <c r="G8333">
        <v>0</v>
      </c>
      <c r="H8333">
        <v>192</v>
      </c>
      <c r="I8333">
        <v>0</v>
      </c>
      <c r="J8333">
        <v>1.59</v>
      </c>
      <c r="K8333">
        <v>0</v>
      </c>
    </row>
    <row r="8334" spans="1:12" x14ac:dyDescent="0.2">
      <c r="B8334">
        <v>6200772</v>
      </c>
      <c r="C8334" t="s">
        <v>11416</v>
      </c>
      <c r="D8334">
        <v>11</v>
      </c>
      <c r="E8334">
        <v>12</v>
      </c>
      <c r="F8334">
        <v>0</v>
      </c>
      <c r="G8334">
        <v>0</v>
      </c>
      <c r="H8334">
        <v>105</v>
      </c>
      <c r="I8334">
        <v>0</v>
      </c>
      <c r="J8334">
        <v>3.99</v>
      </c>
      <c r="K8334">
        <v>0</v>
      </c>
    </row>
    <row r="8335" spans="1:12" x14ac:dyDescent="0.2">
      <c r="A8335">
        <v>34520</v>
      </c>
      <c r="B8335">
        <v>6200776</v>
      </c>
      <c r="C8335" t="s">
        <v>11417</v>
      </c>
      <c r="D8335">
        <v>10</v>
      </c>
      <c r="E8335">
        <v>30</v>
      </c>
      <c r="F8335">
        <v>0</v>
      </c>
      <c r="G8335">
        <v>0</v>
      </c>
      <c r="H8335">
        <v>48</v>
      </c>
      <c r="I8335">
        <v>0</v>
      </c>
      <c r="J8335">
        <v>1.79</v>
      </c>
      <c r="K8335">
        <v>0</v>
      </c>
    </row>
    <row r="8336" spans="1:12" x14ac:dyDescent="0.2">
      <c r="A8336">
        <v>57272</v>
      </c>
      <c r="B8336">
        <v>6203845</v>
      </c>
      <c r="C8336" t="s">
        <v>11418</v>
      </c>
      <c r="D8336">
        <v>10</v>
      </c>
      <c r="E8336">
        <v>12</v>
      </c>
      <c r="F8336">
        <v>0</v>
      </c>
      <c r="G8336">
        <v>0</v>
      </c>
      <c r="H8336">
        <v>130</v>
      </c>
      <c r="I8336">
        <v>0</v>
      </c>
      <c r="J8336">
        <v>1.69</v>
      </c>
      <c r="K8336">
        <v>0</v>
      </c>
    </row>
    <row r="8337" spans="1:11" x14ac:dyDescent="0.2">
      <c r="A8337">
        <v>57403</v>
      </c>
      <c r="B8337">
        <v>6300084</v>
      </c>
      <c r="C8337" t="s">
        <v>11419</v>
      </c>
      <c r="D8337">
        <v>10</v>
      </c>
      <c r="E8337">
        <v>21</v>
      </c>
      <c r="F8337">
        <v>0</v>
      </c>
      <c r="G8337">
        <v>0</v>
      </c>
      <c r="H8337">
        <v>90</v>
      </c>
      <c r="I8337">
        <v>0</v>
      </c>
      <c r="J8337">
        <v>1</v>
      </c>
      <c r="K8337">
        <v>0</v>
      </c>
    </row>
    <row r="8338" spans="1:11" x14ac:dyDescent="0.2">
      <c r="A8338">
        <v>45670</v>
      </c>
      <c r="B8338">
        <v>6400271</v>
      </c>
      <c r="C8338" t="s">
        <v>11420</v>
      </c>
      <c r="D8338">
        <v>10</v>
      </c>
      <c r="E8338">
        <v>12</v>
      </c>
      <c r="F8338">
        <v>-3</v>
      </c>
      <c r="G8338">
        <v>-36</v>
      </c>
      <c r="H8338">
        <v>104</v>
      </c>
      <c r="I8338">
        <v>0</v>
      </c>
      <c r="J8338">
        <v>5.99</v>
      </c>
      <c r="K8338">
        <v>-215.64</v>
      </c>
    </row>
    <row r="8339" spans="1:11" x14ac:dyDescent="0.2">
      <c r="A8339">
        <v>51602</v>
      </c>
      <c r="B8339">
        <v>6400918</v>
      </c>
      <c r="C8339" t="s">
        <v>6823</v>
      </c>
      <c r="D8339">
        <v>10</v>
      </c>
      <c r="E8339">
        <v>12</v>
      </c>
      <c r="F8339">
        <v>0</v>
      </c>
      <c r="G8339">
        <v>0</v>
      </c>
      <c r="H8339">
        <v>90</v>
      </c>
      <c r="I8339">
        <v>0</v>
      </c>
      <c r="J8339">
        <v>4.99</v>
      </c>
      <c r="K8339">
        <v>0</v>
      </c>
    </row>
    <row r="8340" spans="1:11" x14ac:dyDescent="0.2">
      <c r="B8340">
        <v>6600132</v>
      </c>
      <c r="C8340" t="s">
        <v>11421</v>
      </c>
      <c r="D8340">
        <v>6</v>
      </c>
      <c r="E8340">
        <v>18</v>
      </c>
      <c r="F8340">
        <v>0</v>
      </c>
      <c r="G8340">
        <v>0</v>
      </c>
      <c r="H8340">
        <v>132</v>
      </c>
      <c r="I8340">
        <v>0</v>
      </c>
      <c r="J8340">
        <v>0.99</v>
      </c>
      <c r="K8340">
        <v>0</v>
      </c>
    </row>
    <row r="8341" spans="1:11" x14ac:dyDescent="0.2">
      <c r="A8341">
        <v>99418</v>
      </c>
      <c r="B8341">
        <v>6600766</v>
      </c>
      <c r="C8341" t="s">
        <v>11422</v>
      </c>
      <c r="D8341">
        <v>10</v>
      </c>
      <c r="E8341">
        <v>4</v>
      </c>
      <c r="F8341">
        <v>0</v>
      </c>
      <c r="G8341">
        <v>0</v>
      </c>
      <c r="H8341">
        <v>140</v>
      </c>
      <c r="I8341">
        <v>0</v>
      </c>
      <c r="J8341">
        <v>3.49</v>
      </c>
      <c r="K8341">
        <v>0</v>
      </c>
    </row>
    <row r="8342" spans="1:11" x14ac:dyDescent="0.2">
      <c r="A8342">
        <v>74071</v>
      </c>
      <c r="B8342">
        <v>6600940</v>
      </c>
      <c r="C8342" t="s">
        <v>11423</v>
      </c>
      <c r="D8342">
        <v>8</v>
      </c>
      <c r="E8342">
        <v>33</v>
      </c>
      <c r="F8342">
        <v>256</v>
      </c>
      <c r="G8342">
        <v>8448</v>
      </c>
      <c r="H8342">
        <v>42</v>
      </c>
      <c r="I8342">
        <v>6.1</v>
      </c>
      <c r="J8342">
        <v>1.64</v>
      </c>
      <c r="K8342">
        <v>13854.72</v>
      </c>
    </row>
    <row r="8343" spans="1:11" x14ac:dyDescent="0.2">
      <c r="A8343">
        <v>57533</v>
      </c>
      <c r="B8343">
        <v>6601108</v>
      </c>
      <c r="C8343" t="s">
        <v>11424</v>
      </c>
      <c r="D8343">
        <v>10</v>
      </c>
      <c r="E8343">
        <v>12</v>
      </c>
      <c r="F8343">
        <v>3</v>
      </c>
      <c r="G8343">
        <v>34</v>
      </c>
      <c r="H8343">
        <v>72</v>
      </c>
      <c r="I8343">
        <v>0</v>
      </c>
      <c r="J8343">
        <v>2.29</v>
      </c>
      <c r="K8343">
        <v>77.86</v>
      </c>
    </row>
    <row r="8344" spans="1:11" x14ac:dyDescent="0.2">
      <c r="A8344">
        <v>49620</v>
      </c>
      <c r="B8344">
        <v>6601227</v>
      </c>
      <c r="C8344" t="s">
        <v>11425</v>
      </c>
      <c r="D8344">
        <v>10</v>
      </c>
      <c r="E8344">
        <v>14</v>
      </c>
      <c r="F8344">
        <v>0</v>
      </c>
      <c r="G8344">
        <v>0</v>
      </c>
      <c r="H8344">
        <v>60</v>
      </c>
      <c r="I8344">
        <v>0</v>
      </c>
      <c r="J8344">
        <v>1.49</v>
      </c>
      <c r="K8344">
        <v>0</v>
      </c>
    </row>
    <row r="8345" spans="1:11" x14ac:dyDescent="0.2">
      <c r="A8345">
        <v>99112</v>
      </c>
      <c r="B8345">
        <v>6601375</v>
      </c>
      <c r="C8345" t="s">
        <v>11426</v>
      </c>
      <c r="D8345">
        <v>10</v>
      </c>
      <c r="E8345">
        <v>4</v>
      </c>
      <c r="F8345">
        <v>0</v>
      </c>
      <c r="G8345">
        <v>0</v>
      </c>
      <c r="H8345">
        <v>99</v>
      </c>
      <c r="I8345">
        <v>0</v>
      </c>
      <c r="J8345">
        <v>3.29</v>
      </c>
      <c r="K8345">
        <v>0</v>
      </c>
    </row>
    <row r="8346" spans="1:11" x14ac:dyDescent="0.2">
      <c r="A8346">
        <v>57404</v>
      </c>
      <c r="B8346">
        <v>6602047</v>
      </c>
      <c r="C8346" t="s">
        <v>11427</v>
      </c>
      <c r="D8346">
        <v>10</v>
      </c>
      <c r="E8346">
        <v>12</v>
      </c>
      <c r="F8346">
        <v>0</v>
      </c>
      <c r="G8346">
        <v>0</v>
      </c>
      <c r="H8346">
        <v>64</v>
      </c>
      <c r="I8346">
        <v>0</v>
      </c>
      <c r="J8346">
        <v>0.5</v>
      </c>
      <c r="K8346">
        <v>0</v>
      </c>
    </row>
    <row r="8347" spans="1:11" x14ac:dyDescent="0.2">
      <c r="B8347">
        <v>6602589</v>
      </c>
      <c r="C8347" t="s">
        <v>11428</v>
      </c>
      <c r="D8347">
        <v>11</v>
      </c>
      <c r="E8347">
        <v>28</v>
      </c>
      <c r="F8347">
        <v>0</v>
      </c>
      <c r="G8347">
        <v>0</v>
      </c>
      <c r="H8347">
        <v>56</v>
      </c>
      <c r="I8347">
        <v>0</v>
      </c>
      <c r="J8347">
        <v>0.89</v>
      </c>
      <c r="K8347">
        <v>0</v>
      </c>
    </row>
    <row r="8348" spans="1:11" x14ac:dyDescent="0.2">
      <c r="A8348">
        <v>57031</v>
      </c>
      <c r="B8348">
        <v>6604171</v>
      </c>
      <c r="C8348" t="s">
        <v>11429</v>
      </c>
      <c r="D8348">
        <v>11</v>
      </c>
      <c r="E8348">
        <v>30</v>
      </c>
      <c r="F8348">
        <v>0</v>
      </c>
      <c r="G8348">
        <v>0</v>
      </c>
      <c r="H8348">
        <v>54</v>
      </c>
      <c r="I8348">
        <v>0</v>
      </c>
      <c r="J8348">
        <v>1.1000000000000001</v>
      </c>
      <c r="K8348">
        <v>0</v>
      </c>
    </row>
    <row r="8349" spans="1:11" x14ac:dyDescent="0.2">
      <c r="A8349">
        <v>85050</v>
      </c>
      <c r="B8349">
        <v>6604451</v>
      </c>
      <c r="C8349" t="s">
        <v>11430</v>
      </c>
      <c r="D8349">
        <v>8</v>
      </c>
      <c r="E8349">
        <v>9</v>
      </c>
      <c r="F8349">
        <v>59</v>
      </c>
      <c r="G8349">
        <v>531</v>
      </c>
      <c r="H8349">
        <v>120</v>
      </c>
      <c r="I8349">
        <v>0.5</v>
      </c>
      <c r="J8349">
        <v>0.89</v>
      </c>
      <c r="K8349">
        <v>472.59</v>
      </c>
    </row>
    <row r="8350" spans="1:11" x14ac:dyDescent="0.2">
      <c r="A8350">
        <v>45671</v>
      </c>
      <c r="B8350">
        <v>6604679</v>
      </c>
      <c r="C8350" t="s">
        <v>11431</v>
      </c>
      <c r="D8350">
        <v>10</v>
      </c>
      <c r="E8350">
        <v>6</v>
      </c>
      <c r="F8350">
        <v>0</v>
      </c>
      <c r="G8350">
        <v>0</v>
      </c>
      <c r="H8350">
        <v>99</v>
      </c>
      <c r="I8350">
        <v>0</v>
      </c>
      <c r="J8350">
        <v>4.99</v>
      </c>
      <c r="K8350">
        <v>0</v>
      </c>
    </row>
    <row r="8351" spans="1:11" x14ac:dyDescent="0.2">
      <c r="A8351">
        <v>73047</v>
      </c>
      <c r="B8351">
        <v>6605001</v>
      </c>
      <c r="C8351" t="s">
        <v>11432</v>
      </c>
      <c r="D8351">
        <v>8</v>
      </c>
      <c r="E8351">
        <v>5</v>
      </c>
      <c r="F8351">
        <v>36</v>
      </c>
      <c r="G8351">
        <v>179</v>
      </c>
      <c r="H8351">
        <v>96</v>
      </c>
      <c r="I8351">
        <v>0.4</v>
      </c>
      <c r="J8351">
        <v>12</v>
      </c>
      <c r="K8351">
        <v>2148</v>
      </c>
    </row>
    <row r="8352" spans="1:11" x14ac:dyDescent="0.2">
      <c r="A8352">
        <v>74117</v>
      </c>
      <c r="B8352">
        <v>6605172</v>
      </c>
      <c r="C8352" t="s">
        <v>11433</v>
      </c>
      <c r="D8352">
        <v>8</v>
      </c>
      <c r="E8352">
        <v>21</v>
      </c>
      <c r="F8352">
        <v>190</v>
      </c>
      <c r="G8352">
        <v>3990</v>
      </c>
      <c r="H8352">
        <v>50</v>
      </c>
      <c r="I8352">
        <v>3.8</v>
      </c>
      <c r="J8352">
        <v>1.25</v>
      </c>
      <c r="K8352">
        <v>4987.5</v>
      </c>
    </row>
    <row r="8353" spans="1:12" x14ac:dyDescent="0.2">
      <c r="A8353">
        <v>99767</v>
      </c>
      <c r="B8353">
        <v>7103033</v>
      </c>
      <c r="C8353" t="s">
        <v>11434</v>
      </c>
      <c r="D8353">
        <v>10</v>
      </c>
      <c r="E8353">
        <v>8</v>
      </c>
      <c r="F8353">
        <v>0</v>
      </c>
      <c r="G8353">
        <v>0</v>
      </c>
      <c r="H8353">
        <v>72</v>
      </c>
      <c r="I8353">
        <v>0</v>
      </c>
      <c r="J8353">
        <v>2.9</v>
      </c>
      <c r="K8353">
        <v>0</v>
      </c>
    </row>
    <row r="8354" spans="1:12" x14ac:dyDescent="0.2">
      <c r="A8354">
        <v>99268</v>
      </c>
      <c r="B8354">
        <v>7103565</v>
      </c>
      <c r="C8354" t="s">
        <v>11435</v>
      </c>
      <c r="D8354">
        <v>10</v>
      </c>
      <c r="E8354">
        <v>20</v>
      </c>
      <c r="F8354">
        <v>0</v>
      </c>
      <c r="G8354">
        <v>0</v>
      </c>
      <c r="H8354">
        <v>128</v>
      </c>
      <c r="I8354">
        <v>0</v>
      </c>
      <c r="J8354">
        <v>0.49</v>
      </c>
      <c r="K8354">
        <v>0</v>
      </c>
    </row>
    <row r="8355" spans="1:12" x14ac:dyDescent="0.2">
      <c r="A8355">
        <v>74094</v>
      </c>
      <c r="B8355">
        <v>7400005</v>
      </c>
      <c r="C8355" t="s">
        <v>11436</v>
      </c>
      <c r="D8355">
        <v>8</v>
      </c>
      <c r="E8355">
        <v>24</v>
      </c>
      <c r="F8355">
        <v>131</v>
      </c>
      <c r="G8355">
        <v>3144</v>
      </c>
      <c r="H8355">
        <v>45</v>
      </c>
      <c r="I8355">
        <v>2.9</v>
      </c>
      <c r="J8355">
        <v>1.0900000000000001</v>
      </c>
      <c r="K8355">
        <v>3426.96</v>
      </c>
    </row>
    <row r="8356" spans="1:12" x14ac:dyDescent="0.2">
      <c r="B8356">
        <v>7400054</v>
      </c>
      <c r="C8356" t="s">
        <v>4161</v>
      </c>
      <c r="D8356">
        <v>12</v>
      </c>
      <c r="E8356">
        <v>18</v>
      </c>
      <c r="F8356">
        <v>-9</v>
      </c>
      <c r="G8356">
        <v>-162</v>
      </c>
      <c r="H8356">
        <v>48</v>
      </c>
      <c r="I8356">
        <v>-0.2</v>
      </c>
      <c r="J8356">
        <v>1.85</v>
      </c>
      <c r="K8356">
        <v>-299.7</v>
      </c>
    </row>
    <row r="8357" spans="1:12" x14ac:dyDescent="0.2">
      <c r="A8357">
        <v>83168</v>
      </c>
      <c r="B8357">
        <v>7400054</v>
      </c>
      <c r="C8357" t="s">
        <v>4161</v>
      </c>
      <c r="D8357">
        <v>8</v>
      </c>
      <c r="E8357">
        <v>24</v>
      </c>
      <c r="F8357">
        <v>170</v>
      </c>
      <c r="G8357">
        <v>4080</v>
      </c>
      <c r="H8357">
        <v>36</v>
      </c>
      <c r="I8357">
        <v>4.7</v>
      </c>
      <c r="J8357">
        <v>1.85</v>
      </c>
      <c r="K8357">
        <v>7548</v>
      </c>
    </row>
    <row r="8358" spans="1:12" x14ac:dyDescent="0.2">
      <c r="A8358">
        <v>47519</v>
      </c>
      <c r="B8358">
        <v>7400133</v>
      </c>
      <c r="C8358" t="s">
        <v>11437</v>
      </c>
      <c r="D8358">
        <v>10</v>
      </c>
      <c r="E8358">
        <v>8</v>
      </c>
      <c r="F8358">
        <v>5</v>
      </c>
      <c r="G8358">
        <v>40</v>
      </c>
      <c r="H8358">
        <v>80</v>
      </c>
      <c r="I8358">
        <v>0.1</v>
      </c>
      <c r="J8358">
        <v>2.99</v>
      </c>
      <c r="K8358">
        <v>119.6</v>
      </c>
    </row>
    <row r="8359" spans="1:12" x14ac:dyDescent="0.2">
      <c r="A8359">
        <v>57594</v>
      </c>
      <c r="B8359">
        <v>7400164</v>
      </c>
      <c r="C8359" t="s">
        <v>11438</v>
      </c>
      <c r="D8359">
        <v>10</v>
      </c>
      <c r="E8359">
        <v>18</v>
      </c>
      <c r="F8359">
        <v>5</v>
      </c>
      <c r="G8359">
        <v>84</v>
      </c>
      <c r="H8359">
        <v>42</v>
      </c>
      <c r="I8359">
        <v>0.1</v>
      </c>
      <c r="J8359">
        <v>0.5</v>
      </c>
      <c r="K8359">
        <v>42</v>
      </c>
    </row>
    <row r="8360" spans="1:12" x14ac:dyDescent="0.2">
      <c r="A8360">
        <v>85182</v>
      </c>
      <c r="B8360">
        <v>7400216</v>
      </c>
      <c r="C8360" t="s">
        <v>11439</v>
      </c>
      <c r="D8360">
        <v>9</v>
      </c>
      <c r="E8360">
        <v>18</v>
      </c>
      <c r="F8360">
        <v>8</v>
      </c>
      <c r="G8360">
        <v>144</v>
      </c>
      <c r="H8360">
        <v>192</v>
      </c>
      <c r="I8360">
        <v>0</v>
      </c>
      <c r="J8360">
        <v>0.89</v>
      </c>
      <c r="K8360">
        <v>128.16</v>
      </c>
    </row>
    <row r="8361" spans="1:12" x14ac:dyDescent="0.2">
      <c r="A8361">
        <v>57282</v>
      </c>
      <c r="B8361">
        <v>7400680</v>
      </c>
      <c r="C8361" t="s">
        <v>11440</v>
      </c>
      <c r="D8361">
        <v>10</v>
      </c>
      <c r="E8361">
        <v>18</v>
      </c>
      <c r="F8361">
        <v>0</v>
      </c>
      <c r="G8361">
        <v>0</v>
      </c>
      <c r="H8361">
        <v>108</v>
      </c>
      <c r="I8361">
        <v>0</v>
      </c>
      <c r="J8361">
        <v>1</v>
      </c>
      <c r="K8361">
        <v>0</v>
      </c>
    </row>
    <row r="8362" spans="1:12" x14ac:dyDescent="0.2">
      <c r="A8362">
        <v>65256</v>
      </c>
      <c r="B8362">
        <v>7400699</v>
      </c>
      <c r="C8362" t="s">
        <v>11441</v>
      </c>
      <c r="D8362">
        <v>8</v>
      </c>
      <c r="E8362">
        <v>15</v>
      </c>
      <c r="F8362">
        <v>678</v>
      </c>
      <c r="G8362">
        <v>10170</v>
      </c>
      <c r="H8362">
        <v>112</v>
      </c>
      <c r="I8362">
        <v>6.1</v>
      </c>
      <c r="J8362">
        <v>1.1499999999999999</v>
      </c>
      <c r="K8362">
        <v>11695.5</v>
      </c>
    </row>
    <row r="8363" spans="1:12" x14ac:dyDescent="0.2">
      <c r="A8363">
        <v>85177</v>
      </c>
      <c r="B8363">
        <v>7400792</v>
      </c>
      <c r="C8363" t="s">
        <v>11442</v>
      </c>
      <c r="D8363">
        <v>9</v>
      </c>
      <c r="E8363">
        <v>9</v>
      </c>
      <c r="F8363">
        <v>1</v>
      </c>
      <c r="G8363">
        <v>9</v>
      </c>
      <c r="H8363">
        <v>132</v>
      </c>
      <c r="I8363">
        <v>0</v>
      </c>
      <c r="J8363">
        <v>3.29</v>
      </c>
      <c r="K8363">
        <v>29.61</v>
      </c>
    </row>
    <row r="8364" spans="1:12" x14ac:dyDescent="0.2">
      <c r="A8364">
        <v>74170</v>
      </c>
      <c r="B8364">
        <v>7400915</v>
      </c>
      <c r="C8364" t="s">
        <v>5837</v>
      </c>
      <c r="D8364">
        <v>8</v>
      </c>
      <c r="E8364">
        <v>10</v>
      </c>
      <c r="F8364">
        <v>336</v>
      </c>
      <c r="G8364">
        <v>3360</v>
      </c>
      <c r="H8364">
        <v>108</v>
      </c>
      <c r="I8364">
        <v>3.1</v>
      </c>
      <c r="J8364">
        <v>1.39</v>
      </c>
      <c r="K8364">
        <v>4670.3999999999996</v>
      </c>
    </row>
    <row r="8365" spans="1:12" x14ac:dyDescent="0.2">
      <c r="B8365">
        <v>7401108</v>
      </c>
      <c r="C8365" t="s">
        <v>11443</v>
      </c>
      <c r="D8365">
        <v>11</v>
      </c>
      <c r="E8365">
        <v>1</v>
      </c>
      <c r="F8365">
        <v>7</v>
      </c>
      <c r="G8365">
        <v>7</v>
      </c>
      <c r="H8365">
        <v>416</v>
      </c>
      <c r="I8365">
        <v>0</v>
      </c>
      <c r="J8365">
        <v>8.99</v>
      </c>
      <c r="K8365">
        <v>62.93</v>
      </c>
    </row>
    <row r="8366" spans="1:12" x14ac:dyDescent="0.2">
      <c r="A8366">
        <v>99928</v>
      </c>
      <c r="B8366">
        <v>7401217</v>
      </c>
      <c r="C8366" t="s">
        <v>11444</v>
      </c>
      <c r="D8366">
        <v>10</v>
      </c>
      <c r="E8366">
        <v>12</v>
      </c>
      <c r="F8366">
        <v>0</v>
      </c>
      <c r="G8366">
        <v>0</v>
      </c>
      <c r="H8366">
        <v>44</v>
      </c>
      <c r="I8366">
        <v>0</v>
      </c>
      <c r="J8366">
        <v>1.79</v>
      </c>
      <c r="K8366">
        <v>0</v>
      </c>
    </row>
    <row r="8367" spans="1:12" x14ac:dyDescent="0.2">
      <c r="B8367">
        <v>7401573</v>
      </c>
      <c r="C8367" t="s">
        <v>11445</v>
      </c>
      <c r="D8367">
        <v>12</v>
      </c>
      <c r="E8367">
        <v>6</v>
      </c>
      <c r="F8367">
        <v>0</v>
      </c>
      <c r="G8367">
        <v>0</v>
      </c>
      <c r="H8367">
        <v>48</v>
      </c>
      <c r="I8367">
        <v>0</v>
      </c>
      <c r="J8367">
        <v>4</v>
      </c>
      <c r="K8367">
        <v>0</v>
      </c>
      <c r="L8367" t="s">
        <v>3699</v>
      </c>
    </row>
    <row r="8368" spans="1:12" x14ac:dyDescent="0.2">
      <c r="A8368">
        <v>99746</v>
      </c>
      <c r="B8368">
        <v>7401797</v>
      </c>
      <c r="C8368" t="s">
        <v>11446</v>
      </c>
      <c r="D8368">
        <v>10</v>
      </c>
      <c r="E8368">
        <v>12</v>
      </c>
      <c r="F8368">
        <v>0</v>
      </c>
      <c r="G8368">
        <v>0</v>
      </c>
      <c r="H8368">
        <v>108</v>
      </c>
      <c r="I8368">
        <v>0</v>
      </c>
      <c r="J8368">
        <v>1.6</v>
      </c>
      <c r="K8368">
        <v>0</v>
      </c>
    </row>
    <row r="8369" spans="1:11" x14ac:dyDescent="0.2">
      <c r="A8369">
        <v>99805</v>
      </c>
      <c r="B8369">
        <v>7402047</v>
      </c>
      <c r="C8369" t="s">
        <v>11447</v>
      </c>
      <c r="D8369">
        <v>10</v>
      </c>
      <c r="E8369">
        <v>10</v>
      </c>
      <c r="F8369">
        <v>0</v>
      </c>
      <c r="G8369">
        <v>0</v>
      </c>
      <c r="H8369">
        <v>72</v>
      </c>
      <c r="I8369">
        <v>0</v>
      </c>
      <c r="J8369">
        <v>3.99</v>
      </c>
      <c r="K8369">
        <v>0</v>
      </c>
    </row>
    <row r="8370" spans="1:11" x14ac:dyDescent="0.2">
      <c r="A8370">
        <v>65258</v>
      </c>
      <c r="B8370">
        <v>7402489</v>
      </c>
      <c r="C8370" t="s">
        <v>11448</v>
      </c>
      <c r="D8370">
        <v>8</v>
      </c>
      <c r="E8370">
        <v>12</v>
      </c>
      <c r="F8370">
        <v>255</v>
      </c>
      <c r="G8370">
        <v>3060</v>
      </c>
      <c r="H8370">
        <v>120</v>
      </c>
      <c r="I8370">
        <v>2.1</v>
      </c>
      <c r="J8370">
        <v>1.87</v>
      </c>
      <c r="K8370">
        <v>5722.2</v>
      </c>
    </row>
    <row r="8371" spans="1:11" x14ac:dyDescent="0.2">
      <c r="A8371">
        <v>46640</v>
      </c>
      <c r="B8371">
        <v>7402930</v>
      </c>
      <c r="C8371" t="s">
        <v>11449</v>
      </c>
      <c r="D8371">
        <v>10</v>
      </c>
      <c r="E8371">
        <v>18</v>
      </c>
      <c r="F8371">
        <v>4</v>
      </c>
      <c r="G8371">
        <v>72</v>
      </c>
      <c r="H8371">
        <v>112</v>
      </c>
      <c r="I8371">
        <v>0</v>
      </c>
      <c r="J8371">
        <v>1.59</v>
      </c>
      <c r="K8371">
        <v>114.48</v>
      </c>
    </row>
    <row r="8372" spans="1:11" x14ac:dyDescent="0.2">
      <c r="A8372">
        <v>46641</v>
      </c>
      <c r="B8372">
        <v>7402931</v>
      </c>
      <c r="C8372" t="s">
        <v>11450</v>
      </c>
      <c r="D8372">
        <v>10</v>
      </c>
      <c r="E8372">
        <v>18</v>
      </c>
      <c r="F8372">
        <v>-2</v>
      </c>
      <c r="G8372">
        <v>-36</v>
      </c>
      <c r="H8372">
        <v>112</v>
      </c>
      <c r="I8372">
        <v>0</v>
      </c>
      <c r="J8372">
        <v>1.59</v>
      </c>
      <c r="K8372">
        <v>-57.24</v>
      </c>
    </row>
    <row r="8373" spans="1:11" x14ac:dyDescent="0.2">
      <c r="A8373">
        <v>57329</v>
      </c>
      <c r="B8373">
        <v>7403750</v>
      </c>
      <c r="C8373" t="s">
        <v>11451</v>
      </c>
      <c r="D8373">
        <v>10</v>
      </c>
      <c r="E8373">
        <v>6</v>
      </c>
      <c r="F8373">
        <v>0</v>
      </c>
      <c r="G8373">
        <v>0</v>
      </c>
      <c r="H8373">
        <v>140</v>
      </c>
      <c r="I8373">
        <v>0</v>
      </c>
      <c r="J8373">
        <v>2.7</v>
      </c>
      <c r="K8373">
        <v>0</v>
      </c>
    </row>
    <row r="8374" spans="1:11" x14ac:dyDescent="0.2">
      <c r="A8374">
        <v>2616</v>
      </c>
      <c r="B8374">
        <v>7403789</v>
      </c>
      <c r="C8374" t="s">
        <v>11452</v>
      </c>
      <c r="D8374">
        <v>6</v>
      </c>
      <c r="E8374">
        <v>12</v>
      </c>
      <c r="F8374">
        <v>-2</v>
      </c>
      <c r="G8374">
        <v>-24</v>
      </c>
      <c r="H8374">
        <v>60</v>
      </c>
      <c r="I8374">
        <v>0</v>
      </c>
      <c r="J8374">
        <v>2.99</v>
      </c>
      <c r="K8374">
        <v>-71.760000000000005</v>
      </c>
    </row>
    <row r="8375" spans="1:11" x14ac:dyDescent="0.2">
      <c r="A8375">
        <v>70098</v>
      </c>
      <c r="B8375">
        <v>7500756</v>
      </c>
      <c r="C8375" t="s">
        <v>11453</v>
      </c>
      <c r="D8375">
        <v>8</v>
      </c>
      <c r="E8375">
        <v>6</v>
      </c>
      <c r="F8375">
        <v>806</v>
      </c>
      <c r="G8375">
        <v>4836</v>
      </c>
      <c r="H8375">
        <v>224</v>
      </c>
      <c r="I8375">
        <v>3.6</v>
      </c>
      <c r="J8375">
        <v>2.21</v>
      </c>
      <c r="K8375">
        <v>10687.56</v>
      </c>
    </row>
    <row r="8376" spans="1:11" x14ac:dyDescent="0.2">
      <c r="A8376">
        <v>73271</v>
      </c>
      <c r="B8376">
        <v>7700688</v>
      </c>
      <c r="C8376" t="s">
        <v>11454</v>
      </c>
      <c r="D8376">
        <v>10</v>
      </c>
      <c r="E8376">
        <v>6</v>
      </c>
      <c r="F8376">
        <v>0</v>
      </c>
      <c r="G8376">
        <v>0</v>
      </c>
      <c r="H8376">
        <v>216</v>
      </c>
      <c r="I8376">
        <v>0</v>
      </c>
      <c r="J8376">
        <v>2.29</v>
      </c>
      <c r="K8376">
        <v>0</v>
      </c>
    </row>
    <row r="8377" spans="1:11" x14ac:dyDescent="0.2">
      <c r="B8377">
        <v>7701213</v>
      </c>
      <c r="C8377" t="s">
        <v>11387</v>
      </c>
      <c r="D8377">
        <v>11</v>
      </c>
      <c r="E8377">
        <v>16</v>
      </c>
      <c r="F8377">
        <v>0</v>
      </c>
      <c r="G8377">
        <v>0</v>
      </c>
      <c r="H8377">
        <v>64</v>
      </c>
      <c r="I8377">
        <v>0</v>
      </c>
      <c r="J8377">
        <v>1.49</v>
      </c>
      <c r="K8377">
        <v>0</v>
      </c>
    </row>
    <row r="8378" spans="1:11" x14ac:dyDescent="0.2">
      <c r="A8378">
        <v>99037</v>
      </c>
      <c r="B8378">
        <v>7701376</v>
      </c>
      <c r="C8378" t="s">
        <v>11455</v>
      </c>
      <c r="D8378">
        <v>10</v>
      </c>
      <c r="E8378">
        <v>15</v>
      </c>
      <c r="F8378">
        <v>0</v>
      </c>
      <c r="G8378">
        <v>0</v>
      </c>
      <c r="H8378">
        <v>78</v>
      </c>
      <c r="I8378">
        <v>0</v>
      </c>
      <c r="J8378">
        <v>1.7</v>
      </c>
      <c r="K8378">
        <v>0</v>
      </c>
    </row>
    <row r="8379" spans="1:11" x14ac:dyDescent="0.2">
      <c r="A8379">
        <v>99793</v>
      </c>
      <c r="B8379">
        <v>7701397</v>
      </c>
      <c r="C8379" t="s">
        <v>11456</v>
      </c>
      <c r="D8379">
        <v>10</v>
      </c>
      <c r="E8379">
        <v>12</v>
      </c>
      <c r="F8379">
        <v>0</v>
      </c>
      <c r="G8379">
        <v>0</v>
      </c>
      <c r="H8379">
        <v>96</v>
      </c>
      <c r="I8379">
        <v>0</v>
      </c>
      <c r="J8379">
        <v>0.01</v>
      </c>
      <c r="K8379">
        <v>0</v>
      </c>
    </row>
    <row r="8380" spans="1:11" x14ac:dyDescent="0.2">
      <c r="A8380">
        <v>47618</v>
      </c>
      <c r="B8380">
        <v>7702528</v>
      </c>
      <c r="C8380" t="s">
        <v>11457</v>
      </c>
      <c r="D8380">
        <v>10</v>
      </c>
      <c r="E8380">
        <v>18</v>
      </c>
      <c r="F8380">
        <v>9</v>
      </c>
      <c r="G8380">
        <v>162</v>
      </c>
      <c r="H8380">
        <v>200</v>
      </c>
      <c r="I8380">
        <v>0</v>
      </c>
      <c r="J8380">
        <v>1.59</v>
      </c>
      <c r="K8380">
        <v>257.58</v>
      </c>
    </row>
    <row r="8381" spans="1:11" x14ac:dyDescent="0.2">
      <c r="A8381">
        <v>48646</v>
      </c>
      <c r="B8381">
        <v>7702883</v>
      </c>
      <c r="C8381" t="s">
        <v>11458</v>
      </c>
      <c r="D8381">
        <v>10</v>
      </c>
      <c r="E8381">
        <v>6</v>
      </c>
      <c r="F8381">
        <v>0</v>
      </c>
      <c r="G8381">
        <v>0</v>
      </c>
      <c r="H8381">
        <v>105</v>
      </c>
      <c r="I8381">
        <v>0</v>
      </c>
      <c r="J8381">
        <v>14.99</v>
      </c>
      <c r="K8381">
        <v>0</v>
      </c>
    </row>
    <row r="8382" spans="1:11" x14ac:dyDescent="0.2">
      <c r="A8382">
        <v>62047</v>
      </c>
      <c r="B8382">
        <v>7702885</v>
      </c>
      <c r="C8382" t="s">
        <v>11459</v>
      </c>
      <c r="D8382">
        <v>8</v>
      </c>
      <c r="E8382">
        <v>6</v>
      </c>
      <c r="F8382">
        <v>362</v>
      </c>
      <c r="G8382">
        <v>2172</v>
      </c>
      <c r="H8382">
        <v>105</v>
      </c>
      <c r="I8382">
        <v>3.4</v>
      </c>
      <c r="J8382">
        <v>11.99</v>
      </c>
      <c r="K8382">
        <v>26042.28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Formulaire litige</vt:lpstr>
      <vt:lpstr>Historique litiges</vt:lpstr>
      <vt:lpstr>Base de donnée EFIS</vt:lpstr>
      <vt:lpstr>VALO</vt:lpstr>
    </vt:vector>
  </TitlesOfParts>
  <Company>Lidl Stiftung &amp; Co. KG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LAVIGNE</dc:creator>
  <cp:lastModifiedBy>JULIEN LAVIGNE</cp:lastModifiedBy>
  <dcterms:created xsi:type="dcterms:W3CDTF">2018-12-19T14:39:07Z</dcterms:created>
  <dcterms:modified xsi:type="dcterms:W3CDTF">2019-01-02T07:25:38Z</dcterms:modified>
</cp:coreProperties>
</file>